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xr:revisionPtr revIDLastSave="0" documentId="8_{DF3B95CF-75D0-4978-91AD-CC9E87AA5BB9}" xr6:coauthVersionLast="45" xr6:coauthVersionMax="45" xr10:uidLastSave="{00000000-0000-0000-0000-000000000000}"/>
  <bookViews>
    <workbookView xWindow="-120" yWindow="-120" windowWidth="29040" windowHeight="15840" tabRatio="930" xr2:uid="{00000000-000D-0000-FFFF-FFFF00000000}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31" r:id="rId19"/>
    <sheet name="ON Data" sheetId="432" state="hidden" r:id="rId20"/>
    <sheet name="ZV Vykáz.-A" sheetId="344" r:id="rId21"/>
    <sheet name="ZV Vykáz.-A Lékaři" sheetId="429" r:id="rId22"/>
    <sheet name="ZV Vykáz.-A Detail" sheetId="345" r:id="rId23"/>
    <sheet name="ZV Vykáz.-A Det.Lék." sheetId="430" r:id="rId24"/>
    <sheet name="ZV Vykáz.-H" sheetId="410" r:id="rId25"/>
    <sheet name="ZV Vykáz.-H Detail" sheetId="377" r:id="rId26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23" hidden="1">'ZV Vykáz.-A Det.Lék.'!$A$5:$S$5</definedName>
    <definedName name="_xlnm._FilterDatabase" localSheetId="22" hidden="1">'ZV Vykáz.-A Detail'!$A$5:$R$5</definedName>
    <definedName name="_xlnm._FilterDatabase" localSheetId="21" hidden="1">'ZV Vykáz.-A Lékaři'!$A$4:$A$5</definedName>
    <definedName name="_xlnm._FilterDatabase" localSheetId="25" hidden="1">'ZV Vykáz.-H Detail'!$A$5:$Q$5</definedName>
    <definedName name="doměsíce">'HI Graf'!$C$11</definedName>
    <definedName name="Obdobi" localSheetId="19">'ON Data'!$B$3:$B$16</definedName>
    <definedName name="Obdobi" localSheetId="18">'ON Data'!$B$3:$B$16</definedName>
    <definedName name="Obdob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818" i="367" l="1"/>
  <c r="M817" i="367"/>
  <c r="M816" i="367"/>
  <c r="M815" i="367"/>
  <c r="M814" i="367"/>
  <c r="M813" i="367"/>
  <c r="M812" i="367"/>
  <c r="M811" i="367"/>
  <c r="M810" i="367"/>
  <c r="M809" i="367"/>
  <c r="M808" i="367"/>
  <c r="M807" i="367"/>
  <c r="M806" i="367"/>
  <c r="M805" i="367"/>
  <c r="M804" i="367"/>
  <c r="M803" i="367"/>
  <c r="M802" i="367"/>
  <c r="M801" i="367"/>
  <c r="M800" i="367"/>
  <c r="M799" i="367"/>
  <c r="M798" i="367"/>
  <c r="M797" i="367"/>
  <c r="M796" i="367"/>
  <c r="M795" i="367"/>
  <c r="M794" i="367"/>
  <c r="M793" i="367"/>
  <c r="M792" i="367"/>
  <c r="M791" i="367"/>
  <c r="M790" i="367"/>
  <c r="M789" i="367"/>
  <c r="M788" i="367"/>
  <c r="M787" i="367"/>
  <c r="M786" i="367"/>
  <c r="M785" i="367"/>
  <c r="M784" i="367"/>
  <c r="M783" i="367"/>
  <c r="M782" i="367"/>
  <c r="M781" i="367"/>
  <c r="M780" i="367"/>
  <c r="M779" i="367"/>
  <c r="M778" i="367"/>
  <c r="M777" i="367"/>
  <c r="M776" i="367"/>
  <c r="M775" i="367"/>
  <c r="M774" i="367"/>
  <c r="M773" i="367"/>
  <c r="M772" i="367"/>
  <c r="M771" i="367"/>
  <c r="M770" i="367"/>
  <c r="M769" i="367"/>
  <c r="M768" i="367"/>
  <c r="M767" i="367"/>
  <c r="M766" i="367"/>
  <c r="M765" i="367"/>
  <c r="M764" i="367"/>
  <c r="M763" i="367"/>
  <c r="M762" i="367"/>
  <c r="M761" i="367"/>
  <c r="M760" i="367"/>
  <c r="M759" i="367"/>
  <c r="M758" i="367"/>
  <c r="M757" i="367"/>
  <c r="M756" i="367"/>
  <c r="M755" i="367"/>
  <c r="M754" i="367"/>
  <c r="M753" i="367"/>
  <c r="M752" i="367"/>
  <c r="M751" i="367"/>
  <c r="M750" i="367"/>
  <c r="M749" i="367"/>
  <c r="M748" i="367"/>
  <c r="M747" i="367"/>
  <c r="M746" i="367"/>
  <c r="M745" i="367"/>
  <c r="M744" i="367"/>
  <c r="M743" i="367"/>
  <c r="M742" i="367"/>
  <c r="M741" i="367"/>
  <c r="M740" i="367"/>
  <c r="M739" i="367"/>
  <c r="M738" i="367"/>
  <c r="M737" i="367"/>
  <c r="M736" i="367"/>
  <c r="M735" i="367"/>
  <c r="M734" i="367"/>
  <c r="M733" i="367"/>
  <c r="M732" i="367"/>
  <c r="M731" i="367"/>
  <c r="M730" i="367"/>
  <c r="M729" i="367"/>
  <c r="M728" i="367"/>
  <c r="M727" i="367"/>
  <c r="M726" i="367"/>
  <c r="M725" i="367"/>
  <c r="M724" i="367"/>
  <c r="M723" i="367"/>
  <c r="M722" i="367"/>
  <c r="M721" i="367"/>
  <c r="M720" i="367"/>
  <c r="M719" i="367"/>
  <c r="M718" i="367"/>
  <c r="M717" i="367"/>
  <c r="M716" i="367"/>
  <c r="M715" i="367"/>
  <c r="M714" i="367"/>
  <c r="M713" i="367"/>
  <c r="M712" i="367"/>
  <c r="M711" i="367"/>
  <c r="M710" i="367"/>
  <c r="M709" i="367"/>
  <c r="M708" i="367"/>
  <c r="M707" i="367"/>
  <c r="M706" i="367"/>
  <c r="M705" i="367"/>
  <c r="M704" i="367"/>
  <c r="M703" i="367"/>
  <c r="M702" i="367"/>
  <c r="M701" i="367"/>
  <c r="M700" i="367"/>
  <c r="M699" i="367"/>
  <c r="M698" i="367"/>
  <c r="M697" i="367"/>
  <c r="M696" i="367"/>
  <c r="M695" i="367"/>
  <c r="M694" i="367"/>
  <c r="M693" i="367"/>
  <c r="M692" i="367"/>
  <c r="M691" i="367"/>
  <c r="M690" i="367"/>
  <c r="M689" i="367"/>
  <c r="M688" i="367"/>
  <c r="M687" i="367"/>
  <c r="M686" i="367"/>
  <c r="M685" i="367"/>
  <c r="M684" i="367"/>
  <c r="M683" i="367"/>
  <c r="M682" i="367"/>
  <c r="M681" i="367"/>
  <c r="M680" i="367"/>
  <c r="M679" i="367"/>
  <c r="M678" i="367"/>
  <c r="M677" i="367"/>
  <c r="M676" i="367"/>
  <c r="M675" i="367"/>
  <c r="M674" i="367"/>
  <c r="M673" i="367"/>
  <c r="M672" i="367"/>
  <c r="M671" i="367"/>
  <c r="M670" i="367"/>
  <c r="M669" i="367"/>
  <c r="M668" i="367"/>
  <c r="M667" i="367"/>
  <c r="M666" i="367"/>
  <c r="M665" i="367"/>
  <c r="M664" i="367"/>
  <c r="M663" i="367"/>
  <c r="M662" i="367"/>
  <c r="M661" i="367"/>
  <c r="M660" i="367"/>
  <c r="M659" i="367"/>
  <c r="M658" i="367"/>
  <c r="M657" i="367"/>
  <c r="M656" i="367"/>
  <c r="M655" i="367"/>
  <c r="M654" i="367"/>
  <c r="M653" i="367"/>
  <c r="M652" i="367"/>
  <c r="M651" i="367"/>
  <c r="M650" i="367"/>
  <c r="M649" i="367"/>
  <c r="M648" i="367"/>
  <c r="M647" i="367"/>
  <c r="M646" i="367"/>
  <c r="M645" i="367"/>
  <c r="M644" i="367"/>
  <c r="M643" i="367"/>
  <c r="M642" i="367"/>
  <c r="M641" i="367"/>
  <c r="M640" i="367"/>
  <c r="M639" i="367"/>
  <c r="M638" i="367"/>
  <c r="M637" i="367"/>
  <c r="M636" i="367"/>
  <c r="M635" i="367"/>
  <c r="M634" i="367"/>
  <c r="M633" i="367"/>
  <c r="M632" i="367"/>
  <c r="M631" i="367"/>
  <c r="M630" i="367"/>
  <c r="M629" i="367"/>
  <c r="M628" i="367"/>
  <c r="M627" i="367"/>
  <c r="M626" i="367"/>
  <c r="M625" i="367"/>
  <c r="M624" i="367"/>
  <c r="M623" i="367"/>
  <c r="M622" i="367"/>
  <c r="M621" i="367"/>
  <c r="M620" i="367"/>
  <c r="M619" i="367"/>
  <c r="M618" i="367"/>
  <c r="M617" i="367"/>
  <c r="M616" i="367"/>
  <c r="M615" i="367"/>
  <c r="M614" i="367"/>
  <c r="M613" i="367"/>
  <c r="M612" i="367"/>
  <c r="M611" i="367"/>
  <c r="M610" i="367"/>
  <c r="M609" i="367"/>
  <c r="M608" i="367"/>
  <c r="M607" i="367"/>
  <c r="M606" i="367"/>
  <c r="M605" i="367"/>
  <c r="M604" i="367"/>
  <c r="M603" i="367"/>
  <c r="M602" i="367"/>
  <c r="M601" i="367"/>
  <c r="M600" i="367"/>
  <c r="M599" i="367"/>
  <c r="M598" i="367"/>
  <c r="M597" i="367"/>
  <c r="M596" i="367"/>
  <c r="M595" i="367"/>
  <c r="M594" i="367"/>
  <c r="M593" i="367"/>
  <c r="M592" i="367"/>
  <c r="M591" i="367"/>
  <c r="M590" i="367"/>
  <c r="M589" i="367"/>
  <c r="M588" i="367"/>
  <c r="M587" i="367"/>
  <c r="M586" i="367"/>
  <c r="M585" i="367"/>
  <c r="M584" i="367"/>
  <c r="M583" i="367"/>
  <c r="M582" i="367"/>
  <c r="M581" i="367"/>
  <c r="M580" i="367"/>
  <c r="M579" i="367"/>
  <c r="M578" i="367"/>
  <c r="M577" i="367"/>
  <c r="M576" i="367"/>
  <c r="M575" i="367"/>
  <c r="M574" i="367"/>
  <c r="M573" i="367"/>
  <c r="M572" i="367"/>
  <c r="M571" i="367"/>
  <c r="M570" i="367"/>
  <c r="M569" i="367"/>
  <c r="M568" i="367"/>
  <c r="M567" i="367"/>
  <c r="M566" i="367"/>
  <c r="M565" i="367"/>
  <c r="M564" i="367"/>
  <c r="M563" i="367"/>
  <c r="M562" i="367"/>
  <c r="M561" i="367"/>
  <c r="M560" i="367"/>
  <c r="M559" i="367"/>
  <c r="M558" i="367"/>
  <c r="M557" i="367"/>
  <c r="M556" i="367"/>
  <c r="M555" i="367"/>
  <c r="M554" i="367"/>
  <c r="M553" i="367"/>
  <c r="M552" i="367"/>
  <c r="M551" i="367"/>
  <c r="M550" i="367"/>
  <c r="M549" i="367"/>
  <c r="M548" i="367"/>
  <c r="M547" i="367"/>
  <c r="M546" i="367"/>
  <c r="M545" i="367"/>
  <c r="M544" i="367"/>
  <c r="M543" i="367"/>
  <c r="M542" i="367"/>
  <c r="M541" i="367"/>
  <c r="M540" i="367"/>
  <c r="M539" i="367"/>
  <c r="M538" i="367"/>
  <c r="M537" i="367"/>
  <c r="M536" i="367"/>
  <c r="M535" i="367"/>
  <c r="M534" i="367"/>
  <c r="M533" i="367"/>
  <c r="M532" i="367"/>
  <c r="M531" i="367"/>
  <c r="M530" i="367"/>
  <c r="M529" i="367"/>
  <c r="M528" i="367"/>
  <c r="M527" i="367"/>
  <c r="M526" i="367"/>
  <c r="M525" i="367"/>
  <c r="M524" i="367"/>
  <c r="M523" i="367"/>
  <c r="M522" i="367"/>
  <c r="M521" i="367"/>
  <c r="M520" i="367"/>
  <c r="M519" i="367"/>
  <c r="M518" i="367"/>
  <c r="M517" i="367"/>
  <c r="M516" i="367"/>
  <c r="M515" i="367"/>
  <c r="M514" i="367"/>
  <c r="M513" i="367"/>
  <c r="M512" i="367"/>
  <c r="M511" i="367"/>
  <c r="M510" i="367"/>
  <c r="M509" i="367"/>
  <c r="M508" i="367"/>
  <c r="M507" i="367"/>
  <c r="M506" i="367"/>
  <c r="M505" i="367"/>
  <c r="M504" i="367"/>
  <c r="M503" i="367"/>
  <c r="M502" i="367"/>
  <c r="M501" i="367"/>
  <c r="M500" i="367"/>
  <c r="M499" i="367"/>
  <c r="M498" i="367"/>
  <c r="M497" i="367"/>
  <c r="M496" i="367"/>
  <c r="M495" i="367"/>
  <c r="M494" i="367"/>
  <c r="M493" i="367"/>
  <c r="M492" i="367"/>
  <c r="M491" i="367"/>
  <c r="M490" i="367"/>
  <c r="M489" i="367"/>
  <c r="M488" i="367"/>
  <c r="M487" i="367"/>
  <c r="M486" i="367"/>
  <c r="M485" i="367"/>
  <c r="M484" i="367"/>
  <c r="M483" i="367"/>
  <c r="M482" i="367"/>
  <c r="M481" i="367"/>
  <c r="M480" i="367"/>
  <c r="M479" i="367"/>
  <c r="M478" i="367"/>
  <c r="M477" i="367"/>
  <c r="M476" i="367"/>
  <c r="M475" i="367"/>
  <c r="M474" i="367"/>
  <c r="M473" i="367"/>
  <c r="M472" i="367"/>
  <c r="M471" i="367"/>
  <c r="M470" i="367"/>
  <c r="M469" i="367"/>
  <c r="M468" i="367"/>
  <c r="M467" i="367"/>
  <c r="M466" i="367"/>
  <c r="M465" i="367"/>
  <c r="M464" i="367"/>
  <c r="M463" i="367"/>
  <c r="M462" i="367"/>
  <c r="M461" i="367"/>
  <c r="M460" i="367"/>
  <c r="M459" i="367"/>
  <c r="M458" i="367"/>
  <c r="M457" i="367"/>
  <c r="M456" i="367"/>
  <c r="M455" i="367"/>
  <c r="M454" i="367"/>
  <c r="M453" i="367"/>
  <c r="M452" i="367"/>
  <c r="M451" i="367"/>
  <c r="M450" i="367"/>
  <c r="M449" i="367"/>
  <c r="M448" i="367"/>
  <c r="M447" i="367"/>
  <c r="M446" i="367"/>
  <c r="M445" i="367"/>
  <c r="M444" i="367"/>
  <c r="M443" i="367"/>
  <c r="M442" i="367"/>
  <c r="M441" i="367"/>
  <c r="M440" i="367"/>
  <c r="M439" i="367"/>
  <c r="M438" i="367"/>
  <c r="M437" i="367"/>
  <c r="M436" i="367"/>
  <c r="M435" i="367"/>
  <c r="M434" i="367"/>
  <c r="M433" i="367"/>
  <c r="M432" i="367"/>
  <c r="M431" i="367"/>
  <c r="M430" i="367"/>
  <c r="M429" i="367"/>
  <c r="M428" i="367"/>
  <c r="M427" i="367"/>
  <c r="M426" i="367"/>
  <c r="M425" i="367"/>
  <c r="M424" i="367"/>
  <c r="M423" i="367"/>
  <c r="M422" i="367"/>
  <c r="M421" i="367"/>
  <c r="M420" i="367"/>
  <c r="M419" i="367"/>
  <c r="M418" i="367"/>
  <c r="M417" i="367"/>
  <c r="M416" i="367"/>
  <c r="M415" i="367"/>
  <c r="M414" i="367"/>
  <c r="M413" i="367"/>
  <c r="M412" i="367"/>
  <c r="M411" i="367"/>
  <c r="M410" i="367"/>
  <c r="M409" i="367"/>
  <c r="M408" i="367"/>
  <c r="M407" i="367"/>
  <c r="M406" i="367"/>
  <c r="M405" i="367"/>
  <c r="M404" i="367"/>
  <c r="M403" i="367"/>
  <c r="M402" i="367"/>
  <c r="M401" i="367"/>
  <c r="M400" i="367"/>
  <c r="M399" i="367"/>
  <c r="M398" i="367"/>
  <c r="M397" i="367"/>
  <c r="M396" i="367"/>
  <c r="M395" i="367"/>
  <c r="M394" i="367"/>
  <c r="M393" i="367"/>
  <c r="M392" i="367"/>
  <c r="M391" i="367"/>
  <c r="M390" i="367"/>
  <c r="M389" i="367"/>
  <c r="M388" i="367"/>
  <c r="M387" i="367"/>
  <c r="M386" i="367"/>
  <c r="M385" i="367"/>
  <c r="M384" i="367"/>
  <c r="M383" i="367"/>
  <c r="M382" i="367"/>
  <c r="M381" i="367"/>
  <c r="M380" i="367"/>
  <c r="M379" i="367"/>
  <c r="M378" i="367"/>
  <c r="M377" i="367"/>
  <c r="M376" i="367"/>
  <c r="M375" i="367"/>
  <c r="M374" i="367"/>
  <c r="M373" i="367"/>
  <c r="M372" i="367"/>
  <c r="M371" i="367"/>
  <c r="M370" i="367"/>
  <c r="M369" i="367"/>
  <c r="M368" i="367"/>
  <c r="M367" i="367"/>
  <c r="M366" i="367"/>
  <c r="M365" i="367"/>
  <c r="M364" i="367"/>
  <c r="M363" i="367"/>
  <c r="M362" i="367"/>
  <c r="M361" i="367"/>
  <c r="M360" i="367"/>
  <c r="M359" i="367"/>
  <c r="M358" i="367"/>
  <c r="M357" i="367"/>
  <c r="M356" i="367"/>
  <c r="M355" i="367"/>
  <c r="M354" i="367"/>
  <c r="M353" i="367"/>
  <c r="M352" i="367"/>
  <c r="M351" i="367"/>
  <c r="M350" i="367"/>
  <c r="M349" i="367"/>
  <c r="M348" i="367"/>
  <c r="M347" i="367"/>
  <c r="M346" i="367"/>
  <c r="M345" i="367"/>
  <c r="M344" i="367"/>
  <c r="M343" i="367"/>
  <c r="M342" i="367"/>
  <c r="M341" i="367"/>
  <c r="M340" i="367"/>
  <c r="M339" i="367"/>
  <c r="M338" i="367"/>
  <c r="M337" i="367"/>
  <c r="M336" i="367"/>
  <c r="M335" i="367"/>
  <c r="M334" i="367"/>
  <c r="M333" i="367"/>
  <c r="M332" i="367"/>
  <c r="M331" i="367"/>
  <c r="M330" i="367"/>
  <c r="M329" i="367"/>
  <c r="M328" i="367"/>
  <c r="M327" i="367"/>
  <c r="M326" i="367"/>
  <c r="M325" i="367"/>
  <c r="M324" i="367"/>
  <c r="M323" i="367"/>
  <c r="M322" i="367"/>
  <c r="M321" i="367"/>
  <c r="M320" i="367"/>
  <c r="M319" i="367"/>
  <c r="M318" i="367"/>
  <c r="M317" i="367"/>
  <c r="M316" i="367"/>
  <c r="M315" i="367"/>
  <c r="M314" i="367"/>
  <c r="M313" i="367"/>
  <c r="M312" i="367"/>
  <c r="M311" i="367"/>
  <c r="M310" i="367"/>
  <c r="M309" i="367"/>
  <c r="M308" i="367"/>
  <c r="M307" i="367"/>
  <c r="M306" i="367"/>
  <c r="M305" i="367"/>
  <c r="M304" i="367"/>
  <c r="M303" i="367"/>
  <c r="M302" i="367"/>
  <c r="M301" i="367"/>
  <c r="M300" i="367"/>
  <c r="M299" i="367"/>
  <c r="M298" i="367"/>
  <c r="M297" i="367"/>
  <c r="M296" i="367"/>
  <c r="M295" i="367"/>
  <c r="M294" i="367"/>
  <c r="M293" i="367"/>
  <c r="M292" i="367"/>
  <c r="M291" i="367"/>
  <c r="M290" i="367"/>
  <c r="M289" i="367"/>
  <c r="M288" i="367"/>
  <c r="M287" i="367"/>
  <c r="M286" i="367"/>
  <c r="M285" i="367"/>
  <c r="M284" i="367"/>
  <c r="M283" i="367"/>
  <c r="M282" i="367"/>
  <c r="M281" i="367"/>
  <c r="M280" i="367"/>
  <c r="M279" i="367"/>
  <c r="M278" i="367"/>
  <c r="M277" i="367"/>
  <c r="M276" i="367"/>
  <c r="M275" i="367"/>
  <c r="M274" i="367"/>
  <c r="M273" i="367"/>
  <c r="M272" i="367"/>
  <c r="M271" i="367"/>
  <c r="M270" i="367"/>
  <c r="M269" i="367"/>
  <c r="M268" i="367"/>
  <c r="M267" i="367"/>
  <c r="M266" i="367"/>
  <c r="M265" i="367"/>
  <c r="M264" i="367"/>
  <c r="M263" i="367"/>
  <c r="M262" i="367"/>
  <c r="M261" i="367"/>
  <c r="M260" i="367"/>
  <c r="M259" i="367"/>
  <c r="M258" i="367"/>
  <c r="M257" i="367"/>
  <c r="M256" i="367"/>
  <c r="M255" i="367"/>
  <c r="M254" i="367"/>
  <c r="M253" i="367"/>
  <c r="M252" i="367"/>
  <c r="M251" i="367"/>
  <c r="M250" i="367"/>
  <c r="M249" i="367"/>
  <c r="M248" i="367"/>
  <c r="M247" i="367"/>
  <c r="M246" i="367"/>
  <c r="M245" i="367"/>
  <c r="M244" i="367"/>
  <c r="M243" i="367"/>
  <c r="M242" i="367"/>
  <c r="M241" i="367"/>
  <c r="M240" i="367"/>
  <c r="M239" i="367"/>
  <c r="M238" i="367"/>
  <c r="M237" i="367"/>
  <c r="M236" i="367"/>
  <c r="M235" i="367"/>
  <c r="M234" i="367"/>
  <c r="M233" i="367"/>
  <c r="M232" i="367"/>
  <c r="M231" i="367"/>
  <c r="M230" i="367"/>
  <c r="M229" i="367"/>
  <c r="M228" i="367"/>
  <c r="M227" i="367"/>
  <c r="M226" i="367"/>
  <c r="M225" i="367"/>
  <c r="M224" i="367"/>
  <c r="M223" i="367"/>
  <c r="M222" i="367"/>
  <c r="M221" i="367"/>
  <c r="M220" i="367"/>
  <c r="M219" i="367"/>
  <c r="M218" i="367"/>
  <c r="M217" i="367"/>
  <c r="M216" i="367"/>
  <c r="M215" i="367"/>
  <c r="M214" i="367"/>
  <c r="M213" i="367"/>
  <c r="M212" i="367"/>
  <c r="M211" i="367"/>
  <c r="M210" i="367"/>
  <c r="M209" i="367"/>
  <c r="M208" i="367"/>
  <c r="M207" i="367"/>
  <c r="M206" i="367"/>
  <c r="M205" i="367"/>
  <c r="M204" i="367"/>
  <c r="M203" i="367"/>
  <c r="M202" i="367"/>
  <c r="M201" i="367"/>
  <c r="M200" i="367"/>
  <c r="M199" i="367"/>
  <c r="M198" i="367"/>
  <c r="M197" i="367"/>
  <c r="M196" i="367"/>
  <c r="M195" i="367"/>
  <c r="M194" i="367"/>
  <c r="M193" i="367"/>
  <c r="M192" i="367"/>
  <c r="M191" i="367"/>
  <c r="M190" i="367"/>
  <c r="M189" i="367"/>
  <c r="M188" i="367"/>
  <c r="M187" i="367"/>
  <c r="M186" i="367"/>
  <c r="M185" i="367"/>
  <c r="M184" i="367"/>
  <c r="M183" i="367"/>
  <c r="M182" i="367"/>
  <c r="M181" i="367"/>
  <c r="M180" i="367"/>
  <c r="M179" i="367"/>
  <c r="M178" i="367"/>
  <c r="M177" i="367"/>
  <c r="M176" i="367"/>
  <c r="M175" i="367"/>
  <c r="M174" i="367"/>
  <c r="M173" i="367"/>
  <c r="M172" i="367"/>
  <c r="M171" i="367"/>
  <c r="M170" i="367"/>
  <c r="M169" i="367"/>
  <c r="M168" i="367"/>
  <c r="M167" i="367"/>
  <c r="M166" i="367"/>
  <c r="M165" i="367"/>
  <c r="M164" i="367"/>
  <c r="M163" i="367"/>
  <c r="M162" i="367"/>
  <c r="M161" i="367"/>
  <c r="M160" i="367"/>
  <c r="M159" i="367"/>
  <c r="M158" i="367"/>
  <c r="M157" i="367"/>
  <c r="M156" i="367"/>
  <c r="M155" i="367"/>
  <c r="M154" i="367"/>
  <c r="M153" i="367"/>
  <c r="M152" i="367"/>
  <c r="M151" i="367"/>
  <c r="M150" i="367"/>
  <c r="M149" i="367"/>
  <c r="M148" i="367"/>
  <c r="M147" i="367"/>
  <c r="M146" i="367"/>
  <c r="M145" i="367"/>
  <c r="M144" i="367"/>
  <c r="M143" i="367"/>
  <c r="M142" i="367"/>
  <c r="M141" i="367"/>
  <c r="M140" i="367"/>
  <c r="M139" i="367"/>
  <c r="M138" i="367"/>
  <c r="M137" i="367"/>
  <c r="M136" i="367"/>
  <c r="M135" i="367"/>
  <c r="M134" i="367"/>
  <c r="M133" i="367"/>
  <c r="M132" i="367"/>
  <c r="M131" i="367"/>
  <c r="M130" i="367"/>
  <c r="M129" i="367"/>
  <c r="M128" i="367"/>
  <c r="M127" i="367"/>
  <c r="M126" i="367"/>
  <c r="M125" i="367"/>
  <c r="M124" i="367"/>
  <c r="M123" i="367"/>
  <c r="M122" i="367"/>
  <c r="M121" i="367"/>
  <c r="M120" i="367"/>
  <c r="M119" i="367"/>
  <c r="M118" i="367"/>
  <c r="M117" i="367"/>
  <c r="M116" i="367"/>
  <c r="M115" i="367"/>
  <c r="M114" i="367"/>
  <c r="M113" i="367"/>
  <c r="M112" i="367"/>
  <c r="M111" i="367"/>
  <c r="M110" i="367"/>
  <c r="M109" i="367"/>
  <c r="M108" i="367"/>
  <c r="M107" i="367"/>
  <c r="M106" i="367"/>
  <c r="M105" i="367"/>
  <c r="M104" i="367"/>
  <c r="M103" i="367"/>
  <c r="M102" i="367"/>
  <c r="M101" i="367"/>
  <c r="M100" i="367"/>
  <c r="M99" i="367"/>
  <c r="M98" i="367"/>
  <c r="M97" i="367"/>
  <c r="M96" i="367"/>
  <c r="M95" i="367"/>
  <c r="M94" i="367"/>
  <c r="M93" i="367"/>
  <c r="M92" i="367"/>
  <c r="M91" i="367"/>
  <c r="M90" i="367"/>
  <c r="M89" i="367"/>
  <c r="M88" i="367"/>
  <c r="M87" i="367"/>
  <c r="M86" i="367"/>
  <c r="M85" i="367"/>
  <c r="M84" i="367"/>
  <c r="M83" i="367"/>
  <c r="M82" i="367"/>
  <c r="M81" i="367"/>
  <c r="M80" i="367"/>
  <c r="M79" i="367"/>
  <c r="M78" i="367"/>
  <c r="M77" i="367"/>
  <c r="M76" i="367"/>
  <c r="M75" i="367"/>
  <c r="M74" i="367"/>
  <c r="M73" i="367"/>
  <c r="M72" i="367"/>
  <c r="M71" i="367"/>
  <c r="M70" i="367"/>
  <c r="M69" i="367"/>
  <c r="M68" i="367"/>
  <c r="M67" i="367"/>
  <c r="M66" i="367"/>
  <c r="M65" i="367"/>
  <c r="M64" i="367"/>
  <c r="M63" i="367"/>
  <c r="M62" i="367"/>
  <c r="M61" i="367"/>
  <c r="M60" i="367"/>
  <c r="M59" i="367"/>
  <c r="M58" i="367"/>
  <c r="M57" i="367"/>
  <c r="M56" i="367"/>
  <c r="M55" i="367"/>
  <c r="M54" i="367"/>
  <c r="M53" i="367"/>
  <c r="M52" i="367"/>
  <c r="M51" i="367"/>
  <c r="M50" i="367"/>
  <c r="M49" i="367"/>
  <c r="M48" i="367"/>
  <c r="M47" i="367"/>
  <c r="M46" i="367"/>
  <c r="M45" i="367"/>
  <c r="M44" i="367"/>
  <c r="M43" i="367"/>
  <c r="M42" i="367"/>
  <c r="M41" i="367"/>
  <c r="M40" i="367"/>
  <c r="M39" i="367"/>
  <c r="M38" i="367"/>
  <c r="M37" i="367"/>
  <c r="M36" i="367"/>
  <c r="M35" i="367"/>
  <c r="M34" i="367"/>
  <c r="M33" i="367"/>
  <c r="M32" i="367"/>
  <c r="M31" i="367"/>
  <c r="M30" i="367"/>
  <c r="M29" i="367"/>
  <c r="M28" i="367"/>
  <c r="M27" i="367"/>
  <c r="M26" i="367"/>
  <c r="M25" i="367"/>
  <c r="M24" i="367"/>
  <c r="M23" i="367"/>
  <c r="M22" i="367"/>
  <c r="M21" i="367"/>
  <c r="M20" i="367"/>
  <c r="M19" i="367"/>
  <c r="M18" i="367"/>
  <c r="M17" i="367"/>
  <c r="M16" i="367"/>
  <c r="M15" i="367"/>
  <c r="M14" i="367"/>
  <c r="M13" i="367"/>
  <c r="M12" i="367"/>
  <c r="M11" i="367"/>
  <c r="M10" i="367"/>
  <c r="M9" i="367"/>
  <c r="M8" i="367"/>
  <c r="M7" i="367"/>
  <c r="M6" i="367"/>
  <c r="C9" i="431"/>
  <c r="C17" i="431"/>
  <c r="D10" i="431"/>
  <c r="D18" i="431"/>
  <c r="E11" i="431"/>
  <c r="E19" i="431"/>
  <c r="F12" i="431"/>
  <c r="F20" i="431"/>
  <c r="G13" i="431"/>
  <c r="G21" i="431"/>
  <c r="H14" i="431"/>
  <c r="H22" i="431"/>
  <c r="I15" i="431"/>
  <c r="I23" i="431"/>
  <c r="J16" i="431"/>
  <c r="K9" i="431"/>
  <c r="K17" i="431"/>
  <c r="L10" i="431"/>
  <c r="L18" i="431"/>
  <c r="M11" i="431"/>
  <c r="M19" i="431"/>
  <c r="N12" i="431"/>
  <c r="O13" i="431"/>
  <c r="O21" i="431"/>
  <c r="P14" i="431"/>
  <c r="P22" i="431"/>
  <c r="Q23" i="431"/>
  <c r="C10" i="431"/>
  <c r="C18" i="431"/>
  <c r="D11" i="431"/>
  <c r="D19" i="431"/>
  <c r="E12" i="431"/>
  <c r="E20" i="431"/>
  <c r="F13" i="431"/>
  <c r="F21" i="431"/>
  <c r="G14" i="431"/>
  <c r="G22" i="431"/>
  <c r="H15" i="431"/>
  <c r="H23" i="431"/>
  <c r="I16" i="431"/>
  <c r="J9" i="431"/>
  <c r="J17" i="431"/>
  <c r="K10" i="431"/>
  <c r="K18" i="431"/>
  <c r="L11" i="431"/>
  <c r="L19" i="431"/>
  <c r="M12" i="431"/>
  <c r="M20" i="431"/>
  <c r="N13" i="431"/>
  <c r="N21" i="431"/>
  <c r="O14" i="431"/>
  <c r="O22" i="431"/>
  <c r="P15" i="431"/>
  <c r="P23" i="431"/>
  <c r="C11" i="431"/>
  <c r="C19" i="431"/>
  <c r="D12" i="431"/>
  <c r="D20" i="431"/>
  <c r="E13" i="431"/>
  <c r="E21" i="431"/>
  <c r="F14" i="431"/>
  <c r="F22" i="431"/>
  <c r="G15" i="431"/>
  <c r="G23" i="431"/>
  <c r="H16" i="431"/>
  <c r="I9" i="431"/>
  <c r="I17" i="431"/>
  <c r="J10" i="431"/>
  <c r="J18" i="431"/>
  <c r="K11" i="431"/>
  <c r="K19" i="431"/>
  <c r="L12" i="431"/>
  <c r="L20" i="431"/>
  <c r="M13" i="431"/>
  <c r="M21" i="431"/>
  <c r="N14" i="431"/>
  <c r="N22" i="431"/>
  <c r="O15" i="431"/>
  <c r="O23" i="431"/>
  <c r="P16" i="431"/>
  <c r="Q9" i="431"/>
  <c r="Q17" i="431"/>
  <c r="C12" i="431"/>
  <c r="C20" i="431"/>
  <c r="D13" i="431"/>
  <c r="D21" i="431"/>
  <c r="E14" i="431"/>
  <c r="E22" i="431"/>
  <c r="F15" i="431"/>
  <c r="F23" i="431"/>
  <c r="G16" i="431"/>
  <c r="H9" i="431"/>
  <c r="H17" i="431"/>
  <c r="I10" i="431"/>
  <c r="I18" i="431"/>
  <c r="J11" i="431"/>
  <c r="J19" i="431"/>
  <c r="K12" i="431"/>
  <c r="K20" i="431"/>
  <c r="L13" i="431"/>
  <c r="L21" i="431"/>
  <c r="M14" i="431"/>
  <c r="M22" i="431"/>
  <c r="N15" i="431"/>
  <c r="N23" i="431"/>
  <c r="O16" i="431"/>
  <c r="P9" i="431"/>
  <c r="P17" i="431"/>
  <c r="Q10" i="431"/>
  <c r="Q18" i="431"/>
  <c r="C13" i="431"/>
  <c r="C21" i="431"/>
  <c r="D14" i="431"/>
  <c r="D22" i="431"/>
  <c r="E15" i="431"/>
  <c r="E23" i="431"/>
  <c r="F16" i="431"/>
  <c r="G9" i="431"/>
  <c r="G17" i="431"/>
  <c r="H10" i="431"/>
  <c r="H18" i="431"/>
  <c r="I11" i="431"/>
  <c r="I19" i="431"/>
  <c r="J12" i="431"/>
  <c r="J20" i="431"/>
  <c r="K13" i="431"/>
  <c r="K21" i="431"/>
  <c r="L14" i="431"/>
  <c r="L22" i="431"/>
  <c r="M15" i="431"/>
  <c r="M23" i="431"/>
  <c r="N16" i="431"/>
  <c r="O9" i="431"/>
  <c r="O17" i="431"/>
  <c r="P10" i="431"/>
  <c r="P18" i="431"/>
  <c r="Q11" i="431"/>
  <c r="Q19" i="431"/>
  <c r="C14" i="431"/>
  <c r="C22" i="431"/>
  <c r="D15" i="431"/>
  <c r="D23" i="431"/>
  <c r="E16" i="431"/>
  <c r="F9" i="431"/>
  <c r="F17" i="431"/>
  <c r="G10" i="431"/>
  <c r="G18" i="431"/>
  <c r="H11" i="431"/>
  <c r="H19" i="431"/>
  <c r="I12" i="431"/>
  <c r="I20" i="431"/>
  <c r="J13" i="431"/>
  <c r="J21" i="431"/>
  <c r="K14" i="431"/>
  <c r="K22" i="431"/>
  <c r="L15" i="431"/>
  <c r="L23" i="431"/>
  <c r="M16" i="431"/>
  <c r="N9" i="431"/>
  <c r="N17" i="431"/>
  <c r="O10" i="431"/>
  <c r="O18" i="431"/>
  <c r="P11" i="431"/>
  <c r="P19" i="431"/>
  <c r="Q12" i="431"/>
  <c r="Q20" i="431"/>
  <c r="N18" i="431"/>
  <c r="P12" i="431"/>
  <c r="Q13" i="431"/>
  <c r="Q21" i="431"/>
  <c r="C15" i="431"/>
  <c r="C23" i="431"/>
  <c r="D16" i="431"/>
  <c r="E9" i="431"/>
  <c r="E17" i="431"/>
  <c r="F10" i="431"/>
  <c r="F18" i="431"/>
  <c r="G11" i="431"/>
  <c r="G19" i="431"/>
  <c r="H12" i="431"/>
  <c r="H20" i="431"/>
  <c r="I13" i="431"/>
  <c r="I21" i="431"/>
  <c r="J14" i="431"/>
  <c r="J22" i="431"/>
  <c r="K15" i="431"/>
  <c r="K23" i="431"/>
  <c r="L16" i="431"/>
  <c r="M9" i="431"/>
  <c r="M17" i="431"/>
  <c r="N10" i="431"/>
  <c r="O11" i="431"/>
  <c r="O19" i="431"/>
  <c r="P20" i="431"/>
  <c r="C16" i="431"/>
  <c r="D9" i="431"/>
  <c r="D17" i="431"/>
  <c r="E10" i="431"/>
  <c r="E18" i="431"/>
  <c r="F11" i="431"/>
  <c r="F19" i="431"/>
  <c r="G12" i="431"/>
  <c r="G20" i="431"/>
  <c r="H13" i="431"/>
  <c r="H21" i="431"/>
  <c r="I14" i="431"/>
  <c r="I22" i="431"/>
  <c r="J15" i="431"/>
  <c r="J23" i="431"/>
  <c r="K16" i="431"/>
  <c r="L9" i="431"/>
  <c r="L17" i="431"/>
  <c r="M10" i="431"/>
  <c r="M18" i="431"/>
  <c r="N11" i="431"/>
  <c r="N19" i="431"/>
  <c r="O12" i="431"/>
  <c r="O20" i="431"/>
  <c r="P13" i="431"/>
  <c r="P21" i="431"/>
  <c r="Q14" i="431"/>
  <c r="Q22" i="431"/>
  <c r="N20" i="431"/>
  <c r="Q15" i="431"/>
  <c r="Q16" i="431"/>
  <c r="S16" i="431" l="1"/>
  <c r="R16" i="431"/>
  <c r="S15" i="431"/>
  <c r="R15" i="431"/>
  <c r="S22" i="431"/>
  <c r="R22" i="431"/>
  <c r="S14" i="431"/>
  <c r="R14" i="431"/>
  <c r="S21" i="431"/>
  <c r="R21" i="431"/>
  <c r="S13" i="431"/>
  <c r="R13" i="431"/>
  <c r="S20" i="431"/>
  <c r="R20" i="431"/>
  <c r="S12" i="431"/>
  <c r="R12" i="431"/>
  <c r="S19" i="431"/>
  <c r="R19" i="431"/>
  <c r="S11" i="431"/>
  <c r="R11" i="431"/>
  <c r="R18" i="431"/>
  <c r="S18" i="431"/>
  <c r="S10" i="431"/>
  <c r="R10" i="431"/>
  <c r="S17" i="431"/>
  <c r="R17" i="431"/>
  <c r="R9" i="431"/>
  <c r="S9" i="431"/>
  <c r="S23" i="431"/>
  <c r="R23" i="431"/>
  <c r="O8" i="431"/>
  <c r="G8" i="431"/>
  <c r="E8" i="431"/>
  <c r="D8" i="431"/>
  <c r="N8" i="431"/>
  <c r="I8" i="431"/>
  <c r="K8" i="431"/>
  <c r="C8" i="431"/>
  <c r="P8" i="431"/>
  <c r="H8" i="431"/>
  <c r="F8" i="431"/>
  <c r="Q8" i="431"/>
  <c r="J8" i="431"/>
  <c r="M8" i="431"/>
  <c r="L8" i="431"/>
  <c r="C6" i="431" l="1"/>
  <c r="L6" i="431"/>
  <c r="R8" i="431"/>
  <c r="S8" i="431"/>
  <c r="Q6" i="431"/>
  <c r="N6" i="431"/>
  <c r="K6" i="431"/>
  <c r="M6" i="431"/>
  <c r="H6" i="431"/>
  <c r="I6" i="431"/>
  <c r="P6" i="431"/>
  <c r="G6" i="431"/>
  <c r="J6" i="431"/>
  <c r="O6" i="431"/>
  <c r="R6" i="431" l="1"/>
  <c r="S6" i="431"/>
  <c r="D22" i="414" l="1"/>
  <c r="E22" i="414" s="1"/>
  <c r="D21" i="414"/>
  <c r="A29" i="383" l="1"/>
  <c r="Q3" i="430"/>
  <c r="P3" i="430"/>
  <c r="S3" i="430" s="1"/>
  <c r="M3" i="430"/>
  <c r="R3" i="430" s="1"/>
  <c r="L3" i="430"/>
  <c r="I3" i="430"/>
  <c r="H3" i="430"/>
  <c r="H3" i="344" l="1"/>
  <c r="E11" i="339" s="1"/>
  <c r="E3" i="344"/>
  <c r="B3" i="344"/>
  <c r="I3" i="344" s="1"/>
  <c r="J3" i="344" l="1"/>
  <c r="D20" i="414" s="1"/>
  <c r="C11" i="339"/>
  <c r="E21" i="414"/>
  <c r="A22" i="414"/>
  <c r="A21" i="414"/>
  <c r="A20" i="414"/>
  <c r="A12" i="414" l="1"/>
  <c r="A11" i="414"/>
  <c r="A9" i="414"/>
  <c r="A8" i="414"/>
  <c r="A7" i="414"/>
  <c r="A27" i="383" l="1"/>
  <c r="G3" i="429"/>
  <c r="F3" i="429"/>
  <c r="E3" i="429"/>
  <c r="D3" i="429"/>
  <c r="C3" i="429"/>
  <c r="B3" i="429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C11" i="340" l="1"/>
  <c r="A21" i="383" l="1"/>
  <c r="A11" i="383"/>
  <c r="A7" i="339" l="1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A18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F15" i="339" l="1"/>
  <c r="B13" i="340" l="1"/>
  <c r="B12" i="340"/>
  <c r="A24" i="414" l="1"/>
  <c r="A19" i="414"/>
  <c r="R3" i="410" l="1"/>
  <c r="Q3" i="410"/>
  <c r="P3" i="410"/>
  <c r="S3" i="410" s="1"/>
  <c r="O3" i="410"/>
  <c r="N3" i="410"/>
  <c r="L3" i="410"/>
  <c r="K3" i="410"/>
  <c r="J3" i="410"/>
  <c r="M3" i="410" s="1"/>
  <c r="I3" i="410"/>
  <c r="H3" i="410"/>
  <c r="F3" i="410"/>
  <c r="E3" i="410"/>
  <c r="D3" i="410"/>
  <c r="G3" i="410" s="1"/>
  <c r="C3" i="410"/>
  <c r="B3" i="410"/>
  <c r="D23" i="414" s="1"/>
  <c r="Z3" i="344" l="1"/>
  <c r="Y3" i="344"/>
  <c r="W3" i="344"/>
  <c r="AB3" i="344" s="1"/>
  <c r="V3" i="344"/>
  <c r="T3" i="344"/>
  <c r="AA3" i="344" s="1"/>
  <c r="Q3" i="344"/>
  <c r="P3" i="344"/>
  <c r="N3" i="344"/>
  <c r="S3" i="344" s="1"/>
  <c r="M3" i="344"/>
  <c r="K3" i="344"/>
  <c r="R3" i="344" s="1"/>
  <c r="G3" i="344"/>
  <c r="C3" i="344"/>
  <c r="B11" i="339"/>
  <c r="J11" i="339" s="1"/>
  <c r="I11" i="339" l="1"/>
  <c r="F11" i="339"/>
  <c r="H11" i="339" l="1"/>
  <c r="G11" i="339"/>
  <c r="A23" i="414"/>
  <c r="A15" i="414"/>
  <c r="A16" i="414"/>
  <c r="A4" i="414"/>
  <c r="A6" i="339" l="1"/>
  <c r="A5" i="339"/>
  <c r="D16" i="414"/>
  <c r="C19" i="414"/>
  <c r="D4" i="414"/>
  <c r="D19" i="414"/>
  <c r="C16" i="414"/>
  <c r="D12" i="414" l="1"/>
  <c r="D8" i="414"/>
  <c r="C15" i="414" l="1"/>
  <c r="C7" i="414"/>
  <c r="D11" i="414" l="1"/>
  <c r="E11" i="414" s="1"/>
  <c r="E23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F12" i="339" s="1"/>
  <c r="B12" i="339"/>
  <c r="J12" i="339" s="1"/>
  <c r="O3" i="377"/>
  <c r="N3" i="377"/>
  <c r="Q3" i="377" s="1"/>
  <c r="K3" i="377"/>
  <c r="P3" i="377" s="1"/>
  <c r="J3" i="377"/>
  <c r="G3" i="377"/>
  <c r="F3" i="377"/>
  <c r="P3" i="345"/>
  <c r="O3" i="345"/>
  <c r="R3" i="345" s="1"/>
  <c r="L3" i="345"/>
  <c r="K3" i="345"/>
  <c r="H3" i="345"/>
  <c r="G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F3" i="387"/>
  <c r="N3" i="220"/>
  <c r="L3" i="220" s="1"/>
  <c r="C24" i="414"/>
  <c r="D24" i="414"/>
  <c r="Q3" i="345" l="1"/>
  <c r="S3" i="347"/>
  <c r="U3" i="347"/>
  <c r="Q3" i="347"/>
  <c r="H3" i="387"/>
  <c r="I12" i="339"/>
  <c r="I13" i="339" s="1"/>
  <c r="F13" i="339"/>
  <c r="E13" i="339"/>
  <c r="E15" i="339" s="1"/>
  <c r="H12" i="339"/>
  <c r="G12" i="339"/>
  <c r="K3" i="390"/>
  <c r="A4" i="383"/>
  <c r="A31" i="383"/>
  <c r="A30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D18" i="414"/>
  <c r="C4" i="414"/>
  <c r="H13" i="339" l="1"/>
  <c r="G15" i="339"/>
  <c r="H15" i="339"/>
  <c r="J13" i="339"/>
  <c r="B15" i="339"/>
  <c r="E16" i="414"/>
  <c r="E4" i="414"/>
  <c r="C6" i="340"/>
  <c r="D6" i="340" s="1"/>
  <c r="B4" i="340"/>
  <c r="G13" i="339"/>
  <c r="C4" i="340" l="1"/>
  <c r="E19" i="414"/>
  <c r="E24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62361</author>
  </authors>
  <commentList>
    <comment ref="A4" authorId="0" shapeId="0" xr:uid="{00000000-0006-0000-1A00-000001000000}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<sst xmlns="http://schemas.openxmlformats.org/spreadsheetml/2006/main" count="4880" uniqueCount="1360">
  <si>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</si>
  <si>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</si>
  <si>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</si>
  <si>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</si>
  <si>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</si>
  <si>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</si>
  <si>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</si>
  <si>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</si>
  <si>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</si>
  <si>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</si>
  <si>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</si>
  <si>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</si>
  <si>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</si>
  <si>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</si>
  <si>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</si>
  <si>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</si>
  <si>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</si>
  <si>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</si>
  <si>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</si>
  <si>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</si>
  <si>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</si>
  <si>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</si>
  <si>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</si>
  <si>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</si>
  <si>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</si>
  <si>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</si>
  <si>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</si>
  <si>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</si>
  <si>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</si>
  <si>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</si>
  <si>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</si>
  <si>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</si>
  <si>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</si>
  <si>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</si>
  <si>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</si>
  <si>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</si>
  <si>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</si>
  <si>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</si>
  <si>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</si>
  <si>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</si>
  <si>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</si>
  <si>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</si>
  <si>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</si>
  <si>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</si>
  <si>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</si>
  <si>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</si>
  <si>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</si>
  <si>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</si>
  <si>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</si>
  <si>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</si>
  <si>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</si>
  <si>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</si>
  <si>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</si>
  <si>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</si>
  <si>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</si>
  <si>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</si>
  <si>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</si>
  <si>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</si>
  <si>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</si>
  <si>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</si>
  <si>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</si>
  <si>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</si>
  <si>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</si>
  <si>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</si>
  <si>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</si>
  <si>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</si>
  <si>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</si>
  <si>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</si>
  <si>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</si>
  <si>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</si>
  <si>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</si>
  <si>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</si>
  <si>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</si>
  <si>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</si>
  <si>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</si>
  <si>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</si>
  <si>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</si>
  <si>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</si>
  <si>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</si>
  <si>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</si>
  <si>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</si>
  <si>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</si>
  <si>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</si>
  <si>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</si>
  <si>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</si>
  <si>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</si>
  <si>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</si>
  <si>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</si>
  <si>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</si>
  <si>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</si>
  <si>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</si>
  <si>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</si>
  <si>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</si>
  <si>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</si>
  <si>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</si>
  <si>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</si>
  <si>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</si>
  <si>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</si>
  <si>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</si>
  <si>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</si>
  <si>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</si>
  <si>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</si>
  <si>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</si>
  <si>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</si>
  <si>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</si>
  <si>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</si>
  <si>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</si>
  <si>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</si>
  <si>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</si>
  <si>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</si>
  <si>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</si>
  <si>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</si>
  <si>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</si>
  <si>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</si>
  <si>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</si>
  <si>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</si>
  <si>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</si>
  <si>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</si>
  <si>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</si>
  <si>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</si>
  <si>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</si>
  <si>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</si>
  <si>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</si>
  <si>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</si>
  <si>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</si>
  <si>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</si>
  <si>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</si>
  <si>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</si>
  <si>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</si>
  <si>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</si>
  <si>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</si>
  <si>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</si>
  <si>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</si>
  <si>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</si>
  <si>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</si>
  <si>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</si>
  <si>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</si>
  <si>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</si>
  <si>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</si>
  <si>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</si>
  <si>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</si>
  <si>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</si>
  <si>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</si>
  <si>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</si>
  <si>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</si>
  <si>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</si>
  <si>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</si>
  <si>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</si>
  <si>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</si>
  <si>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</si>
  <si>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</si>
  <si>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</si>
  <si>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</si>
  <si>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</si>
  <si>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</si>
  <si>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</si>
  <si>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</si>
  <si>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</si>
  <si>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</si>
  <si>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</si>
  <si>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</si>
  <si>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</si>
  <si>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</si>
  <si>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</si>
  <si>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</si>
  <si>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Lékař / ATC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</si>
  <si>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</si>
  <si>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</si>
  <si>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</si>
  <si>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</si>
  <si>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</si>
  <si>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</si>
  <si>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</si>
  <si>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</si>
  <si>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</si>
  <si>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</si>
  <si>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</si>
  <si>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</si>
  <si>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</si>
  <si>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</si>
  <si>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</si>
  <si>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</si>
  <si>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</si>
  <si>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</si>
  <si>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</si>
  <si>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</si>
  <si>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</si>
  <si>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</si>
  <si>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</si>
  <si>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</si>
  <si>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</si>
  <si>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</si>
  <si>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</si>
  <si>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</si>
  <si>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</si>
  <si>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</si>
  <si>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</si>
  <si>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</si>
  <si>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</si>
  <si>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</si>
  <si>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</si>
  <si>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</si>
  <si>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</si>
  <si>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</si>
  <si>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</si>
  <si>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</si>
  <si>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</si>
  <si>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</si>
  <si>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</si>
  <si>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</si>
  <si>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Sml.odb./NS</t>
  </si>
  <si>
    <t>§</t>
  </si>
  <si>
    <t>ZV Vykáz.-A Det.Lék.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</si>
  <si>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</si>
  <si>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</si>
  <si>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</si>
  <si>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</si>
  <si>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</si>
  <si>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</si>
  <si>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</si>
  <si>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</si>
  <si>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</si>
  <si>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</si>
  <si>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</si>
  <si>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</si>
  <si>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</si>
  <si>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</si>
  <si>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</si>
  <si>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</si>
  <si>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</si>
  <si>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</si>
  <si>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</si>
  <si>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</si>
  <si>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</si>
  <si>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</si>
  <si>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</si>
  <si>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</si>
  <si>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</si>
  <si>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</si>
  <si>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</si>
  <si>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</si>
  <si>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</si>
  <si>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</si>
  <si>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</si>
  <si>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</si>
  <si>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</si>
  <si>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</si>
  <si>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01/2020</t>
  </si>
  <si>
    <t>02/2020</t>
  </si>
  <si>
    <t>03/2020</t>
  </si>
  <si>
    <t>04/2020</t>
  </si>
  <si>
    <t>05/2020</t>
  </si>
  <si>
    <t>06/2020</t>
  </si>
  <si>
    <t>07/2020</t>
  </si>
  <si>
    <t>08/2020</t>
  </si>
  <si>
    <t>09/2020</t>
  </si>
  <si>
    <t>10/2020</t>
  </si>
  <si>
    <t>11/2020</t>
  </si>
  <si>
    <t>12/2020</t>
  </si>
  <si>
    <t>Rozp. 2019            CELKEM</t>
  </si>
  <si>
    <t>Skut. 2019 CELKEM</t>
  </si>
  <si>
    <t>ROZDÍL  Skut. - Rozp. 2019</t>
  </si>
  <si>
    <t>% plnění rozp.2019</t>
  </si>
  <si>
    <t>Rozp.rok 2020</t>
  </si>
  <si>
    <t>Sk.v tis 2020</t>
  </si>
  <si>
    <t>ROZDÍL (Sk.do data - Rozp.do data 2020)</t>
  </si>
  <si>
    <t>% plnění (Skut.do data/Rozp.rok 2020)</t>
  </si>
  <si>
    <t>Rozdíl 2018</t>
  </si>
  <si>
    <t>Plnění 2018</t>
  </si>
  <si>
    <t>% 2018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</si>
  <si>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Ústav lékařské genetiky a fetální medicíny</t>
    </r>
  </si>
  <si>
    <t/>
  </si>
  <si>
    <t>Plnění rozpočtu po měsících</t>
  </si>
  <si>
    <t>5     Náklady</t>
  </si>
  <si>
    <t xml:space="preserve">     50     Spotřebované nákupy</t>
  </si>
  <si>
    <t xml:space="preserve">          501     Spotřeba materiálu</t>
  </si>
  <si>
    <t xml:space="preserve">               50109     Cenové odchylky k materiálu</t>
  </si>
  <si>
    <t xml:space="preserve">                    50109000     Cenové odchylky k materiálu</t>
  </si>
  <si>
    <t xml:space="preserve">               50113     Léky a léčiva</t>
  </si>
  <si>
    <t xml:space="preserve">                    50113001     Léky - paušál (LEK)</t>
  </si>
  <si>
    <t xml:space="preserve">               50115     Zdravotnické prostředky</t>
  </si>
  <si>
    <t xml:space="preserve">                    50115020     Laboratorní diagnostika-LEK (Z501)</t>
  </si>
  <si>
    <t xml:space="preserve">                    50115040     Laboratorní materiál (Z505)</t>
  </si>
  <si>
    <t xml:space="preserve">                    50115050     Obvazový materiál (Z502)</t>
  </si>
  <si>
    <t xml:space="preserve">                    50115060     ZPr - ostatní (Z503)</t>
  </si>
  <si>
    <t xml:space="preserve">                    50115063     ZPr - vaky, sety (Z528)</t>
  </si>
  <si>
    <t xml:space="preserve">                    50115065     ZPr - vpichovací materiál (Z530)</t>
  </si>
  <si>
    <t xml:space="preserve">                    50115067     ZPr - rukavice (Z532)</t>
  </si>
  <si>
    <t xml:space="preserve">               50117     Všeobecný materiál</t>
  </si>
  <si>
    <t xml:space="preserve">                    50117001     Všeobecný materiál (N524,525,P35,49,T13,V26,31,32,34,35,37,47,111,Z510)</t>
  </si>
  <si>
    <t xml:space="preserve">                    50117002     Prací a čistící prostř.,drog.zboží (sk.V41)</t>
  </si>
  <si>
    <t xml:space="preserve">                    50117003     Desinfekční prostředky (ID-ř.733-LEK)</t>
  </si>
  <si>
    <t xml:space="preserve">                    50117004     Tiskopisy a kanc.potřeby (sk.V42, 43)</t>
  </si>
  <si>
    <t xml:space="preserve">                    50117005     Údržbový materiál ZVIT (sk.B36,61,62,64)</t>
  </si>
  <si>
    <t xml:space="preserve">                    50117008     Spotřební materiál k PDS (potrubní pošta (sk.V22)</t>
  </si>
  <si>
    <t xml:space="preserve">                    50117009     Spotřební materiál k ZPr. (sk.V21)</t>
  </si>
  <si>
    <t xml:space="preserve">                    50117011     Obalový mat. pro sterilizaci (sk.V20)</t>
  </si>
  <si>
    <t xml:space="preserve">                    50117015     IT - spotřební materiál (sk. P37, 38, 48)</t>
  </si>
  <si>
    <t xml:space="preserve">                    50117024     Všeob.mat. - ostatní-vyjímky (V44) od 0,01 do 999,99</t>
  </si>
  <si>
    <t xml:space="preserve">                    50117190     Technické plyny</t>
  </si>
  <si>
    <t xml:space="preserve">               50118     Náhradní díly</t>
  </si>
  <si>
    <t xml:space="preserve">                    50118003     ND - ostatní techn.(OSBTK, vč.metrologa)</t>
  </si>
  <si>
    <t xml:space="preserve">                    50118005     ND - výpoč. techn.(sklad) (sk.P47)</t>
  </si>
  <si>
    <t xml:space="preserve">                    50118006     ND - ZVIT (sk.B63)</t>
  </si>
  <si>
    <t xml:space="preserve">                    50118009     ND - ostatní technika (UTZ)</t>
  </si>
  <si>
    <t xml:space="preserve">               50119     DDHM a textil</t>
  </si>
  <si>
    <t xml:space="preserve">                    50119077     OOPP a prádlo pro zaměstnance (sk.T14)</t>
  </si>
  <si>
    <t xml:space="preserve">                    50119100     Jednorázové ochranné pomůcky (sk.T18A)</t>
  </si>
  <si>
    <t xml:space="preserve">                    50119101     Jednorázový operační materiál (sk.T18B)</t>
  </si>
  <si>
    <t xml:space="preserve">                    50119102     Jednorázové hygienické potřeby (sk.T18C)</t>
  </si>
  <si>
    <t xml:space="preserve">                    50119080     OOPP a prádlo pro zaměstnance COVID19 - ochranné štíty (sk.T14C)</t>
  </si>
  <si>
    <t xml:space="preserve">                    50119103     Jednorázové ochranné pomůcky COVID19 - masky (sk.T18D)</t>
  </si>
  <si>
    <t xml:space="preserve">                    50119104     Jednorázové ochranné pomůcky COVID19 - respirátory FFP 2 (sk.T18E)</t>
  </si>
  <si>
    <t xml:space="preserve">          502     Spotřeba energie</t>
  </si>
  <si>
    <t xml:space="preserve">               50210     Spotřeba energie</t>
  </si>
  <si>
    <t xml:space="preserve">                    50210071     Elektřina</t>
  </si>
  <si>
    <t xml:space="preserve">                    50210072     Vodné, stočné</t>
  </si>
  <si>
    <t xml:space="preserve">                    50210073     Pára</t>
  </si>
  <si>
    <t xml:space="preserve">     51     Služby</t>
  </si>
  <si>
    <t xml:space="preserve">          511     Opravy a udržování</t>
  </si>
  <si>
    <t xml:space="preserve">               51102     Technika a stavby</t>
  </si>
  <si>
    <t xml:space="preserve">                    51102021     Opravy zdravotnické techniky - OSBTK, vč.metrologa</t>
  </si>
  <si>
    <t xml:space="preserve">                    51102023     Opravy ostatní techniky - OSBTK, vč.metrologa</t>
  </si>
  <si>
    <t xml:space="preserve">                    51102024     Opravy - správa budov</t>
  </si>
  <si>
    <t xml:space="preserve">                    51102025     Opravy - hl.energetik</t>
  </si>
  <si>
    <t xml:space="preserve">                    51102032     Opravy zdravotnické techniky - UTZ</t>
  </si>
  <si>
    <t xml:space="preserve">                    51102033     Opravy ostatní techniky - UTZ</t>
  </si>
  <si>
    <t xml:space="preserve">                    51102034     Opravy ostatní techniky - ELSYS</t>
  </si>
  <si>
    <t xml:space="preserve">          512     Cestovné</t>
  </si>
  <si>
    <t xml:space="preserve">               51201     Cestovné zaměstnanců-tuzemské</t>
  </si>
  <si>
    <t xml:space="preserve">                    51201000     Cestovné z mezd</t>
  </si>
  <si>
    <t xml:space="preserve">                    51201001     Cestovné tuzemské - OUC</t>
  </si>
  <si>
    <t xml:space="preserve">               51203     Cestovné zaměstnanců-zahraniční</t>
  </si>
  <si>
    <t xml:space="preserve">                    51203000     Cestovné zahraniční - mzdy</t>
  </si>
  <si>
    <t xml:space="preserve">          518     Ostatní služby</t>
  </si>
  <si>
    <t xml:space="preserve">               51802     Spoje</t>
  </si>
  <si>
    <t xml:space="preserve">                    51802001     Poštovné</t>
  </si>
  <si>
    <t xml:space="preserve">                    51802003     Telekom.styk</t>
  </si>
  <si>
    <t xml:space="preserve">               51804     Nájemné</t>
  </si>
  <si>
    <t xml:space="preserve">                    51804004     Popl. za R a TV, veř. produkce</t>
  </si>
  <si>
    <t xml:space="preserve">                    51804005     Náj. plynových lahví</t>
  </si>
  <si>
    <t xml:space="preserve">               51806     Úklid, odpad, desinf., deratizace</t>
  </si>
  <si>
    <t xml:space="preserve">                    51806001     Úklid. služby - paušál</t>
  </si>
  <si>
    <t xml:space="preserve">                    51806002     Úklid. služby - více práce</t>
  </si>
  <si>
    <t xml:space="preserve">                    51806004     Popl. za DDD a ostatní služby</t>
  </si>
  <si>
    <t xml:space="preserve">                    51806005     Odpad (spalovna)</t>
  </si>
  <si>
    <t xml:space="preserve">                    51806007     Praní prádla</t>
  </si>
  <si>
    <t xml:space="preserve">               51807     Stravné, pohoštění - dodavatelsky</t>
  </si>
  <si>
    <t xml:space="preserve">                    51807002     Konference - pohoštění zajištěné ve vlastní režii</t>
  </si>
  <si>
    <t xml:space="preserve">               51808     Revize a smluvní servisy majetku</t>
  </si>
  <si>
    <t xml:space="preserve">                    51808008     Revize, tech.kontroly, prev.prohl.- OSBTK</t>
  </si>
  <si>
    <t xml:space="preserve">                    51808009     Revize, sml.servis PO - OBKR</t>
  </si>
  <si>
    <t xml:space="preserve">                    51808013     Revize - kalibrace - metrolog</t>
  </si>
  <si>
    <t xml:space="preserve">                    51808018     Smluvní servis - OSBTK</t>
  </si>
  <si>
    <t xml:space="preserve">                    51808021     Revize, tech.kontroly, prev.prohl.- UTZ</t>
  </si>
  <si>
    <t xml:space="preserve">               51874     Ostatní služby</t>
  </si>
  <si>
    <t xml:space="preserve">                    51874011     Zkoušky kvality</t>
  </si>
  <si>
    <t xml:space="preserve">                    51874015     Organ.rozvoj (certif., akred.)</t>
  </si>
  <si>
    <t xml:space="preserve">     52     Osobní náklady</t>
  </si>
  <si>
    <t xml:space="preserve">          521     Mzdové náklady</t>
  </si>
  <si>
    <t xml:space="preserve">               52111     Hrubé mzdy</t>
  </si>
  <si>
    <t xml:space="preserve">                    52111000     Hrubé mzdy</t>
  </si>
  <si>
    <t xml:space="preserve">               52121     OON - dohody</t>
  </si>
  <si>
    <t xml:space="preserve">                    52121000     OON - dohody</t>
  </si>
  <si>
    <t xml:space="preserve">               52128     Náhrada mzdy po dobu dočas.prac.neschopnosti</t>
  </si>
  <si>
    <t xml:space="preserve">                    52128000     Náhrada mzdy po dobu dočas.prac.neschop.-hraz.org.</t>
  </si>
  <si>
    <t xml:space="preserve">               52148     Peněžité dary z FKSP</t>
  </si>
  <si>
    <t xml:space="preserve">                    52148000     Peněžité dary z FKSP</t>
  </si>
  <si>
    <t xml:space="preserve">               52116     </t>
  </si>
  <si>
    <t xml:space="preserve">                    52116000     Mimořádné finanční ohodnocení - Covid 19</t>
  </si>
  <si>
    <t xml:space="preserve">          524     Zákonné sociální pojištění</t>
  </si>
  <si>
    <t xml:space="preserve">               52401     Zdravotní pojištění organizace</t>
  </si>
  <si>
    <t xml:space="preserve">                    52401000     Zdravotní poj. organizace</t>
  </si>
  <si>
    <t xml:space="preserve">               52402     Sociální pojištění organizace</t>
  </si>
  <si>
    <t xml:space="preserve">                    52402000     Sociální poj. organizace</t>
  </si>
  <si>
    <t xml:space="preserve">               52411     </t>
  </si>
  <si>
    <t xml:space="preserve">                    52411000     Zdravotní poj. organizace - COVID 19</t>
  </si>
  <si>
    <t xml:space="preserve">               52412     </t>
  </si>
  <si>
    <t xml:space="preserve">                    52412000     Sociální poj.- COVID 19</t>
  </si>
  <si>
    <t xml:space="preserve">          525     Jiné sociální pojištění</t>
  </si>
  <si>
    <t xml:space="preserve">               52510     Jiné sociální pojištění</t>
  </si>
  <si>
    <t xml:space="preserve">                    52510000     Pojištění zaměstnanců (čtvrtletně)</t>
  </si>
  <si>
    <t xml:space="preserve">          527     Zákonné sociální náklady</t>
  </si>
  <si>
    <t xml:space="preserve">               52710     Zákonné sociální náklady</t>
  </si>
  <si>
    <t xml:space="preserve">                    52710001     FKSP - jednotný příděl</t>
  </si>
  <si>
    <t xml:space="preserve">          528     Ostatní sociální náklady</t>
  </si>
  <si>
    <t xml:space="preserve">               52810     Jiné sociální náklady</t>
  </si>
  <si>
    <t xml:space="preserve">                    52810000     Zvyšování kvalifikace (OPMČ)</t>
  </si>
  <si>
    <t xml:space="preserve">     54     Jiné provozní náklady</t>
  </si>
  <si>
    <t xml:space="preserve">          549     Ostatní náklady z činnosti</t>
  </si>
  <si>
    <t xml:space="preserve">               54910     Ostatní náklady z činnosti</t>
  </si>
  <si>
    <t xml:space="preserve">                    54910003     Práce výrobní povahy(výroba klíčů,tabulek)</t>
  </si>
  <si>
    <t xml:space="preserve">                    54910008     Školení, kongresové poplatky tuzemské - lékaři</t>
  </si>
  <si>
    <t xml:space="preserve">                    54910009     Školení, kongresové poplatky tuzemské - ost.zdrav.pracov.</t>
  </si>
  <si>
    <t xml:space="preserve">               54972     Školení, kongres.popl.tuzemské - lékaři (pouze OPMČ)</t>
  </si>
  <si>
    <t xml:space="preserve">                    54972000     Školení, kongres.popl.tuzemské - lékaři (pouze OPMČ)</t>
  </si>
  <si>
    <t xml:space="preserve">               54973     Školení, kongres.popl.tuzemské - ostatní zdrav.prac.(pouze OPMČ)</t>
  </si>
  <si>
    <t xml:space="preserve">                    54973000     Školení, kongres.popl.tuzemské - ostatní zdrav.prac.(pouze OPMČ)</t>
  </si>
  <si>
    <t xml:space="preserve">               54977     Registrační poplatky - kongresy zahraniční (pouze OPMČ)</t>
  </si>
  <si>
    <t xml:space="preserve">                    54977000     Registrační poplatky - kongresy zahraniční (pouze OPMČ)</t>
  </si>
  <si>
    <t xml:space="preserve">     55     Odpisy,rezervy a opravné položky provoz.nákladů</t>
  </si>
  <si>
    <t xml:space="preserve">          551     Odpisy dlouhodobého nehm. a hm. majetku</t>
  </si>
  <si>
    <t xml:space="preserve">               55110     Odpisy DM</t>
  </si>
  <si>
    <t xml:space="preserve">                    55110002     Odpisy DNM z odpisů</t>
  </si>
  <si>
    <t xml:space="preserve">                    55110003     Odpisy DHM - budovy z odpisů</t>
  </si>
  <si>
    <t xml:space="preserve">                    55110004     Odpisy DHM - zdravot.techn. z odpisů</t>
  </si>
  <si>
    <t xml:space="preserve">                    55110005     Odpisy DHM - ostatní z odpisů</t>
  </si>
  <si>
    <t xml:space="preserve">                    55110013     Odpisy DHM - budovy z dotací</t>
  </si>
  <si>
    <t xml:space="preserve">                    55110014     Odpisy DHM - zdravot.techn. z dotací</t>
  </si>
  <si>
    <t xml:space="preserve">          558     Náklady z drobného dlouhodobého majetku</t>
  </si>
  <si>
    <t xml:space="preserve">               55801     DDHM zdravotnický a laboratorní</t>
  </si>
  <si>
    <t xml:space="preserve">                    55801001     DDHM - zdravotnické přístroje (sk.N_525)</t>
  </si>
  <si>
    <t xml:space="preserve">               55802     DDHM - provozní</t>
  </si>
  <si>
    <t xml:space="preserve">                    55802001     DDHM - kuchyňské zařízení a nádobí (sk.V_26)</t>
  </si>
  <si>
    <t xml:space="preserve">               55806     DDHM ostatní </t>
  </si>
  <si>
    <t xml:space="preserve">                    55806001     DDHM - ostatní, razítka (sk.V_47, V_112)</t>
  </si>
  <si>
    <t xml:space="preserve">     56     Finanční náklady</t>
  </si>
  <si>
    <t xml:space="preserve">          563     Kursové ztráty</t>
  </si>
  <si>
    <t xml:space="preserve">               56301     Kurzové ztráty</t>
  </si>
  <si>
    <t xml:space="preserve">                    56301000     Kurzové ztráty</t>
  </si>
  <si>
    <t>6     Výnosy</t>
  </si>
  <si>
    <t xml:space="preserve">     60     Tržby za vlastní výkony a zboží</t>
  </si>
  <si>
    <t xml:space="preserve">          602     Tržby z prodeje služeb</t>
  </si>
  <si>
    <t xml:space="preserve">               60210     Zdravotní služby samoplátcům a právnickým osobám</t>
  </si>
  <si>
    <t xml:space="preserve">                    60210322     Zdr.služby - právn.osoby</t>
  </si>
  <si>
    <t xml:space="preserve">                    60210354     Zdr.služby - cizinci</t>
  </si>
  <si>
    <t xml:space="preserve">                    60210359     Zdr.služby - tuzemci (plastika atd. ...)</t>
  </si>
  <si>
    <t xml:space="preserve">               60229     Zdr. výkony - ost. ZP sled.položky  OZPI</t>
  </si>
  <si>
    <t xml:space="preserve">                    60229201     Výkony + mater. - ZP ma výkon</t>
  </si>
  <si>
    <t xml:space="preserve">                    60229202     Výkony pojišť.EHS, výkony za cizinci (mimo EHS)</t>
  </si>
  <si>
    <t xml:space="preserve">               60245     Fakturace ZP - běžný rok (paušál)   OZPI</t>
  </si>
  <si>
    <t xml:space="preserve">                    60245401     Tržby ZP za zdrav.péči - paušál</t>
  </si>
  <si>
    <t xml:space="preserve">               60246     Dorovnání péče ZP - min.let         OZPI</t>
  </si>
  <si>
    <t xml:space="preserve">                    60246401     Tržby ZP za zdrav.péči - dorovnání min.let</t>
  </si>
  <si>
    <t xml:space="preserve">     64     Jiné provozní výnosy</t>
  </si>
  <si>
    <t xml:space="preserve">          648     Čerpání fondů</t>
  </si>
  <si>
    <t xml:space="preserve">               64824     Čerpání FKSP</t>
  </si>
  <si>
    <t xml:space="preserve">                    64824048     Čerpání z FKSP - peněžité dary</t>
  </si>
  <si>
    <t xml:space="preserve">          649     Ostatní výnosy z činnosti</t>
  </si>
  <si>
    <t xml:space="preserve">               64908     Ostatní výnosy z činnosti</t>
  </si>
  <si>
    <t xml:space="preserve">                    64908000     Rozdíly v zaokrouhlení</t>
  </si>
  <si>
    <t xml:space="preserve">               64924     Ostatní služby - mimo zdrav.výkony  FAKTURACE</t>
  </si>
  <si>
    <t xml:space="preserve">                    64924450     Poštovné, balné za odeslání</t>
  </si>
  <si>
    <t xml:space="preserve">                    64924459     Školení, stáže, odb. semináře, konference</t>
  </si>
  <si>
    <t xml:space="preserve">     66     Finanční výnosy</t>
  </si>
  <si>
    <t xml:space="preserve">          663     Kursové zisky</t>
  </si>
  <si>
    <t xml:space="preserve">               66300     Kurzové zisky</t>
  </si>
  <si>
    <t xml:space="preserve">                    66300001     Kurzové zisky</t>
  </si>
  <si>
    <t xml:space="preserve">     67     Výnosy z transferů</t>
  </si>
  <si>
    <t xml:space="preserve">          671     Transfery</t>
  </si>
  <si>
    <t xml:space="preserve">               67101     Nein.dotace, příspěvky, granty od zřizovatele</t>
  </si>
  <si>
    <t xml:space="preserve">                    67101009     Transfery MZ - mimořádné fin.ohodnocení COVID-19</t>
  </si>
  <si>
    <t xml:space="preserve">               67120     Výnosy k úč.403 06 (k úč.551 odpisy) - finanční dary</t>
  </si>
  <si>
    <t xml:space="preserve">                    67120001     Výnosy k úč.403 06 (k úč.551 odpisy) - finanční dary</t>
  </si>
  <si>
    <t>7     Vnitropodnikové náklady</t>
  </si>
  <si>
    <t xml:space="preserve">     79     Vnitropodnikové náklady</t>
  </si>
  <si>
    <t xml:space="preserve">          799     Vnitropodnikové náklady</t>
  </si>
  <si>
    <t xml:space="preserve">               79901     VPN - lékárna</t>
  </si>
  <si>
    <t xml:space="preserve">                    79901002     Výdej HVLP</t>
  </si>
  <si>
    <t xml:space="preserve">               79902     VPN - ZVIT technická údržba</t>
  </si>
  <si>
    <t xml:space="preserve">                    79902000     Výkony údržby</t>
  </si>
  <si>
    <t xml:space="preserve">                    79902001     Výkony stavební údržby (stř.9404)</t>
  </si>
  <si>
    <t xml:space="preserve">               79903     VPN - doprava</t>
  </si>
  <si>
    <t xml:space="preserve">                    79903001     Doprava - sanitní</t>
  </si>
  <si>
    <t xml:space="preserve">                    79903003     Doprava - nákladní</t>
  </si>
  <si>
    <t xml:space="preserve">               79905     VPN - distribuce prádle (stř.9412)</t>
  </si>
  <si>
    <t xml:space="preserve">                    79905001     Režie - distribuce prádla (stř.9412)</t>
  </si>
  <si>
    <t xml:space="preserve">               79906     VPN - prádelna</t>
  </si>
  <si>
    <t xml:space="preserve">                    79906000     Praní prádla</t>
  </si>
  <si>
    <t xml:space="preserve">               79907     VPN - sklad</t>
  </si>
  <si>
    <t xml:space="preserve">                    79907002     Tisk tiskopisů</t>
  </si>
  <si>
    <t xml:space="preserve">               79910     VPN - informační technologie</t>
  </si>
  <si>
    <t xml:space="preserve">                    79910001     Výkony IT</t>
  </si>
  <si>
    <t xml:space="preserve">               79950     VPN - správní režie</t>
  </si>
  <si>
    <t xml:space="preserve">                    79950001     Rozúčtování režie HTS</t>
  </si>
  <si>
    <t xml:space="preserve">               79904     </t>
  </si>
  <si>
    <t xml:space="preserve">                    79904000     Potrubní dopravníkový systém (PDS)</t>
  </si>
  <si>
    <t>28</t>
  </si>
  <si>
    <t>GEN: Ústav lékařské genetiky</t>
  </si>
  <si>
    <t>50113001 - léky - paušál (LEK)</t>
  </si>
  <si>
    <t>GEN: Ústav lékařské genetiky Celkem</t>
  </si>
  <si>
    <t>SumaKL</t>
  </si>
  <si>
    <t>2821</t>
  </si>
  <si>
    <t>GEN: ambulance</t>
  </si>
  <si>
    <t>GEN: ambulance Celkem</t>
  </si>
  <si>
    <t>SumaNS</t>
  </si>
  <si>
    <t>mezeraNS</t>
  </si>
  <si>
    <t>2841</t>
  </si>
  <si>
    <t>GEN: laboratoř</t>
  </si>
  <si>
    <t>GEN: laboratoř Celkem</t>
  </si>
  <si>
    <t>léky - paušál (LEK)</t>
  </si>
  <si>
    <t>O</t>
  </si>
  <si>
    <t>AULIN</t>
  </si>
  <si>
    <t>GRA 15X100MG(SACKY)</t>
  </si>
  <si>
    <t>CARBOSORB</t>
  </si>
  <si>
    <t>320MG TBL NOB 20</t>
  </si>
  <si>
    <t>ECOLAV Výplach očí 100ml</t>
  </si>
  <si>
    <t>100 ml</t>
  </si>
  <si>
    <t>IBUMAX 400 MG</t>
  </si>
  <si>
    <t>PORTBLFLM30X400MG</t>
  </si>
  <si>
    <t>KL SOL.HYD.PEROX.20% 500g</t>
  </si>
  <si>
    <t>MAGNESIUM SULFURICUM BBP 10%</t>
  </si>
  <si>
    <t>INJ 5X10ML 10%</t>
  </si>
  <si>
    <t>MAGNESIUM SULFURICUM BBP 20%</t>
  </si>
  <si>
    <t>200MG/ML INJ SOL 5X10ML</t>
  </si>
  <si>
    <t>Carbo medicinalis PharmaSwiss tbl.20</t>
  </si>
  <si>
    <t>CHLORID SODNÝ 0,9% BRAUN</t>
  </si>
  <si>
    <t>INF SOL 20X100MLPELAH</t>
  </si>
  <si>
    <t>JODISOL ROZTOK</t>
  </si>
  <si>
    <t>DRM SOL 1X80GM</t>
  </si>
  <si>
    <t>KL ETHANOLUM BENZ.DENAT. 900ml /720g/</t>
  </si>
  <si>
    <t>KL PRIPRAVEK</t>
  </si>
  <si>
    <t>2821 - GEN: ambulance</t>
  </si>
  <si>
    <t>D06BB03 - ACIKLOVIR</t>
  </si>
  <si>
    <t>D06BB03</t>
  </si>
  <si>
    <t>155941</t>
  </si>
  <si>
    <t>HERPESIN</t>
  </si>
  <si>
    <t>50MG/G CRM 5G</t>
  </si>
  <si>
    <t>Přehled plnění pozitivního listu - spotřeba léčivých přípravků - orientační přehled</t>
  </si>
  <si>
    <t>28 - GEN: Ústav lékařské genetiky</t>
  </si>
  <si>
    <t>2841 - GEN: laboratoř</t>
  </si>
  <si>
    <t>Ústav lékařské genetiky a fet.med.</t>
  </si>
  <si>
    <t>HVLP</t>
  </si>
  <si>
    <t>IPLP</t>
  </si>
  <si>
    <t>89301282</t>
  </si>
  <si>
    <t>Ambulance odd.lékařské genetiky Celkem</t>
  </si>
  <si>
    <t>Ústav lékařské genetiky a fet.med. Celkem</t>
  </si>
  <si>
    <t>* Legenda</t>
  </si>
  <si>
    <t>DIAPZT = Pomůcky pro diabetiky, jejichž název začíná slovem "Pumpa"</t>
  </si>
  <si>
    <t>Bräuerová Barbora</t>
  </si>
  <si>
    <t>Curtisová Václava</t>
  </si>
  <si>
    <t>Mracká Enkhjargalan</t>
  </si>
  <si>
    <t>Není Určen</t>
  </si>
  <si>
    <t>Procházka Martin</t>
  </si>
  <si>
    <t>Punová Lucia</t>
  </si>
  <si>
    <t>Štellmachová Júlia</t>
  </si>
  <si>
    <t>Woitková Veronika</t>
  </si>
  <si>
    <t>SUMATRIPTAN</t>
  </si>
  <si>
    <t>119115</t>
  </si>
  <si>
    <t>SUMATRIPTAN ACTAVIS</t>
  </si>
  <si>
    <t>50MG TBL OBD 6 I</t>
  </si>
  <si>
    <t>AMIDY</t>
  </si>
  <si>
    <t>2684</t>
  </si>
  <si>
    <t>MESOCAIN</t>
  </si>
  <si>
    <t>10MG/G+2MG/G GEL 1X20G</t>
  </si>
  <si>
    <t>AZITHROMYCIN</t>
  </si>
  <si>
    <t>45010</t>
  </si>
  <si>
    <t>AZITROMYCIN SANDOZ</t>
  </si>
  <si>
    <t>500MG TBL FLM 3</t>
  </si>
  <si>
    <t>BETAMETHASON A ANTIBIOTIKA</t>
  </si>
  <si>
    <t>225275</t>
  </si>
  <si>
    <t>FUCICORT</t>
  </si>
  <si>
    <t>20MG/G+1MG/G CRM 20G</t>
  </si>
  <si>
    <t>CEFUROXIM</t>
  </si>
  <si>
    <t>18547</t>
  </si>
  <si>
    <t>XORIMAX</t>
  </si>
  <si>
    <t>500MG TBL FLM 10</t>
  </si>
  <si>
    <t>CETIRIZIN</t>
  </si>
  <si>
    <t>99600</t>
  </si>
  <si>
    <t>ZODAC</t>
  </si>
  <si>
    <t>10MG TBL FLM 90</t>
  </si>
  <si>
    <t>DEXAMETHASON</t>
  </si>
  <si>
    <t>84700</t>
  </si>
  <si>
    <t>OTOBACID N</t>
  </si>
  <si>
    <t>0,2MG/G+5MG/G+479,8MG/G AUR GTT SOL 1X5ML</t>
  </si>
  <si>
    <t>232954</t>
  </si>
  <si>
    <t>DIKLOFENAK</t>
  </si>
  <si>
    <t>119672</t>
  </si>
  <si>
    <t>DICLOFENAC DUO PHARMASWISS</t>
  </si>
  <si>
    <t>75MG CPS RDR 30 I</t>
  </si>
  <si>
    <t>89025</t>
  </si>
  <si>
    <t>DICLOFENAC AL</t>
  </si>
  <si>
    <t>50MG TBL ENT 50</t>
  </si>
  <si>
    <t>247409</t>
  </si>
  <si>
    <t>DIOSMIN, KOMBINACE</t>
  </si>
  <si>
    <t>225549</t>
  </si>
  <si>
    <t>DETRALEX</t>
  </si>
  <si>
    <t>500MG TBL FLM 180(2X90)</t>
  </si>
  <si>
    <t>DOXYCYKLIN</t>
  </si>
  <si>
    <t>4013</t>
  </si>
  <si>
    <t>DOXYBENE</t>
  </si>
  <si>
    <t>200MG TBL NOB 10</t>
  </si>
  <si>
    <t>FLUKONAZOL</t>
  </si>
  <si>
    <t>64941</t>
  </si>
  <si>
    <t>DIFLUCAN</t>
  </si>
  <si>
    <t>150MG CPS DUR 1 I</t>
  </si>
  <si>
    <t>FLUTIKASON-FUROÁT</t>
  </si>
  <si>
    <t>29816</t>
  </si>
  <si>
    <t>AVAMYS</t>
  </si>
  <si>
    <t>27,5MCG/VSTŘIK NAS SPR SUS 1X120DÁV</t>
  </si>
  <si>
    <t>CHOLEKALCIFEROL</t>
  </si>
  <si>
    <t>12023</t>
  </si>
  <si>
    <t>VIGANTOL</t>
  </si>
  <si>
    <t>0,5MG/ML POR GTT SOL 1X10ML</t>
  </si>
  <si>
    <t>132861</t>
  </si>
  <si>
    <t>0,5MG/ML POR GTT SOL 10ML</t>
  </si>
  <si>
    <t>132941</t>
  </si>
  <si>
    <t>IBUPROFEN</t>
  </si>
  <si>
    <t>11063</t>
  </si>
  <si>
    <t>IBALGIN 600</t>
  </si>
  <si>
    <t>600MG TBL FLM 30</t>
  </si>
  <si>
    <t>207900</t>
  </si>
  <si>
    <t>IBALGIN</t>
  </si>
  <si>
    <t>JINÁ ANTIBIOTIKA PRO LOKÁLNÍ APLIKACI</t>
  </si>
  <si>
    <t>1066</t>
  </si>
  <si>
    <t>FRAMYKOIN</t>
  </si>
  <si>
    <t>250IU/G+5,2MG/G UNG 10G</t>
  </si>
  <si>
    <t>KLARITHROMYCIN</t>
  </si>
  <si>
    <t>216199</t>
  </si>
  <si>
    <t>KLACID</t>
  </si>
  <si>
    <t>500MG TBL FLM 14</t>
  </si>
  <si>
    <t>KYSELINA ACETYLSALICYLOVÁ</t>
  </si>
  <si>
    <t>125114</t>
  </si>
  <si>
    <t>ANOPYRIN</t>
  </si>
  <si>
    <t>100MG TBL NOB 60(3X20)</t>
  </si>
  <si>
    <t>235897</t>
  </si>
  <si>
    <t>100MG TBL NOB 60(6X10)</t>
  </si>
  <si>
    <t>METFORMIN</t>
  </si>
  <si>
    <t>208207</t>
  </si>
  <si>
    <t>SIOFOR</t>
  </si>
  <si>
    <t>850MG TBL FLM 60 II</t>
  </si>
  <si>
    <t>MOMETASON</t>
  </si>
  <si>
    <t>170760</t>
  </si>
  <si>
    <t>MOMMOX</t>
  </si>
  <si>
    <t>0,05MG/DÁV NAS SPR SUS 140DÁV</t>
  </si>
  <si>
    <t>192204</t>
  </si>
  <si>
    <t>ELOCOM</t>
  </si>
  <si>
    <t>1MG/G UNG 1X15G</t>
  </si>
  <si>
    <t>PREDNISON</t>
  </si>
  <si>
    <t>2963</t>
  </si>
  <si>
    <t>PREDNISON LÉČIVA</t>
  </si>
  <si>
    <t>20MG TBL NOB 20</t>
  </si>
  <si>
    <t>PROMETHAZIN</t>
  </si>
  <si>
    <t>172476</t>
  </si>
  <si>
    <t>PROTHAZIN</t>
  </si>
  <si>
    <t>25MG TBL FLM 20X1</t>
  </si>
  <si>
    <t>PSEUDOEFEDRIN, KOMBINACE</t>
  </si>
  <si>
    <t>216104</t>
  </si>
  <si>
    <t>CLARINASE REPETABS</t>
  </si>
  <si>
    <t>5MG/120MG TBL PRO 14</t>
  </si>
  <si>
    <t>HOŘČÍK (KOMBINACE RŮZNÝCH SOLÍ)</t>
  </si>
  <si>
    <t>215978</t>
  </si>
  <si>
    <t>MAGNOSOLV</t>
  </si>
  <si>
    <t>365MG POR GRA SOL SCC 30</t>
  </si>
  <si>
    <t>KLINDAMYCIN</t>
  </si>
  <si>
    <t>100339</t>
  </si>
  <si>
    <t>DALACIN C</t>
  </si>
  <si>
    <t>300MG CPS DUR 16</t>
  </si>
  <si>
    <t>PREDNISOLON A ANTISEPTIKA</t>
  </si>
  <si>
    <t>16467</t>
  </si>
  <si>
    <t>IMACORT</t>
  </si>
  <si>
    <t>10MG/G+2,5MG/G+5MG/G CRM 20G</t>
  </si>
  <si>
    <t>ZOLPIDEM</t>
  </si>
  <si>
    <t>233360</t>
  </si>
  <si>
    <t>ZOLPIDEM MYLAN</t>
  </si>
  <si>
    <t>10MG TBL FLM 20</t>
  </si>
  <si>
    <t>ESTRIOL</t>
  </si>
  <si>
    <t>186666</t>
  </si>
  <si>
    <t>OVESTIN</t>
  </si>
  <si>
    <t>0,5MG VAG GLB 15</t>
  </si>
  <si>
    <t>201970</t>
  </si>
  <si>
    <t>PAMYCON</t>
  </si>
  <si>
    <t>33000IU/2500IU DRM PLV SOL 1</t>
  </si>
  <si>
    <t>SALBUTAMOL</t>
  </si>
  <si>
    <t>31934</t>
  </si>
  <si>
    <t>VENTOLIN INHALER N</t>
  </si>
  <si>
    <t>100MCG/DÁV INH SUS PSS 200DÁV</t>
  </si>
  <si>
    <t>AMOXICILIN A  INHIBITOR BETA-LAKTAMASY</t>
  </si>
  <si>
    <t>5951</t>
  </si>
  <si>
    <t>AMOKSIKLAV 1 G</t>
  </si>
  <si>
    <t>875MG/125MG TBL FLM 14</t>
  </si>
  <si>
    <t>Jiná</t>
  </si>
  <si>
    <t>*3999</t>
  </si>
  <si>
    <t>Jiný</t>
  </si>
  <si>
    <t>103788</t>
  </si>
  <si>
    <t>216185</t>
  </si>
  <si>
    <t>KLACID SR</t>
  </si>
  <si>
    <t>500MG TBL RET 7</t>
  </si>
  <si>
    <t>TOBRAMYCIN</t>
  </si>
  <si>
    <t>86264</t>
  </si>
  <si>
    <t>TOBREX</t>
  </si>
  <si>
    <t>3MG/ML OPH GTT SOL 1X5ML</t>
  </si>
  <si>
    <t>233366</t>
  </si>
  <si>
    <t>10MG TBL FLM 50</t>
  </si>
  <si>
    <t>48261</t>
  </si>
  <si>
    <t>3300IU/G+250IU/G DRM PLV ADS 1X20G</t>
  </si>
  <si>
    <t>48262</t>
  </si>
  <si>
    <t>3300IU/G+250IU/G DRM PLV ADS 1X5G</t>
  </si>
  <si>
    <t>MUPIROCIN</t>
  </si>
  <si>
    <t>90778</t>
  </si>
  <si>
    <t>BACTROBAN</t>
  </si>
  <si>
    <t>20MG/G UNG 15G</t>
  </si>
  <si>
    <t>237886</t>
  </si>
  <si>
    <t>NORETHISTERON A ESTROGEN</t>
  </si>
  <si>
    <t>46646</t>
  </si>
  <si>
    <t>ACTIVELLE</t>
  </si>
  <si>
    <t>1MG/0,5MG TBL FLM 3X28</t>
  </si>
  <si>
    <t>SEVELAMER</t>
  </si>
  <si>
    <t>215612</t>
  </si>
  <si>
    <t>SEVELAMER CARBONATE HEATON</t>
  </si>
  <si>
    <t>800MG TBL FLM 180</t>
  </si>
  <si>
    <t>TETRYZOLIN, KOMBINACE</t>
  </si>
  <si>
    <t>187418</t>
  </si>
  <si>
    <t>SPERSALLERG</t>
  </si>
  <si>
    <t>0,5MG/ML+0,4MG/ML OPH GTT SOL 10ML</t>
  </si>
  <si>
    <t>ALPRAZOLAM</t>
  </si>
  <si>
    <t>6618</t>
  </si>
  <si>
    <t>NEUROL</t>
  </si>
  <si>
    <t>0,5MG TBL NOB 30</t>
  </si>
  <si>
    <t>AMOXICILIN</t>
  </si>
  <si>
    <t>32558</t>
  </si>
  <si>
    <t>OSPAMOX</t>
  </si>
  <si>
    <t>750MG TBL FLM 14</t>
  </si>
  <si>
    <t>ERDOSTEIN</t>
  </si>
  <si>
    <t>87076</t>
  </si>
  <si>
    <t>ERDOMED</t>
  </si>
  <si>
    <t>300MG CPS DUR 20</t>
  </si>
  <si>
    <t>INOSIN PRANOBEX</t>
  </si>
  <si>
    <t>162748</t>
  </si>
  <si>
    <t>ISOPRINOSINE</t>
  </si>
  <si>
    <t>500MG TBL NOB 100</t>
  </si>
  <si>
    <t>85525</t>
  </si>
  <si>
    <t>AMOKSIKLAV 625 MG</t>
  </si>
  <si>
    <t>500MG/125MG TBL FLM 21</t>
  </si>
  <si>
    <t>Ambulance odd.lékařské genetiky</t>
  </si>
  <si>
    <t>P</t>
  </si>
  <si>
    <t>Preskripce a záchyt receptů a poukazů - orientační přehled</t>
  </si>
  <si>
    <t>Přehled plnění pozitivního listu (PL) - 
   preskripce léčivých přípravků dle objemu Kč mimo PL</t>
  </si>
  <si>
    <t>D07BA01 - PREDNISOLON A ANTISEPTIKA</t>
  </si>
  <si>
    <t>R03AC02 - SALBUTAMOL</t>
  </si>
  <si>
    <t>N05CF02 - ZOLPIDEM</t>
  </si>
  <si>
    <t>J01CR02 - AMOXICILIN A  INHIBITOR BETA-LAKTAMASY</t>
  </si>
  <si>
    <t>N05BA12 - ALPRAZOLAM</t>
  </si>
  <si>
    <t>J01DC02 - CEFUROXIM</t>
  </si>
  <si>
    <t>R01AD09 - MOMETASON</t>
  </si>
  <si>
    <t>J01FA10 - AZITHROMYCIN</t>
  </si>
  <si>
    <t>R06AE07 - CETIRIZIN</t>
  </si>
  <si>
    <t>J02AC01 - FLUKONAZOL</t>
  </si>
  <si>
    <t>A10BA02 - METFORMIN</t>
  </si>
  <si>
    <t>J05AX05 - INOSIN PRANOBEX</t>
  </si>
  <si>
    <t>J01CR02</t>
  </si>
  <si>
    <t>J05AX05</t>
  </si>
  <si>
    <t>N05BA12</t>
  </si>
  <si>
    <t>N05CF02</t>
  </si>
  <si>
    <t>R01AD09</t>
  </si>
  <si>
    <t>D07BA01</t>
  </si>
  <si>
    <t>R03AC02</t>
  </si>
  <si>
    <t>A10BA02</t>
  </si>
  <si>
    <t>J01DC02</t>
  </si>
  <si>
    <t>J01FA10</t>
  </si>
  <si>
    <t>J02AC01</t>
  </si>
  <si>
    <t>R06AE07</t>
  </si>
  <si>
    <t>Přehled plnění PL - Preskripce léčivých přípravků - orientační přehled</t>
  </si>
  <si>
    <t>50115020 - laboratorní diagnostika-LEK (Z501)</t>
  </si>
  <si>
    <t>50115040 - laboratorní materiál (Z505)</t>
  </si>
  <si>
    <t>50115050 - obvazový materiál (Z502)</t>
  </si>
  <si>
    <t>50115060 - ZPr - ostatní (Z503)</t>
  </si>
  <si>
    <t>50115063 - ZPr - vaky, sety (Z528)</t>
  </si>
  <si>
    <t>50115065 - ZPr - vpichovací materiál (Z530)</t>
  </si>
  <si>
    <t>50115067 - ZPr - rukavice (Z532)</t>
  </si>
  <si>
    <t>50115040</t>
  </si>
  <si>
    <t>laboratorní materiál (Z505)</t>
  </si>
  <si>
    <t>ZP623</t>
  </si>
  <si>
    <t>Tampon sterilnĂ­ odbÄ›rovĂ˝ Flogswab nylon v plastovĂ© tubÄ› bal. Ăˇ 100 ks 552C</t>
  </si>
  <si>
    <t>50115050</t>
  </si>
  <si>
    <t>obvazový materiál (Z502)</t>
  </si>
  <si>
    <t>ZA411</t>
  </si>
  <si>
    <t>GĂˇza pĹ™Ă­Ĺ™ezy 28 cm x 32 cm 17 nitĂ­ 07004</t>
  </si>
  <si>
    <t>ZI558</t>
  </si>
  <si>
    <t>NĂˇplast curapor   7 x   5 cm 32912  (22120,  nĂˇhrada za cosmopor )</t>
  </si>
  <si>
    <t>ZI599</t>
  </si>
  <si>
    <t>NĂˇplast curapor 10 x   8 cm 32913 ( 22121,  nĂˇhrada za cosmopor )</t>
  </si>
  <si>
    <t>ZN366</t>
  </si>
  <si>
    <t>NĂˇplast poinjekÄŤnĂ­ elastickĂˇ tkanĂˇ jednotl. baleno 19 mm x 72 mm P-CURE1972ELAST</t>
  </si>
  <si>
    <t>ZA444</t>
  </si>
  <si>
    <t>Tampon nesterilnĂ­ stĂˇÄŤenĂ˝ 20 x 19 cm bez RTG nitĂ­ bal. Ăˇ 100 ks 1320300404</t>
  </si>
  <si>
    <t>ZQ569</t>
  </si>
  <si>
    <t>Vata buniÄŤitĂˇ dÄ›lenĂˇ cellin 2 role / 500 ks 40 x 50 mm 1230206310</t>
  </si>
  <si>
    <t>ZA446</t>
  </si>
  <si>
    <t>Vata buniÄŤitĂˇ pĹ™Ă­Ĺ™ezy 20 x 30 cm 1230200129</t>
  </si>
  <si>
    <t>ZM000</t>
  </si>
  <si>
    <t>Vata obvazovĂˇ sklĂˇdanĂˇ 50 g 1102323</t>
  </si>
  <si>
    <t>50115060</t>
  </si>
  <si>
    <t>ZPr - ostatní (Z503)</t>
  </si>
  <si>
    <t>ZB771</t>
  </si>
  <si>
    <t>DrĹľĂˇk jehly Vacuette zĂˇkladnĂ­ 450201</t>
  </si>
  <si>
    <t>DrĹľĂˇk jehly zĂˇkladnĂ­ 450201</t>
  </si>
  <si>
    <t>ZQ251</t>
  </si>
  <si>
    <t>HadiÄŤka spojovacĂ­ HS 1,8 x 1800 mm UNIV DEPH free 2201 180ND</t>
  </si>
  <si>
    <t>ZQ248</t>
  </si>
  <si>
    <t>HadiÄŤka spojovacĂ­ HS 1,8 x 450 mm LL DEPH free 2200 045 ND</t>
  </si>
  <si>
    <t>ZD809</t>
  </si>
  <si>
    <t>Kanyla vasofix 20G rĹŻĹľovĂˇ safety 4269110S-01</t>
  </si>
  <si>
    <t>ZD808</t>
  </si>
  <si>
    <t>Kanyla vasofix 22G modrĂˇ safety 4269098S-01</t>
  </si>
  <si>
    <t>ZS199</t>
  </si>
  <si>
    <t>Ĺ krtidlo jednorĂˇzovĂ© bal. Ăˇ 200 ks 95.1006</t>
  </si>
  <si>
    <t>ZN206</t>
  </si>
  <si>
    <t>Lopatka ĂşstnĂ­ dĹ™evÄ›nĂˇ lĂ©kaĹ™skĂˇ sterilnĂ­ 150 x 17 mm bal. Ăˇ 5 x 100 ks 4002/SG/CS/L</t>
  </si>
  <si>
    <t>ZF159</t>
  </si>
  <si>
    <t>NĂˇdoba na kontaminovanĂ˝ odpad 1 l 15-0002</t>
  </si>
  <si>
    <t>NĂˇdoba na kontaminovanĂ˝ odpad 1 l 15-0002/2</t>
  </si>
  <si>
    <t>ZE159</t>
  </si>
  <si>
    <t>NĂˇdoba na kontaminovanĂ˝ odpad 2 l 15-0003</t>
  </si>
  <si>
    <t>ZR471</t>
  </si>
  <si>
    <t>Skalpel jednorĂˇzovĂ˝ prazisa sterilnĂ­ vel. ÄŤepelky 11 bal. Ăˇ 10 ks 11.000.00.511</t>
  </si>
  <si>
    <t>ZR397</t>
  </si>
  <si>
    <t>StĹ™Ă­kaÄŤka injekÄŤnĂ­ 2-dĂ­lnĂˇ 10 ml L DISCARDIT LE 309110</t>
  </si>
  <si>
    <t>ZR395</t>
  </si>
  <si>
    <t>StĹ™Ă­kaÄŤka injekÄŤnĂ­ 2-dĂ­lnĂˇ 2 ml L DISCARDIT LC 300928</t>
  </si>
  <si>
    <t>ZR396</t>
  </si>
  <si>
    <t>StĹ™Ă­kaÄŤka injekÄŤnĂ­ 2-dĂ­lnĂˇ 5 ml L DISCARDIT LE 309050</t>
  </si>
  <si>
    <t>ZB006</t>
  </si>
  <si>
    <t>TeplomÄ›r digitĂˇlnĂ­ thermovalT/1050 basic 9250023 (9250391)</t>
  </si>
  <si>
    <t>ZB755</t>
  </si>
  <si>
    <t>Zkumavka 1,0 ml K3 edta fialovĂˇ 454034</t>
  </si>
  <si>
    <t>ZB756</t>
  </si>
  <si>
    <t>Zkumavka 3 ml K3 edta fialovĂˇ 454086</t>
  </si>
  <si>
    <t>ZB758</t>
  </si>
  <si>
    <t>Zkumavka 9 ml K3 edta NR 455036</t>
  </si>
  <si>
    <t>ZB761</t>
  </si>
  <si>
    <t>Zkumavka ÄŤervenĂˇ 4 ml 454092</t>
  </si>
  <si>
    <t>ZB759</t>
  </si>
  <si>
    <t>Zkumavka ÄŤervenĂˇ 8 ml gel 455071</t>
  </si>
  <si>
    <t>ZB763</t>
  </si>
  <si>
    <t>Zkumavka ÄŤervenĂˇ 9 ml 455092</t>
  </si>
  <si>
    <t>ZB775</t>
  </si>
  <si>
    <t>Zkumavka koagulace modrĂˇ Quick 4,5 ml modrĂˇ 454329</t>
  </si>
  <si>
    <t>ZB773</t>
  </si>
  <si>
    <t>Zkumavka ĹˇedĂˇ-glykemie 454085</t>
  </si>
  <si>
    <t>ZI182</t>
  </si>
  <si>
    <t>Zkumavka moÄŤovĂˇ + aplikĂˇtor s chem.stabilizĂˇtorem UriSwab ĹľlutĂˇ 802CE.A</t>
  </si>
  <si>
    <t>ZG515</t>
  </si>
  <si>
    <t>Zkumavka moÄŤovĂˇ vacuette 10,5 ml bal. Ăˇ 50 ks 455007</t>
  </si>
  <si>
    <t>ZB777</t>
  </si>
  <si>
    <t>Zkumavka odbÄ›rovĂˇ Vacuette ÄŤervenĂˇ 3,5 ml gel 454071</t>
  </si>
  <si>
    <t>Zkumavka odbÄ›rovĂˇ Vacuette fialovĂˇ 9 ml K3 edta NR 455036</t>
  </si>
  <si>
    <t>ZB764</t>
  </si>
  <si>
    <t>Zkumavka odbÄ›rovĂˇ Vacuette zelenĂˇ 4 ml natrium - heparin 454051</t>
  </si>
  <si>
    <t>ZI180</t>
  </si>
  <si>
    <t>Zkumavka s mediem + flovakovanĂ˝ tampon eSwab minitip oranĹľovĂ˝ (oko,ucho,krk,nos,dutiny,urogenitĂˇlnĂ­ tra) 491CE.A</t>
  </si>
  <si>
    <t>Zkumavka zelenĂˇ 4 ml 454051</t>
  </si>
  <si>
    <t>50115063</t>
  </si>
  <si>
    <t>ZPr - vaky, sety (Z528)</t>
  </si>
  <si>
    <t>ZA715</t>
  </si>
  <si>
    <t>Set infuznĂ­ intrafix primeline classic 150 cm 4062957</t>
  </si>
  <si>
    <t>ZQ499</t>
  </si>
  <si>
    <t>Set na malĂ© zĂˇkroky sterilnĂ­ pro ĹˇitĂ­ ran Mediset (1 x rouĹˇka s otvorem 48 x 48 cm, 4 x tampon netkanĂ˝ vel. 3 Ĺˇvestka, 1 x nĹŻĹľky hrotnatĂ©, kov, 1 x pinzeta Adson chir. rovnĂˇ, kov, 1 x jehelec Mayo-Hegar 14 cm, kov) 4756331</t>
  </si>
  <si>
    <t>50115065</t>
  </si>
  <si>
    <t>ZPr - vpichovací materiál (Z530)</t>
  </si>
  <si>
    <t>ZA834</t>
  </si>
  <si>
    <t>Jehla injekÄŤnĂ­ 0,7 x 40 mm ÄŤernĂˇ 4660021</t>
  </si>
  <si>
    <t>ZA832</t>
  </si>
  <si>
    <t>Jehla injekÄŤnĂ­ 0,9 x 40 mm ĹľlutĂˇ 4657519</t>
  </si>
  <si>
    <t>ZB769</t>
  </si>
  <si>
    <t>Jehla vakuovĂˇ 206/38 mm ĹľlutĂˇ 450077</t>
  </si>
  <si>
    <t>ZB768</t>
  </si>
  <si>
    <t>Jehla vakuovĂˇ 216/38 mm zelenĂˇ 450076</t>
  </si>
  <si>
    <t>Jehla vakuovĂˇ Vacuette 206/38 mm ĹľlutĂˇ 450077</t>
  </si>
  <si>
    <t>50115067</t>
  </si>
  <si>
    <t>ZPr - rukavice (Z532)</t>
  </si>
  <si>
    <t>ZP948</t>
  </si>
  <si>
    <t>Rukavice vyĹˇetĹ™ovacĂ­ nitril basic bez pudru modrĂ© L bal. Ăˇ 200 ks 44752</t>
  </si>
  <si>
    <t>ZP947</t>
  </si>
  <si>
    <t>Rukavice vyĹˇetĹ™ovacĂ­ nitril basic bez pudru modrĂ© M bal. Ăˇ 200 ks 44751</t>
  </si>
  <si>
    <t>ZP946</t>
  </si>
  <si>
    <t>Rukavice vyĹˇetĹ™ovacĂ­ nitril basic bez pudru modrĂ© S bal. Ăˇ 200 ks 44750</t>
  </si>
  <si>
    <t>ZT078</t>
  </si>
  <si>
    <t>Rukavice vyĹˇetĹ™ovacĂ­ nitril GLOVE nesterilnĂ­ svÄ›tle modrĂ© L</t>
  </si>
  <si>
    <t>Rukavice vyĹˇetĹ™ovacĂ­ nitril nesterilnĂ­ basic bez pudru modrĂ© L bal. Ăˇ 200 ks 44752</t>
  </si>
  <si>
    <t>Rukavice vyĹˇetĹ™ovacĂ­ nitril nesterilnĂ­ basic bez pudru modrĂ© M bal. Ăˇ 200 ks 44751</t>
  </si>
  <si>
    <t>Rukavice vyĹˇetĹ™ovacĂ­ nitril nesterilnĂ­ basic bez pudru modrĂ© S bal. Ăˇ 200 ks 44750</t>
  </si>
  <si>
    <t>ZT088</t>
  </si>
  <si>
    <t>Rukavice vyĹˇetĹ™ovacĂ­ nitril nesterilnĂ­ nepudrovanĂ© modrĂ© S bal. Ăˇ 100 ks 1323806535</t>
  </si>
  <si>
    <t>ZI759</t>
  </si>
  <si>
    <t>Rukavice vyĹˇetĹ™ovacĂ­ vinyl bez pudru nesterilnĂ­ L Ăˇ 100 ks EFEKTVR04</t>
  </si>
  <si>
    <t>ZB391</t>
  </si>
  <si>
    <t>Rukavice vyĹˇetĹ™ovacĂ­ vinyl CureGuard L bal. Ăˇ 100 ks 4160 COVID 19</t>
  </si>
  <si>
    <t>50115020</t>
  </si>
  <si>
    <t>laboratorní diagnostika-LEK (Z501)</t>
  </si>
  <si>
    <t>DH984</t>
  </si>
  <si>
    <t>Alfa satelitnĂ­ 12 - zelenĂˇ</t>
  </si>
  <si>
    <t>DG387</t>
  </si>
  <si>
    <t>AM Pure XP 60ml (agencourt)</t>
  </si>
  <si>
    <t>DE260</t>
  </si>
  <si>
    <t>AmnioGrow CE IVD</t>
  </si>
  <si>
    <t>DI849</t>
  </si>
  <si>
    <t>Ampliseq made to order</t>
  </si>
  <si>
    <t>DH971</t>
  </si>
  <si>
    <t>AmpliTaq Goldâ„˘ DNA Polymerase with Gold Buffer and MgCl2</t>
  </si>
  <si>
    <t>DI614</t>
  </si>
  <si>
    <t>AS OD, C, 8 RXN, 51-300 genes</t>
  </si>
  <si>
    <t>DI701</t>
  </si>
  <si>
    <t>AS OD, C, 8 RXN, 51-300 GENES EA</t>
  </si>
  <si>
    <t>DD853</t>
  </si>
  <si>
    <t>Assay Details Mutation Delection-KEL p. T193 M,Homo Sapiens</t>
  </si>
  <si>
    <t>DA504</t>
  </si>
  <si>
    <t>BDX64 Buffer (BigDye) 2x1,25 ml</t>
  </si>
  <si>
    <t>DG227</t>
  </si>
  <si>
    <t>BENZEN p.a., 1L</t>
  </si>
  <si>
    <t>DH007</t>
  </si>
  <si>
    <t>BigDye XTerminator Purif kit 20ml</t>
  </si>
  <si>
    <t>DE667</t>
  </si>
  <si>
    <t>COLLAGENASE TYPE IA-S</t>
  </si>
  <si>
    <t>DE045</t>
  </si>
  <si>
    <t>Combi PPP Master Mix, 1000 reakcĂ­</t>
  </si>
  <si>
    <t>DH503</t>
  </si>
  <si>
    <t>Cot-1 Human DNA</t>
  </si>
  <si>
    <t>DH498</t>
  </si>
  <si>
    <t>Custom Panel Design</t>
  </si>
  <si>
    <t>DD691</t>
  </si>
  <si>
    <t>CZECANCA panel Target Capture Enrichment for NGS</t>
  </si>
  <si>
    <t>DA656</t>
  </si>
  <si>
    <t>Deoxynucleotide Mix, 10 mM</t>
  </si>
  <si>
    <t>DH088</t>
  </si>
  <si>
    <t>Devyser CFTR core</t>
  </si>
  <si>
    <t>804536</t>
  </si>
  <si>
    <t xml:space="preserve">-Diagnostikum připr. </t>
  </si>
  <si>
    <t>DA005</t>
  </si>
  <si>
    <t>DNA remover, 4x500ml refill bottle</t>
  </si>
  <si>
    <t>DG379</t>
  </si>
  <si>
    <t>Doprava 21%</t>
  </si>
  <si>
    <t>DG393</t>
  </si>
  <si>
    <t>Ethanol 96%</t>
  </si>
  <si>
    <t>DA211</t>
  </si>
  <si>
    <t>Exonuclease I (Exo I) 4000 u</t>
  </si>
  <si>
    <t>DA210</t>
  </si>
  <si>
    <t>FastAB Thermosens. Alk. Phosphatase 1000 u</t>
  </si>
  <si>
    <t>DD060</t>
  </si>
  <si>
    <t>FG,HI-DI FORMAMIDE 25 ml</t>
  </si>
  <si>
    <t>DE452</t>
  </si>
  <si>
    <t>Flushing medium, 500 ml,CFLM-500</t>
  </si>
  <si>
    <t>DI666</t>
  </si>
  <si>
    <t>FRAXA,Lab-G scan PCR kit   25testĹŻ</t>
  </si>
  <si>
    <t>DA431</t>
  </si>
  <si>
    <t>GelRed Nucleic Acid Stain, 10,000X in DMSO</t>
  </si>
  <si>
    <t>DA996</t>
  </si>
  <si>
    <t>GeneScan 500 LIZ Size Standard</t>
  </si>
  <si>
    <t>DF582</t>
  </si>
  <si>
    <t>GeneScan 600 LIZ Size Standard</t>
  </si>
  <si>
    <t>DA181</t>
  </si>
  <si>
    <t>Hank's balanced salt solution (HBSS), 500 ml</t>
  </si>
  <si>
    <t>DG669</t>
  </si>
  <si>
    <t>HotStarTaq DNA Polymerase (1000 U) -DYNEX</t>
  </si>
  <si>
    <t>DD557</t>
  </si>
  <si>
    <t>Human reference DNA female</t>
  </si>
  <si>
    <t>DG159</t>
  </si>
  <si>
    <t>HYDROGENUHLIC.DRASELNY P.A.</t>
  </si>
  <si>
    <t>DA982</t>
  </si>
  <si>
    <t>Chromosome Synchro P</t>
  </si>
  <si>
    <t>DG598</t>
  </si>
  <si>
    <t>Illumina MiSeq reagent kit v3 (150 cycles)</t>
  </si>
  <si>
    <t>DD652</t>
  </si>
  <si>
    <t>ImersnĂ­ olej pro mikroskopii 500 ml OLYMPUS</t>
  </si>
  <si>
    <t>DI389</t>
  </si>
  <si>
    <t>ION 510/520/530 KIT-CHEF 2R/I 1 KIT</t>
  </si>
  <si>
    <t>DI391</t>
  </si>
  <si>
    <t>ION 530 CHIP KIT 4 PACK EACH</t>
  </si>
  <si>
    <t>DI573</t>
  </si>
  <si>
    <t>ION AMPLISEQ FOR ION CHEF, dl8</t>
  </si>
  <si>
    <t>DG635</t>
  </si>
  <si>
    <t>ION AMPLISEQ LIBRARY KIT 2.0</t>
  </si>
  <si>
    <t>DI949</t>
  </si>
  <si>
    <t>Ion AmpliSeq Made-to-Order</t>
  </si>
  <si>
    <t>DI948</t>
  </si>
  <si>
    <t>Ion AmpliSeq On-Demand DNA</t>
  </si>
  <si>
    <t>DH920</t>
  </si>
  <si>
    <t>Ion PGMâ„˘ Hi-Qâ„˘ View OT2 Kit</t>
  </si>
  <si>
    <t>DE997</t>
  </si>
  <si>
    <t>KAPA HyperPlus kit - 96 rxn</t>
  </si>
  <si>
    <t>DC487</t>
  </si>
  <si>
    <t>KARYOMAX COLCEMID SOLUTION (CE LABEL)</t>
  </si>
  <si>
    <t>DD434</t>
  </si>
  <si>
    <t>KaryoMAX Giemsa 100 ml</t>
  </si>
  <si>
    <t>DD659</t>
  </si>
  <si>
    <t>kyselina octovĂˇ p.a.</t>
  </si>
  <si>
    <t>DG229</t>
  </si>
  <si>
    <t>METHANOL P.A.</t>
  </si>
  <si>
    <t>DI729</t>
  </si>
  <si>
    <t>Microarray Slide Backing , 4x180K, 5 Backings</t>
  </si>
  <si>
    <t>DI728</t>
  </si>
  <si>
    <t>Microarray Slide Backing , 8x60K; 5 Backings</t>
  </si>
  <si>
    <t>DG637</t>
  </si>
  <si>
    <t>MiSeq Reagent Kit v3 (150 cycles)</t>
  </si>
  <si>
    <t>DD917</t>
  </si>
  <si>
    <t>NucleoSpin Blood (250)</t>
  </si>
  <si>
    <t>DF412</t>
  </si>
  <si>
    <t>Oligo aCGH Hybridization kit</t>
  </si>
  <si>
    <t>DB136</t>
  </si>
  <si>
    <t>Oligo aCGH ChIP-on-Chip Wash Buffer Kit</t>
  </si>
  <si>
    <t>920003</t>
  </si>
  <si>
    <t>-PBS PUFR 20X KONC,250ML (GEN) 250 ml</t>
  </si>
  <si>
    <t>DE825</t>
  </si>
  <si>
    <t>PCR H2O 15 ml</t>
  </si>
  <si>
    <t>DC341</t>
  </si>
  <si>
    <t>PHYTOHAEMAGLUTININ REAGENT</t>
  </si>
  <si>
    <t>DG993</t>
  </si>
  <si>
    <t>POP7 polymer</t>
  </si>
  <si>
    <t>920001</t>
  </si>
  <si>
    <t>-PRACOVNI ROZTOK, 1L (GEN) 1000 ml</t>
  </si>
  <si>
    <t>DC858</t>
  </si>
  <si>
    <t>PRIMER</t>
  </si>
  <si>
    <t>DB418</t>
  </si>
  <si>
    <t>ProteinĂˇza K 500 mg</t>
  </si>
  <si>
    <t>DC792</t>
  </si>
  <si>
    <t>QIAamp DNA Mini Kit (250), QIAgen</t>
  </si>
  <si>
    <t>500886</t>
  </si>
  <si>
    <t>-Roztok kolchicinu 0,2% (GEN) 100 ml</t>
  </si>
  <si>
    <t>920002</t>
  </si>
  <si>
    <t xml:space="preserve">-ROZTOK VERSENU 1L (GEN) </t>
  </si>
  <si>
    <t>DD567</t>
  </si>
  <si>
    <t>Running buffer w/EDTA 10x, 25ml</t>
  </si>
  <si>
    <t>DI576</t>
  </si>
  <si>
    <t>SALSA MLPA  P081,NF1,25 reakcĂ­</t>
  </si>
  <si>
    <t>DI906</t>
  </si>
  <si>
    <t>SALSA MLPA  P225,25 reakcĂ­</t>
  </si>
  <si>
    <t>DG939</t>
  </si>
  <si>
    <t>SALSA MLPA EK5 reagent kit- 500 reactions (5x6 vials) - FAM</t>
  </si>
  <si>
    <t>DG414</t>
  </si>
  <si>
    <t>SALSA MLPA kit P046-C1 TSC2 - 50rx</t>
  </si>
  <si>
    <t>DH224</t>
  </si>
  <si>
    <t>SALSA MLPA ME028 Prader Willi/Angelman</t>
  </si>
  <si>
    <t>DG933</t>
  </si>
  <si>
    <t>SALSA MLPA ME030 BWS/RSS probemix â€“ 50 rxn</t>
  </si>
  <si>
    <t>DH940</t>
  </si>
  <si>
    <t>SALSA MLPA P002  BRCA 1 probemix 50R</t>
  </si>
  <si>
    <t>DI123</t>
  </si>
  <si>
    <t>SALSA MLPA P003 - D1 MLH1/MSH2  25 r</t>
  </si>
  <si>
    <t>DI124</t>
  </si>
  <si>
    <t>SALSA MLPA P008 - C1 PMS2  25 r</t>
  </si>
  <si>
    <t>DG404</t>
  </si>
  <si>
    <t>SALSA MLPA P018-F1 SHOX-50rxn</t>
  </si>
  <si>
    <t>DG295</t>
  </si>
  <si>
    <t>SALSA MLPA P036 Hu Telomere-3 probemix 50rxn</t>
  </si>
  <si>
    <t>DI565</t>
  </si>
  <si>
    <t>SALSA Mlpa P043 APC 25 reakcĂ­</t>
  </si>
  <si>
    <t>DI227</t>
  </si>
  <si>
    <t>SALSA MLPA P045-c1 BRCA/CHEK 2 -50R</t>
  </si>
  <si>
    <t>DH424</t>
  </si>
  <si>
    <t>SALSA MLPA P046-C1 TSC2 -25 r</t>
  </si>
  <si>
    <t>DH770</t>
  </si>
  <si>
    <t>SALSA MLPA P051- Parkinson mix 25 tests</t>
  </si>
  <si>
    <t>DI122</t>
  </si>
  <si>
    <t>SALSA MLPA P056 -C1 TP53 probemix 25 r</t>
  </si>
  <si>
    <t>DI733</t>
  </si>
  <si>
    <t>SALSA MLPA P067 PTCH1 25rxn</t>
  </si>
  <si>
    <t>DI125</t>
  </si>
  <si>
    <t>SALSA MLPA P072 - C1 MSH6  25 r</t>
  </si>
  <si>
    <t>DD359</t>
  </si>
  <si>
    <t>SALSA MLPA P083 CDH1 25 r</t>
  </si>
  <si>
    <t>DI649</t>
  </si>
  <si>
    <t>SALSA MLPA P169 Hirschsprung-1 probemix -25rxn</t>
  </si>
  <si>
    <t>DA292</t>
  </si>
  <si>
    <t>SALSA MLPA P245 Microdel.Syndr.-1 probemix 25rxn</t>
  </si>
  <si>
    <t>DG399</t>
  </si>
  <si>
    <t>SALSA MLPA P250 DiGeorge probemix-25R</t>
  </si>
  <si>
    <t>DA956</t>
  </si>
  <si>
    <t>SALSA MLPA P297 Microdel.Syndr.-2 probemix 25rxn</t>
  </si>
  <si>
    <t>DA811</t>
  </si>
  <si>
    <t>SALSA MLPA P311 CHD probemix - 25 reactions</t>
  </si>
  <si>
    <t>DA810</t>
  </si>
  <si>
    <t>SALSA MLPA P343 Autism-1 probemix - 25 reactions</t>
  </si>
  <si>
    <t>DH638</t>
  </si>
  <si>
    <t>SALSA MLPA probemix P060-SMA 50rxn</t>
  </si>
  <si>
    <t>DG724</t>
  </si>
  <si>
    <t>SALSA MLPA probemix P124-C1 TSC1,25 rxn</t>
  </si>
  <si>
    <t>DI370</t>
  </si>
  <si>
    <t>SALSA MLPA probemix P124-C3 TSC1,25 rxn</t>
  </si>
  <si>
    <t>DI826</t>
  </si>
  <si>
    <t>SALSA MLPA probemix P184-c3 jag1, 25rxn</t>
  </si>
  <si>
    <t>DC811</t>
  </si>
  <si>
    <t>SALSA MLPA PROBEMIX P186-c3 PAX3 MITF SOX10, 25 r.</t>
  </si>
  <si>
    <t>DI978</t>
  </si>
  <si>
    <t>SALSA MLPA probemix P187-B3 Holoprosencephaly,25 reakcĂ­</t>
  </si>
  <si>
    <t>DG930</t>
  </si>
  <si>
    <t>SALSA MS-MLPA probemix ME032-UPD7/UPD14 25rxn</t>
  </si>
  <si>
    <t>DH946</t>
  </si>
  <si>
    <t>Seq CAP Ez accesory kit v 2, 24 r</t>
  </si>
  <si>
    <t>DH947</t>
  </si>
  <si>
    <t>Seq CAP EZ Hybr. and Wash  kit, 24 r</t>
  </si>
  <si>
    <t>DB187</t>
  </si>
  <si>
    <t>Seq Studio cartridge v 2</t>
  </si>
  <si>
    <t>DI393</t>
  </si>
  <si>
    <t>SEQSTUDIO CATHODE BUFFER CONT KIT1</t>
  </si>
  <si>
    <t>DG533</t>
  </si>
  <si>
    <t>SNaPshot Multiplex Kit 100Reactions</t>
  </si>
  <si>
    <t>920005</t>
  </si>
  <si>
    <t xml:space="preserve">-SORENS.PUFR PH 6,8 500ML (GEN) </t>
  </si>
  <si>
    <t>803815</t>
  </si>
  <si>
    <t>-SSC pufr 20x, pH=7 250 ml</t>
  </si>
  <si>
    <t>DH502</t>
  </si>
  <si>
    <t>SurePrint G3 CGH ISCA v2 Microarray Kit, 8x60K</t>
  </si>
  <si>
    <t>DH501</t>
  </si>
  <si>
    <t>SurePrint G3 CGH+SNP Microarray Kit 4x180K</t>
  </si>
  <si>
    <t>DG981</t>
  </si>
  <si>
    <t>SureTag DNA labeling kit</t>
  </si>
  <si>
    <t>DI730</t>
  </si>
  <si>
    <t>SureTag DNA Labeling Kit</t>
  </si>
  <si>
    <t>DI726</t>
  </si>
  <si>
    <t>SureTag Purification Columns 50 pcs</t>
  </si>
  <si>
    <t>DI946</t>
  </si>
  <si>
    <t>Telomer Probe 9q - green</t>
  </si>
  <si>
    <t>920006</t>
  </si>
  <si>
    <t xml:space="preserve">-TRYPS/EDTA V HBSS/M 250ml (GEN) </t>
  </si>
  <si>
    <t>DD451</t>
  </si>
  <si>
    <t>UltraPure Glycogen 100 ul</t>
  </si>
  <si>
    <t>DG534</t>
  </si>
  <si>
    <t>Xa Yc dual label  10 tests</t>
  </si>
  <si>
    <t>ZO336</t>
  </si>
  <si>
    <t>DestiÄŤka 96 jamek k analyzĂˇtoru ABI3500 MicroAmp Optical 96 well Reaction Plate bal. Ăˇ 20 ks 4306737</t>
  </si>
  <si>
    <t>ZR711</t>
  </si>
  <si>
    <t>DestiÄŤka PCR Multiply   96/0,3 ml,s polovysokĂ˝m boÄŤnĂ­m okrajem, bal. Ăˇ 25 ks 72.1979.202</t>
  </si>
  <si>
    <t>ZB070</t>
  </si>
  <si>
    <t>Filtr tips 1000ul (1024) 990352</t>
  </si>
  <si>
    <t>ZC528</t>
  </si>
  <si>
    <t>Filtr tips 200ul (1024) 990332</t>
  </si>
  <si>
    <t>ZR847</t>
  </si>
  <si>
    <t>Ĺ piÄŤka pipetovacĂ­  Biosphere SARSTEDT 20 ÎĽl; ÄŤirĂˇ; s filtrem; sterilnĂ­, v boxu; bal. Ăˇ 480 ks 70.1116.210</t>
  </si>
  <si>
    <t>ZE719</t>
  </si>
  <si>
    <t>Ĺ piÄŤka pipetovacĂ­ 0.5-10ul Ăˇ 1000 ks (BUN001P-BP) 5130010</t>
  </si>
  <si>
    <t>ZR712</t>
  </si>
  <si>
    <t>Ĺ piÄŤka pipetovacĂ­ Biosphere 1250 ÎĽl; bezbarvĂˇ; dlouhĂˇ, s filtrem; v boxu, bal. Ăˇ 768 ks 72.1186.210</t>
  </si>
  <si>
    <t>ZR848</t>
  </si>
  <si>
    <t>Ĺ piÄŤka pipetovacĂ­ Biosphere SARSTEDT 1000 ÎĽl; ÄŤirĂˇ; s filtrem; sterilnĂ­, v boxu; bal. Ăˇ 500 ks 70.762.211</t>
  </si>
  <si>
    <t>ZO833</t>
  </si>
  <si>
    <t>Ĺ piÄŤka pipetovacĂ­ Capp Expellplus 1000ul bez filtru FT bal. Ăˇ 768 ks 5130140</t>
  </si>
  <si>
    <t>ZI771</t>
  </si>
  <si>
    <t>Ĺ piÄŤka pipetovacĂ­ Capp ExpellPlus 20ul FT bal. 10 x 96 ks 5030062</t>
  </si>
  <si>
    <t>ZE157</t>
  </si>
  <si>
    <t>Ĺ piÄŤka pipetovacĂ­ epDualfilter Tips 0,1-10 ul M bal. Ăˇ 960 ks 0030077512</t>
  </si>
  <si>
    <t>ZD638</t>
  </si>
  <si>
    <t>Ĺ piÄŤka pipetovacĂ­ epDualfilter Tips 200 ul bal. Ăˇ 960 ks (0030077555) 0030078551</t>
  </si>
  <si>
    <t>ZB261</t>
  </si>
  <si>
    <t>Ĺ piÄŤka pipetovacĂ­ epDualfilter Tips 50-1000 ul bal. Ăˇ 960 ks 0030077571</t>
  </si>
  <si>
    <t>ZI560</t>
  </si>
  <si>
    <t>Ĺ piÄŤka pipetovacĂ­ ĹľlutĂˇ dlouhĂˇ manĹľeta gilson 1 - 200 ul FLME28063</t>
  </si>
  <si>
    <t>ZB788</t>
  </si>
  <si>
    <t>Ĺ piÄŤka pipetovacĂ­ s filtrem 20 ul bal. Ăˇ 480 ks 96.11190.9.01 (starĂ©.k.ÄŤ. 96.10296.9.01)</t>
  </si>
  <si>
    <t>ZA793</t>
  </si>
  <si>
    <t>Ĺ piÄŤka pipetovacĂ­ s filtrem 200 ul bal. Ăˇ 480 ks (96.9263.9.01) 96.11193.9.01</t>
  </si>
  <si>
    <t>ZG973</t>
  </si>
  <si>
    <t>Ĺ piÄŤka pipetovacĂ­ s filtrem axygen TF-300-R-S, 0,5-10 ul, bal. Ăˇ 10 krabiÄŤek po 96 ks, 30016</t>
  </si>
  <si>
    <t>Ĺ piÄŤky s filtrem filtr tips 1000ul bal. Ăˇ 1024 990352</t>
  </si>
  <si>
    <t>ZL046</t>
  </si>
  <si>
    <t>Microtubes Clear 1.5 ml  bal. Ăˇ 500 ks  5101500</t>
  </si>
  <si>
    <t>ZI004</t>
  </si>
  <si>
    <t>Mikrozkumavka eppendorf 3810X 1,5 ml PCR ÄŤistĂ© s vĂ­ÄŤkem bal. Ăˇ 1000 ks 0030125215</t>
  </si>
  <si>
    <t>ZE908</t>
  </si>
  <si>
    <t>Mikrozkumavka PCR individual Tube Domed Cap 0,2 ml bal. Ăˇ 1000 ks 4Ti-0795</t>
  </si>
  <si>
    <t>ZF245</t>
  </si>
  <si>
    <t>SC Adapter S0101 bal Ăˇ 100 ks S0120-100</t>
  </si>
  <si>
    <t>ZC831</t>
  </si>
  <si>
    <t>Sklo podloĹľnĂ­ mat. okraj bal. Ăˇ 50 ks AA00000112E (2501)</t>
  </si>
  <si>
    <t>ZF248</t>
  </si>
  <si>
    <t>Thin wall clear PCR strip tubes 0,2 ml and flat strip caps 12 tubes / 80 ks (5390) 0788+ 0750/TA/12</t>
  </si>
  <si>
    <t>ZA557</t>
  </si>
  <si>
    <t>Kompresa gĂˇza 10 x 20 cm/5 ks, 8 vrstev, 17 nitĂ­ sterilnĂ­ 26013</t>
  </si>
  <si>
    <t>ZD104</t>
  </si>
  <si>
    <t>NĂˇplast omniplast 10,0 cm x 10,0 m 9004472 (900535)</t>
  </si>
  <si>
    <t>ZM042</t>
  </si>
  <si>
    <t>Mikrozkumavka s vĂ­ÄŤkem 500 ul Qubit Assay Tubes bal. Ăˇ 500 ks Q32856</t>
  </si>
  <si>
    <t>ZO930</t>
  </si>
  <si>
    <t>NĂˇdoba 100 ml PP 72/62 mm s pĹ™iloĹľenĂ˝m uzĂˇvÄ›rem bĂ­lĂ© vĂ­ÄŤko sterilnĂ­ na tekutĂ˝ materiĂˇl 75.562.105</t>
  </si>
  <si>
    <t>ZM583</t>
  </si>
  <si>
    <t>NĂˇdoba barvĂ­cĂ­ na 10 sklĂ­ÄŤek 105 x 85 x 80 mm (631-9328) 631-9328</t>
  </si>
  <si>
    <t>ZF192</t>
  </si>
  <si>
    <t>NĂˇdoba na kontaminovanĂ˝ odpad 4 l 15-0004</t>
  </si>
  <si>
    <t>ZH203</t>
  </si>
  <si>
    <t>NĂˇdobka barvĂ­cĂ­ + vloĹľka k nĂˇdobÄ›, pro genetickou laboratoĹ™ 2960 HAVA632499890024</t>
  </si>
  <si>
    <t>ZC302</t>
  </si>
  <si>
    <t>NĂˇstavec pipetovacĂ­ combitips plus 2,5 ml bal. Ăˇ 100 ks 0030089448</t>
  </si>
  <si>
    <t>ZB931</t>
  </si>
  <si>
    <t>Parafilm M, dĂ©lka 38 m, ĹˇĂ­Ĺ™ka 10 cm 291-0057</t>
  </si>
  <si>
    <t>ZB222</t>
  </si>
  <si>
    <t>Pipeta pasteurova 1 ml sterilnĂ­ (balenĂ­ po 5 ks!) bal. Ăˇ 2000 ks 1501/SG</t>
  </si>
  <si>
    <t>ZG062</t>
  </si>
  <si>
    <t>Pipeta pasteurova Hirsman sklenÄ›nĂˇ 230 mlbal. Ăˇ 1000 ks HIRS9260101</t>
  </si>
  <si>
    <t>ZA813</t>
  </si>
  <si>
    <t>Rotor adapters (10 x 24) elution tubes (1,5 ml) bal. Ăˇ 240 ks 990394</t>
  </si>
  <si>
    <t>ZA789</t>
  </si>
  <si>
    <t>StĹ™Ă­kaÄŤka injekÄŤnĂ­ 2-dĂ­lnĂˇ 2 ml L Inject Solo 4606027V - povoleno pouze pro KNM</t>
  </si>
  <si>
    <t>ZB789</t>
  </si>
  <si>
    <t>VĂ­ÄŤko k mikrotitr.destiÄŤce bal. Ăˇ 100 ks 400921</t>
  </si>
  <si>
    <t>ZA817</t>
  </si>
  <si>
    <t>Zkumavka PS 10 ml sterilnĂ­ modrĂˇ zĂˇtka bal. Ăˇ 20 ks 400914 - pouze pro SoudnĂ­ + DMP + NEU + Genetika</t>
  </si>
  <si>
    <t>ZC082</t>
  </si>
  <si>
    <t>Zkumavka UH moÄŤovĂˇ bez vĂ­ÄŤka 12 ml FLME25062</t>
  </si>
  <si>
    <t>ZA833</t>
  </si>
  <si>
    <t>Jehla injekÄŤnĂ­ 0,8 x 40 mm zelenĂˇ 4657527</t>
  </si>
  <si>
    <t>ZK475</t>
  </si>
  <si>
    <t>Rukavice operaÄŤnĂ­ latex s pudrem sterilnĂ­ ansell, vasco surgical powderet vel. 7 6035526 (303504EU)</t>
  </si>
  <si>
    <t>Spotřeba zdravotnického materiálu - orientační přehled</t>
  </si>
  <si>
    <t>2 VŠ NLZP</t>
  </si>
  <si>
    <t>3 NLZP</t>
  </si>
  <si>
    <t>4 THP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</si>
  <si>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</si>
  <si>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</si>
  <si>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</si>
  <si>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</si>
  <si>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</si>
  <si>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</si>
  <si>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</si>
  <si>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</si>
  <si>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</si>
  <si>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</si>
  <si>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</si>
  <si>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</si>
  <si>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</si>
  <si>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</si>
  <si>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pod odborným dohledem</t>
  </si>
  <si>
    <t>lékaři specialisté</t>
  </si>
  <si>
    <t>odborní pracovníci v lab. metodách</t>
  </si>
  <si>
    <t>abs. stud. oboru přirodověd. zaměření</t>
  </si>
  <si>
    <t>všeobecné sestry bez dohl.</t>
  </si>
  <si>
    <t>všeobecné sestry bez dohl., spec.</t>
  </si>
  <si>
    <t>všeobecné sestry VŠ</t>
  </si>
  <si>
    <t>dětské sestry §5/D3</t>
  </si>
  <si>
    <t>zdravotní laboranti</t>
  </si>
  <si>
    <t>sanitáři</t>
  </si>
  <si>
    <t>THP</t>
  </si>
  <si>
    <t>Specializovaná ambulantní péče</t>
  </si>
  <si>
    <t>208 - Pracoviště lékařské genetiky</t>
  </si>
  <si>
    <t>816 - Laboratoř lékařské genetiky</t>
  </si>
  <si>
    <t>Zdravotní výkony vykázané na pracovišti v rámci ambulantní péče *</t>
  </si>
  <si>
    <t>beze jména</t>
  </si>
  <si>
    <t>se jménem</t>
  </si>
  <si>
    <t>Ambulantní péče znamená, že pacient v den poskytnutí zdravotní péče není hospitalizován ve FNOL</t>
  </si>
  <si>
    <t>Vyjmenované odbornosti dle §9 jsou tyto: 222,801,802,804,805,807,809,810,812,813,814,815,817,818,819,822,823</t>
  </si>
  <si>
    <t>Petřková Jana</t>
  </si>
  <si>
    <t>Zdravotní výkony vykázané na pracovišti v rámci ambulantní péče dle lékařů *</t>
  </si>
  <si>
    <t>06</t>
  </si>
  <si>
    <t>208</t>
  </si>
  <si>
    <t>V</t>
  </si>
  <si>
    <t>09117</t>
  </si>
  <si>
    <t>ODBĚR KRVE ZE ŽÍLY U DÍTĚTĚ DO 10 LET</t>
  </si>
  <si>
    <t>09511</t>
  </si>
  <si>
    <t>MINIMÁLNÍ KONTAKT LÉKAŘE S PACIENTEM</t>
  </si>
  <si>
    <t>09551</t>
  </si>
  <si>
    <t>INFORMACE O VYDÁNÍ ROZHODNUTÍ O UKONČENÍ DOČASNÉ P</t>
  </si>
  <si>
    <t>28021</t>
  </si>
  <si>
    <t>KLINICKO GENETICKÉ VYŠETŘENÍ KOMPLEXNÍ NAPLNĚNÉ ST</t>
  </si>
  <si>
    <t>28105</t>
  </si>
  <si>
    <t>GENETICKÉ HODNOCENÍ RIZIKA VROZENÝCH CHROMOSOMÁLNÍ</t>
  </si>
  <si>
    <t>28023</t>
  </si>
  <si>
    <t>KLINICKOGENETICKÉ VYŠETŘENÍ KONTROLNÍ</t>
  </si>
  <si>
    <t>09543</t>
  </si>
  <si>
    <t>Signalni kod</t>
  </si>
  <si>
    <t>28022</t>
  </si>
  <si>
    <t>CÍLENÉ KLINICKOGENETICKÉ VYŠETŘENÍ PŘI DOSUD NEUZA</t>
  </si>
  <si>
    <t>09555</t>
  </si>
  <si>
    <t>OŠETŘENÍ DÍTĚTE DO 6 LET</t>
  </si>
  <si>
    <t>09119</t>
  </si>
  <si>
    <t xml:space="preserve">ODBĚR KRVE ZE ŽÍLY U DOSPĚLÉHO NEBO DÍTĚTE NAD 10 </t>
  </si>
  <si>
    <t>09513</t>
  </si>
  <si>
    <t>TELEFONICKÁ KONZULTACE OŠETŘUJÍCÍHO LÉKAŘE PACIENT</t>
  </si>
  <si>
    <t>09115</t>
  </si>
  <si>
    <t>ODBĚR BIOLOGICKÉHO MATERIÁLU JINÉHO NEŽ KREV NA KV</t>
  </si>
  <si>
    <t>G0001</t>
  </si>
  <si>
    <t>Darci AMB</t>
  </si>
  <si>
    <t>09</t>
  </si>
  <si>
    <t>816</t>
  </si>
  <si>
    <t>94161</t>
  </si>
  <si>
    <t>VYŠETŘENÍ CHROMOZOMŮ Z CHORIOVÉ TKÁNĚ DLOUHODOBĚ K</t>
  </si>
  <si>
    <t>94181</t>
  </si>
  <si>
    <t>ZHOTOVENÍ KARYOTYPU Z JEDNÉ MITÓZY</t>
  </si>
  <si>
    <t>94115</t>
  </si>
  <si>
    <t>IN SITU HYBRIDIZACE LIDSKÉ DNA SE ZNAČENOU SONDOU</t>
  </si>
  <si>
    <t>94193</t>
  </si>
  <si>
    <t>ELEKTROFORÉZA NUKLEOVÝCH KYSELIN</t>
  </si>
  <si>
    <t>94113</t>
  </si>
  <si>
    <t>SEPARACE MATEŘSKÉ A PLODOVÉ TKÁNĚ PRO CHORIOVÉ BIO</t>
  </si>
  <si>
    <t>94165</t>
  </si>
  <si>
    <t>G PRUHOVÁNÍ CHROMOZOMŮ</t>
  </si>
  <si>
    <t>94129</t>
  </si>
  <si>
    <t>RUTINNÍ VYŠETŘENÍ CHROMOZOMU Z PERIFERNÍ KRVE</t>
  </si>
  <si>
    <t>94135</t>
  </si>
  <si>
    <t>ZHODNOCENÍ ZÍSKANÝCH ABERACÍ V PERIFERNÍ KRVI</t>
  </si>
  <si>
    <t>94153</t>
  </si>
  <si>
    <t>VYŠETŘENÍ CHROMOZOMŮ Z PLODOVÉ VODY</t>
  </si>
  <si>
    <t>94163</t>
  </si>
  <si>
    <t>VYŠETŘENÍ CHROMOZOMŮ Z TKÁNÍ DLOUHODOBĚ KULTIVOVAN</t>
  </si>
  <si>
    <t>94175</t>
  </si>
  <si>
    <t>HODNOCENÍ DALŠÍCH MITÓZ</t>
  </si>
  <si>
    <t>94173</t>
  </si>
  <si>
    <t>C PRUHOVÁNÍ CHROMOZOMŮ</t>
  </si>
  <si>
    <t>94235</t>
  </si>
  <si>
    <t>IZOLACE NUKLEOVÝCH KYSELIN (DNA, RNA) Z MALÉHO MNO</t>
  </si>
  <si>
    <t>94345</t>
  </si>
  <si>
    <t>CÍLENÉ STANOVENÍ PRIVÁTNÍ MUTACE LIDSKÉHO GERMINÁL</t>
  </si>
  <si>
    <t>94225</t>
  </si>
  <si>
    <t>IZOLACE A BANKING LIDSKÝCH NUKLEOVÝCH KYSELIN (DNA</t>
  </si>
  <si>
    <t>94331</t>
  </si>
  <si>
    <t>ANALÝZA LIDSKÉHO GERMINÁLNÍHO GENOMU METODOU MLPA</t>
  </si>
  <si>
    <t>94237</t>
  </si>
  <si>
    <t>FRAGMENTAČNÍ ANALÝZA LIDSKÉHO GERMINÁLNÍHO GENOMU</t>
  </si>
  <si>
    <t>94221</t>
  </si>
  <si>
    <t>PŘÍMÁ SEKVENACE DNA LIDSKÉHO GERMINÁLNÍHO GENOMU</t>
  </si>
  <si>
    <t>94363</t>
  </si>
  <si>
    <t>CÍLENÁ ANALÝZA LIDSKÉHO GERMINÁLNÍHO GENOMU TECHNO</t>
  </si>
  <si>
    <t>94335</t>
  </si>
  <si>
    <t>ANALÝZA LIDSKÉHO GERMINÁLNÍHO GENOMU METODOU KVANT</t>
  </si>
  <si>
    <t>94972</t>
  </si>
  <si>
    <t>(VZP) SY. FRAGILNÍHO X (FRAXA) - STANOVENÍ ROZSAHU</t>
  </si>
  <si>
    <t>94950</t>
  </si>
  <si>
    <t>(VZP) CYSTICKÁ FIBRÓZA</t>
  </si>
  <si>
    <t>94967</t>
  </si>
  <si>
    <t>(VZP) ANEUPLOIDIE CHROMOZOMŮ 13,18,21, X A Y METOD</t>
  </si>
  <si>
    <t>94948</t>
  </si>
  <si>
    <t>(VZP) SIGNÁLNÍ VÝKON - DOVYŠETŘENÍ PACIENTA</t>
  </si>
  <si>
    <t>94970</t>
  </si>
  <si>
    <t>(VZP) SPINÁLNÍ SVALOVÁ ATROFIE</t>
  </si>
  <si>
    <t>94996</t>
  </si>
  <si>
    <t>(VZP) NESPECIFICKÝ ORPHA</t>
  </si>
  <si>
    <t>94125</t>
  </si>
  <si>
    <t>MEMBRÁNOVÁ HYBRIDIZACE LIDSKÉ DNA SE ZNAČENOU SOND</t>
  </si>
  <si>
    <t>94982</t>
  </si>
  <si>
    <t>(VZP) KOMPLEXNÍ MOLEKULÁRNÍ ANALÝZA 1 (NGS MENŠÍ R</t>
  </si>
  <si>
    <t>94952</t>
  </si>
  <si>
    <t>(VZP) DELECE AZF OBLASTI NA CHROMOZOMU Y (STERILIT</t>
  </si>
  <si>
    <t>94968</t>
  </si>
  <si>
    <t>(VZP) HLUCHOTA (NESYNDROMÁLNÍ) - DFNB1</t>
  </si>
  <si>
    <t>94981</t>
  </si>
  <si>
    <t>(VZP) HEREDITÁRNÍ NÁDOROVÉ SYNDROMY</t>
  </si>
  <si>
    <t>94231</t>
  </si>
  <si>
    <t>ANALÝZA VARIANT LIDSKÉHO GERMINÁLNÍHO GENOMU NA BI</t>
  </si>
  <si>
    <t>G0002</t>
  </si>
  <si>
    <t>Darci LAB</t>
  </si>
  <si>
    <t>94151</t>
  </si>
  <si>
    <t>RUTINNÍ VYŠETŘENÍ CHROMOZOMŮ Z FETÁLNÍ KRVE</t>
  </si>
  <si>
    <t>94994</t>
  </si>
  <si>
    <t>(VZP) MOLEKULÁRNÍ ANALÝZA PRENATÁLNÍ S NÍZKÝM ROZL</t>
  </si>
  <si>
    <t>Zdravotní výkony + ZUM + ZULP vykázané na pracovišti v rámci ambulantní péče - orientační přehled</t>
  </si>
  <si>
    <t>Zdravotní výkony + ZUM + ZULP vykázané na pracovišti v rámci ambulantní péče - orientační přehled dle lékařů</t>
  </si>
  <si>
    <t>02 - 2IK-GER: II. Interní klinika gastroenter. a geria.</t>
  </si>
  <si>
    <t>03 - 3IK: III. Interní klinika-nefrol.revm.a endokrin.</t>
  </si>
  <si>
    <t>04 - 1CHIR: I. Chirurgická klinika</t>
  </si>
  <si>
    <t>06 - NCHIR: Neurochirurgická klinika</t>
  </si>
  <si>
    <t>08 - PORGYN: Porodnicko-gynekologická klinika</t>
  </si>
  <si>
    <t>09 - NOVO: Novorozenecké oddělení</t>
  </si>
  <si>
    <t>10 - DK: Dětská klinika</t>
  </si>
  <si>
    <t>17 - NEUR: Neurologická klinika</t>
  </si>
  <si>
    <t>18 - PSY: Klinika psychiatrie</t>
  </si>
  <si>
    <t>20 - KOZNI: Klinika chorob kožních a pohl.</t>
  </si>
  <si>
    <t>21 - ONK: Onkologická klinika</t>
  </si>
  <si>
    <t>26 - RHC: Oddělení rehabilitace</t>
  </si>
  <si>
    <t>50 - KCHIR: Kardiochirurgická klinika</t>
  </si>
  <si>
    <t>02</t>
  </si>
  <si>
    <t>03</t>
  </si>
  <si>
    <t>04</t>
  </si>
  <si>
    <t>08</t>
  </si>
  <si>
    <t>10</t>
  </si>
  <si>
    <t>94211</t>
  </si>
  <si>
    <t>DLOUHODOBÁ KULTIVACE BUNĚK RŮZNÝCH TKÁNÍ Z PRENATÁ</t>
  </si>
  <si>
    <t>17</t>
  </si>
  <si>
    <t>18</t>
  </si>
  <si>
    <t>20</t>
  </si>
  <si>
    <t>21</t>
  </si>
  <si>
    <t>26</t>
  </si>
  <si>
    <t>50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</si>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</sst>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8" formatCode="0.0"/>
    <numFmt numFmtId="169" formatCode="#,##0,"/>
    <numFmt numFmtId="171" formatCode="0.000"/>
    <numFmt numFmtId="172" formatCode="#.##0"/>
    <numFmt numFmtId="173" formatCode="#,##0;\-#,##0;"/>
    <numFmt numFmtId="174" formatCode="General;\-General;"/>
    <numFmt numFmtId="175" formatCode="#,##0%;\-#,##0%;"/>
    <numFmt numFmtId="176" formatCode="#,##0.0;\-#,##0.0;"/>
  </numFmts>
  <fonts count="6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thin">
        <color rgb="FFE4E4E4"/>
      </top>
      <bottom style="thin">
        <color rgb="FFE4E4E4"/>
      </bottom>
      <diagonal/>
    </border>
    <border>
      <left style="thin">
        <color auto="1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rgb="FFE4E4E4"/>
      </right>
      <top style="thin">
        <color rgb="FFE4E4E4"/>
      </top>
      <bottom style="thin">
        <color rgb="FFE4E4E4"/>
      </bottom>
      <diagonal/>
    </border>
    <border>
      <left style="thin">
        <color rgb="FFE4E4E4"/>
      </left>
      <right/>
      <top style="thin">
        <color rgb="FFE4E4E4"/>
      </top>
      <bottom style="thin">
        <color rgb="FFE4E4E4"/>
      </bottom>
      <diagonal/>
    </border>
    <border>
      <left style="thin">
        <color rgb="FFE4E4E4"/>
      </left>
      <right style="thin">
        <color auto="1"/>
      </right>
      <top style="thin">
        <color rgb="FFE4E4E4"/>
      </top>
      <bottom style="thin">
        <color rgb="FFE4E4E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9">
    <xf numFmtId="0" fontId="0" fillId="0" borderId="0"/>
    <xf numFmtId="0" fontId="26" fillId="0" borderId="0" applyNumberForma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5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649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1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9" xfId="81" applyNumberFormat="1" applyFont="1" applyFill="1" applyBorder="1"/>
    <xf numFmtId="3" fontId="28" fillId="5" borderId="13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9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5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10" xfId="81" applyNumberFormat="1" applyFont="1" applyFill="1" applyBorder="1"/>
    <xf numFmtId="3" fontId="28" fillId="5" borderId="11" xfId="81" applyNumberFormat="1" applyFont="1" applyFill="1" applyBorder="1"/>
    <xf numFmtId="3" fontId="28" fillId="5" borderId="14" xfId="81" applyNumberFormat="1" applyFont="1" applyFill="1" applyBorder="1"/>
    <xf numFmtId="3" fontId="28" fillId="5" borderId="15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1" fontId="29" fillId="3" borderId="28" xfId="81" applyNumberFormat="1" applyFont="1" applyFill="1" applyBorder="1"/>
    <xf numFmtId="171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2" xfId="0" applyFont="1" applyFill="1" applyBorder="1"/>
    <xf numFmtId="0" fontId="40" fillId="0" borderId="3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2" fillId="0" borderId="0" xfId="0" applyFont="1" applyFill="1" applyBorder="1" applyAlignment="1"/>
    <xf numFmtId="3" fontId="34" fillId="0" borderId="8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5" fillId="0" borderId="6" xfId="0" applyNumberFormat="1" applyFont="1" applyFill="1" applyBorder="1" applyAlignment="1">
      <alignment horizontal="right" vertical="top"/>
    </xf>
    <xf numFmtId="3" fontId="34" fillId="0" borderId="12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2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7" fillId="0" borderId="10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4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7" xfId="0" applyFont="1" applyFill="1" applyBorder="1"/>
    <xf numFmtId="0" fontId="33" fillId="5" borderId="11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2" xfId="0" applyFont="1" applyFill="1" applyBorder="1"/>
    <xf numFmtId="9" fontId="35" fillId="0" borderId="7" xfId="0" applyNumberFormat="1" applyFont="1" applyFill="1" applyBorder="1" applyAlignment="1">
      <alignment horizontal="right" vertical="top"/>
    </xf>
    <xf numFmtId="9" fontId="35" fillId="0" borderId="11" xfId="0" applyNumberFormat="1" applyFont="1" applyFill="1" applyBorder="1" applyAlignment="1">
      <alignment horizontal="right" vertical="top"/>
    </xf>
    <xf numFmtId="9" fontId="37" fillId="0" borderId="11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3" xfId="78" applyFont="1" applyFill="1" applyBorder="1" applyAlignment="1">
      <alignment horizontal="left"/>
    </xf>
    <xf numFmtId="0" fontId="32" fillId="2" borderId="52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2" xfId="0" applyNumberFormat="1" applyFont="1" applyFill="1" applyBorder="1" applyAlignment="1">
      <alignment horizontal="center"/>
    </xf>
    <xf numFmtId="169" fontId="33" fillId="0" borderId="0" xfId="0" applyNumberFormat="1" applyFont="1" applyFill="1"/>
    <xf numFmtId="0" fontId="32" fillId="2" borderId="48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7" fillId="2" borderId="18" xfId="1" applyFont="1" applyFill="1" applyBorder="1"/>
    <xf numFmtId="0" fontId="48" fillId="0" borderId="0" xfId="0" applyFont="1" applyFill="1"/>
    <xf numFmtId="0" fontId="49" fillId="0" borderId="0" xfId="0" applyFont="1" applyFill="1"/>
    <xf numFmtId="0" fontId="49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9" xfId="0" applyNumberFormat="1" applyFont="1" applyFill="1" applyBorder="1"/>
    <xf numFmtId="3" fontId="33" fillId="0" borderId="10" xfId="0" applyNumberFormat="1" applyFont="1" applyFill="1" applyBorder="1"/>
    <xf numFmtId="3" fontId="33" fillId="0" borderId="13" xfId="0" applyNumberFormat="1" applyFont="1" applyFill="1" applyBorder="1"/>
    <xf numFmtId="3" fontId="33" fillId="0" borderId="14" xfId="0" applyNumberFormat="1" applyFont="1" applyFill="1" applyBorder="1"/>
    <xf numFmtId="9" fontId="33" fillId="0" borderId="26" xfId="0" applyNumberFormat="1" applyFont="1" applyFill="1" applyBorder="1"/>
    <xf numFmtId="9" fontId="33" fillId="0" borderId="11" xfId="0" applyNumberFormat="1" applyFont="1" applyFill="1" applyBorder="1"/>
    <xf numFmtId="9" fontId="33" fillId="0" borderId="15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0" fontId="33" fillId="0" borderId="0" xfId="0" applyFont="1" applyFill="1"/>
    <xf numFmtId="0" fontId="33" fillId="0" borderId="52" xfId="0" applyFont="1" applyFill="1" applyBorder="1" applyAlignment="1"/>
    <xf numFmtId="0" fontId="33" fillId="0" borderId="0" xfId="0" applyFont="1" applyFill="1" applyAlignment="1"/>
    <xf numFmtId="0" fontId="47" fillId="4" borderId="34" xfId="1" applyFont="1" applyFill="1" applyBorder="1"/>
    <xf numFmtId="0" fontId="47" fillId="4" borderId="18" xfId="1" applyFont="1" applyFill="1" applyBorder="1"/>
    <xf numFmtId="0" fontId="47" fillId="3" borderId="19" xfId="1" applyFont="1" applyFill="1" applyBorder="1"/>
    <xf numFmtId="0" fontId="50" fillId="0" borderId="0" xfId="0" applyFont="1" applyFill="1" applyBorder="1" applyAlignment="1">
      <alignment vertical="center"/>
    </xf>
    <xf numFmtId="0" fontId="50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164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7" fillId="3" borderId="9" xfId="1" applyFont="1" applyFill="1" applyBorder="1"/>
    <xf numFmtId="0" fontId="47" fillId="3" borderId="5" xfId="1" applyFont="1" applyFill="1" applyBorder="1"/>
    <xf numFmtId="0" fontId="47" fillId="6" borderId="5" xfId="1" applyFont="1" applyFill="1" applyBorder="1"/>
    <xf numFmtId="0" fontId="47" fillId="6" borderId="61" xfId="1" applyFont="1" applyFill="1" applyBorder="1"/>
    <xf numFmtId="0" fontId="47" fillId="2" borderId="5" xfId="1" applyFont="1" applyFill="1" applyBorder="1"/>
    <xf numFmtId="0" fontId="47" fillId="4" borderId="5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5" xfId="0" applyNumberFormat="1" applyFont="1" applyFill="1" applyBorder="1"/>
    <xf numFmtId="3" fontId="40" fillId="2" borderId="57" xfId="0" applyNumberFormat="1" applyFont="1" applyFill="1" applyBorder="1"/>
    <xf numFmtId="9" fontId="40" fillId="2" borderId="62" xfId="0" applyNumberFormat="1" applyFont="1" applyFill="1" applyBorder="1"/>
    <xf numFmtId="0" fontId="51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60" xfId="0" applyFont="1" applyFill="1" applyBorder="1" applyAlignment="1"/>
    <xf numFmtId="0" fontId="33" fillId="0" borderId="8" xfId="0" applyFont="1" applyBorder="1" applyAlignment="1"/>
    <xf numFmtId="3" fontId="33" fillId="0" borderId="6" xfId="0" applyNumberFormat="1" applyFont="1" applyBorder="1" applyAlignment="1"/>
    <xf numFmtId="9" fontId="33" fillId="0" borderId="11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2" xfId="0" applyFont="1" applyBorder="1" applyAlignment="1"/>
    <xf numFmtId="3" fontId="33" fillId="0" borderId="10" xfId="0" applyNumberFormat="1" applyFont="1" applyBorder="1" applyAlignment="1"/>
    <xf numFmtId="9" fontId="33" fillId="0" borderId="10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7" fillId="2" borderId="35" xfId="1" applyFont="1" applyFill="1" applyBorder="1" applyAlignment="1">
      <alignment horizontal="left" indent="2"/>
    </xf>
    <xf numFmtId="0" fontId="51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1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1" fillId="4" borderId="60" xfId="1" applyFont="1" applyFill="1" applyBorder="1" applyAlignment="1">
      <alignment horizontal="left"/>
    </xf>
    <xf numFmtId="0" fontId="47" fillId="4" borderId="35" xfId="1" applyFont="1" applyFill="1" applyBorder="1" applyAlignment="1">
      <alignment horizontal="left" indent="2"/>
    </xf>
    <xf numFmtId="0" fontId="51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2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 applyBorder="1" applyAlignment="1"/>
    <xf numFmtId="0" fontId="42" fillId="0" borderId="0" xfId="0" applyFont="1" applyFill="1"/>
    <xf numFmtId="16" fontId="42" fillId="0" borderId="0" xfId="0" quotePrefix="1" applyNumberFormat="1" applyFont="1" applyFill="1"/>
    <xf numFmtId="0" fontId="42" fillId="0" borderId="0" xfId="0" quotePrefix="1" applyFont="1" applyFill="1"/>
    <xf numFmtId="171" fontId="42" fillId="0" borderId="0" xfId="0" applyNumberFormat="1" applyFont="1" applyFill="1"/>
    <xf numFmtId="172" fontId="42" fillId="0" borderId="0" xfId="0" applyNumberFormat="1" applyFont="1" applyFill="1"/>
    <xf numFmtId="3" fontId="42" fillId="0" borderId="0" xfId="0" applyNumberFormat="1" applyFont="1" applyFill="1"/>
    <xf numFmtId="0" fontId="8" fillId="0" borderId="0" xfId="81" applyFont="1" applyFill="1"/>
    <xf numFmtId="0" fontId="52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4" fontId="33" fillId="0" borderId="0" xfId="0" applyNumberFormat="1" applyFont="1" applyFill="1"/>
    <xf numFmtId="9" fontId="33" fillId="0" borderId="0" xfId="0" applyNumberFormat="1" applyFont="1" applyFill="1"/>
    <xf numFmtId="164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4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5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69" fontId="40" fillId="0" borderId="20" xfId="0" applyNumberFormat="1" applyFont="1" applyFill="1" applyBorder="1" applyAlignment="1"/>
    <xf numFmtId="169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69" fontId="40" fillId="0" borderId="29" xfId="0" applyNumberFormat="1" applyFont="1" applyFill="1" applyBorder="1" applyAlignment="1"/>
    <xf numFmtId="9" fontId="40" fillId="0" borderId="54" xfId="0" applyNumberFormat="1" applyFont="1" applyFill="1" applyBorder="1" applyAlignment="1"/>
    <xf numFmtId="169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2" xfId="0" applyNumberFormat="1" applyFont="1" applyFill="1" applyBorder="1" applyAlignment="1"/>
    <xf numFmtId="9" fontId="33" fillId="0" borderId="52" xfId="0" applyNumberFormat="1" applyFont="1" applyFill="1" applyBorder="1" applyAlignment="1"/>
    <xf numFmtId="3" fontId="33" fillId="0" borderId="0" xfId="0" applyNumberFormat="1" applyFont="1" applyFill="1" applyBorder="1" applyAlignment="1"/>
    <xf numFmtId="3" fontId="0" fillId="0" borderId="0" xfId="0" applyNumberFormat="1"/>
    <xf numFmtId="0" fontId="55" fillId="0" borderId="0" xfId="1" applyFont="1" applyFill="1"/>
    <xf numFmtId="3" fontId="53" fillId="0" borderId="0" xfId="26" applyNumberFormat="1" applyFont="1" applyFill="1" applyBorder="1" applyAlignment="1"/>
    <xf numFmtId="0" fontId="58" fillId="0" borderId="0" xfId="0" applyFont="1" applyAlignment="1">
      <alignment horizontal="left" vertical="center" indent="1"/>
    </xf>
    <xf numFmtId="0" fontId="58" fillId="0" borderId="0" xfId="0" applyFont="1" applyAlignment="1">
      <alignment vertical="center"/>
    </xf>
    <xf numFmtId="0" fontId="0" fillId="0" borderId="0" xfId="0" applyAlignment="1"/>
    <xf numFmtId="0" fontId="59" fillId="0" borderId="0" xfId="0" applyFont="1"/>
    <xf numFmtId="0" fontId="32" fillId="2" borderId="99" xfId="74" applyFont="1" applyFill="1" applyBorder="1" applyAlignment="1">
      <alignment horizontal="center"/>
    </xf>
    <xf numFmtId="0" fontId="32" fillId="2" borderId="80" xfId="81" applyFont="1" applyFill="1" applyBorder="1" applyAlignment="1">
      <alignment horizontal="center"/>
    </xf>
    <xf numFmtId="0" fontId="32" fillId="2" borderId="81" xfId="81" applyFont="1" applyFill="1" applyBorder="1" applyAlignment="1">
      <alignment horizontal="center"/>
    </xf>
    <xf numFmtId="0" fontId="32" fillId="2" borderId="82" xfId="81" applyFont="1" applyFill="1" applyBorder="1" applyAlignment="1">
      <alignment horizontal="center"/>
    </xf>
    <xf numFmtId="0" fontId="32" fillId="2" borderId="8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30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3" fillId="0" borderId="28" xfId="0" applyNumberFormat="1" applyFont="1" applyFill="1" applyBorder="1"/>
    <xf numFmtId="9" fontId="33" fillId="0" borderId="21" xfId="0" applyNumberFormat="1" applyFont="1" applyFill="1" applyBorder="1"/>
    <xf numFmtId="9" fontId="33" fillId="0" borderId="29" xfId="0" applyNumberFormat="1" applyFont="1" applyFill="1" applyBorder="1"/>
    <xf numFmtId="3" fontId="7" fillId="0" borderId="20" xfId="78" applyNumberFormat="1" applyFont="1" applyFill="1" applyBorder="1" applyAlignment="1"/>
    <xf numFmtId="3" fontId="7" fillId="0" borderId="28" xfId="78" applyNumberFormat="1" applyFont="1" applyFill="1" applyBorder="1" applyAlignment="1"/>
    <xf numFmtId="3" fontId="7" fillId="0" borderId="21" xfId="78" applyNumberFormat="1" applyFont="1" applyFill="1" applyBorder="1" applyAlignment="1"/>
    <xf numFmtId="0" fontId="33" fillId="5" borderId="88" xfId="0" applyFont="1" applyFill="1" applyBorder="1"/>
    <xf numFmtId="0" fontId="33" fillId="0" borderId="89" xfId="0" applyFont="1" applyBorder="1" applyAlignment="1"/>
    <xf numFmtId="9" fontId="33" fillId="0" borderId="87" xfId="0" applyNumberFormat="1" applyFont="1" applyBorder="1" applyAlignment="1"/>
    <xf numFmtId="0" fontId="26" fillId="2" borderId="35" xfId="1" applyFill="1" applyBorder="1" applyAlignment="1">
      <alignment horizontal="left" indent="4"/>
    </xf>
    <xf numFmtId="0" fontId="40" fillId="0" borderId="0" xfId="0" applyFont="1" applyFill="1" applyAlignment="1">
      <alignment horizontal="left" indent="1"/>
    </xf>
    <xf numFmtId="3" fontId="40" fillId="0" borderId="20" xfId="0" applyNumberFormat="1" applyFont="1" applyFill="1" applyBorder="1" applyAlignment="1"/>
    <xf numFmtId="3" fontId="40" fillId="0" borderId="28" xfId="0" applyNumberFormat="1" applyFont="1" applyFill="1" applyBorder="1" applyAlignment="1"/>
    <xf numFmtId="169" fontId="40" fillId="0" borderId="21" xfId="0" applyNumberFormat="1" applyFont="1" applyFill="1" applyBorder="1" applyAlignment="1"/>
    <xf numFmtId="49" fontId="38" fillId="2" borderId="87" xfId="0" quotePrefix="1" applyNumberFormat="1" applyFont="1" applyFill="1" applyBorder="1" applyAlignment="1">
      <alignment horizontal="center" vertical="center"/>
    </xf>
    <xf numFmtId="0" fontId="26" fillId="4" borderId="85" xfId="1" applyFill="1" applyBorder="1" applyAlignment="1">
      <alignment horizontal="left" indent="4"/>
    </xf>
    <xf numFmtId="0" fontId="26" fillId="4" borderId="35" xfId="1" applyFill="1" applyBorder="1" applyAlignment="1">
      <alignment horizontal="left" indent="2"/>
    </xf>
    <xf numFmtId="0" fontId="33" fillId="0" borderId="86" xfId="0" applyFont="1" applyBorder="1"/>
    <xf numFmtId="0" fontId="32" fillId="2" borderId="76" xfId="0" applyFont="1" applyFill="1" applyBorder="1" applyAlignment="1">
      <alignment horizontal="center" vertical="top" wrapText="1"/>
    </xf>
    <xf numFmtId="0" fontId="26" fillId="6" borderId="5" xfId="1" applyFill="1" applyBorder="1"/>
    <xf numFmtId="0" fontId="32" fillId="2" borderId="46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32" fillId="2" borderId="25" xfId="74" applyFont="1" applyFill="1" applyBorder="1" applyAlignment="1">
      <alignment horizontal="center"/>
    </xf>
    <xf numFmtId="0" fontId="7" fillId="0" borderId="3" xfId="78" applyFont="1" applyFill="1" applyBorder="1" applyAlignment="1"/>
    <xf numFmtId="3" fontId="40" fillId="0" borderId="21" xfId="0" applyNumberFormat="1" applyFont="1" applyFill="1" applyBorder="1" applyAlignment="1"/>
    <xf numFmtId="0" fontId="40" fillId="2" borderId="19" xfId="0" applyFont="1" applyFill="1" applyBorder="1" applyAlignment="1">
      <alignment horizontal="right"/>
    </xf>
    <xf numFmtId="0" fontId="28" fillId="0" borderId="0" xfId="78" applyNumberFormat="1" applyFont="1" applyFill="1" applyBorder="1" applyAlignment="1"/>
    <xf numFmtId="0" fontId="33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9" fillId="0" borderId="0" xfId="0" applyFont="1" applyFill="1" applyAlignment="1">
      <alignment horizontal="left" indent="2"/>
    </xf>
    <xf numFmtId="176" fontId="40" fillId="0" borderId="16" xfId="0" applyNumberFormat="1" applyFont="1" applyBorder="1" applyAlignment="1">
      <alignment vertical="center"/>
    </xf>
    <xf numFmtId="173" fontId="40" fillId="0" borderId="32" xfId="0" applyNumberFormat="1" applyFont="1" applyBorder="1" applyAlignment="1">
      <alignment vertical="center"/>
    </xf>
    <xf numFmtId="173" fontId="33" fillId="0" borderId="17" xfId="0" applyNumberFormat="1" applyFont="1" applyBorder="1" applyAlignment="1">
      <alignment vertical="center"/>
    </xf>
    <xf numFmtId="173" fontId="33" fillId="0" borderId="0" xfId="0" applyNumberFormat="1" applyFont="1" applyBorder="1" applyAlignment="1">
      <alignment vertical="center"/>
    </xf>
    <xf numFmtId="173" fontId="33" fillId="0" borderId="16" xfId="0" applyNumberFormat="1" applyFont="1" applyBorder="1" applyAlignment="1">
      <alignment vertical="center"/>
    </xf>
    <xf numFmtId="174" fontId="33" fillId="0" borderId="0" xfId="0" applyNumberFormat="1" applyFont="1" applyBorder="1" applyAlignment="1">
      <alignment vertical="center"/>
    </xf>
    <xf numFmtId="0" fontId="56" fillId="0" borderId="17" xfId="0" applyFont="1" applyFill="1" applyBorder="1" applyAlignment="1">
      <alignment horizontal="left" vertical="center"/>
    </xf>
    <xf numFmtId="0" fontId="40" fillId="2" borderId="0" xfId="0" applyFont="1" applyFill="1" applyBorder="1" applyAlignment="1">
      <alignment horizontal="center" vertical="center"/>
    </xf>
    <xf numFmtId="173" fontId="33" fillId="0" borderId="0" xfId="0" applyNumberFormat="1" applyFont="1" applyBorder="1" applyAlignment="1">
      <alignment horizontal="right" vertical="center"/>
    </xf>
    <xf numFmtId="175" fontId="33" fillId="0" borderId="0" xfId="0" applyNumberFormat="1" applyFont="1" applyBorder="1" applyAlignment="1">
      <alignment horizontal="right" vertical="center"/>
    </xf>
    <xf numFmtId="3" fontId="40" fillId="0" borderId="68" xfId="0" applyNumberFormat="1" applyFont="1" applyBorder="1" applyAlignment="1">
      <alignment horizontal="right" vertical="center"/>
    </xf>
    <xf numFmtId="9" fontId="40" fillId="0" borderId="106" xfId="0" applyNumberFormat="1" applyFont="1" applyBorder="1" applyAlignment="1">
      <alignment horizontal="right" vertical="center"/>
    </xf>
    <xf numFmtId="173" fontId="40" fillId="0" borderId="106" xfId="0" applyNumberFormat="1" applyFont="1" applyBorder="1" applyAlignment="1">
      <alignment horizontal="right" vertical="center"/>
    </xf>
    <xf numFmtId="173" fontId="40" fillId="0" borderId="74" xfId="0" applyNumberFormat="1" applyFont="1" applyBorder="1" applyAlignment="1">
      <alignment horizontal="right" vertical="center"/>
    </xf>
    <xf numFmtId="173" fontId="40" fillId="0" borderId="76" xfId="0" applyNumberFormat="1" applyFont="1" applyBorder="1" applyAlignment="1">
      <alignment vertical="center"/>
    </xf>
    <xf numFmtId="173" fontId="40" fillId="0" borderId="107" xfId="0" applyNumberFormat="1" applyFont="1" applyBorder="1" applyAlignment="1">
      <alignment vertical="center"/>
    </xf>
    <xf numFmtId="173" fontId="40" fillId="0" borderId="106" xfId="0" applyNumberFormat="1" applyFont="1" applyBorder="1" applyAlignment="1">
      <alignment vertical="center"/>
    </xf>
    <xf numFmtId="173" fontId="40" fillId="0" borderId="74" xfId="0" applyNumberFormat="1" applyFont="1" applyBorder="1" applyAlignment="1">
      <alignment vertical="center"/>
    </xf>
    <xf numFmtId="173" fontId="40" fillId="0" borderId="108" xfId="0" applyNumberFormat="1" applyFont="1" applyBorder="1" applyAlignment="1">
      <alignment vertical="center"/>
    </xf>
    <xf numFmtId="174" fontId="40" fillId="0" borderId="109" xfId="0" applyNumberFormat="1" applyFont="1" applyBorder="1" applyAlignment="1">
      <alignment vertical="center"/>
    </xf>
    <xf numFmtId="174" fontId="40" fillId="0" borderId="106" xfId="0" applyNumberFormat="1" applyFont="1" applyBorder="1" applyAlignment="1">
      <alignment vertical="center"/>
    </xf>
    <xf numFmtId="174" fontId="40" fillId="0" borderId="74" xfId="0" applyNumberFormat="1" applyFont="1" applyBorder="1" applyAlignment="1">
      <alignment vertical="center"/>
    </xf>
    <xf numFmtId="168" fontId="40" fillId="0" borderId="100" xfId="0" applyNumberFormat="1" applyFont="1" applyBorder="1" applyAlignment="1">
      <alignment vertical="center"/>
    </xf>
    <xf numFmtId="0" fontId="33" fillId="0" borderId="107" xfId="0" applyFont="1" applyBorder="1" applyAlignment="1">
      <alignment horizontal="center" vertical="center"/>
    </xf>
    <xf numFmtId="166" fontId="40" fillId="2" borderId="74" xfId="0" applyNumberFormat="1" applyFont="1" applyFill="1" applyBorder="1" applyAlignment="1">
      <alignment horizontal="center" vertical="center"/>
    </xf>
    <xf numFmtId="173" fontId="40" fillId="0" borderId="83" xfId="0" applyNumberFormat="1" applyFont="1" applyBorder="1" applyAlignment="1">
      <alignment horizontal="right" vertical="center"/>
    </xf>
    <xf numFmtId="175" fontId="40" fillId="0" borderId="82" xfId="0" applyNumberFormat="1" applyFont="1" applyBorder="1" applyAlignment="1">
      <alignment horizontal="right" vertical="center"/>
    </xf>
    <xf numFmtId="173" fontId="40" fillId="0" borderId="82" xfId="0" applyNumberFormat="1" applyFont="1" applyBorder="1" applyAlignment="1">
      <alignment horizontal="right" vertical="center"/>
    </xf>
    <xf numFmtId="173" fontId="40" fillId="0" borderId="83" xfId="0" applyNumberFormat="1" applyFont="1" applyBorder="1" applyAlignment="1">
      <alignment vertical="center"/>
    </xf>
    <xf numFmtId="173" fontId="40" fillId="0" borderId="82" xfId="0" applyNumberFormat="1" applyFont="1" applyBorder="1" applyAlignment="1">
      <alignment vertical="center"/>
    </xf>
    <xf numFmtId="173" fontId="40" fillId="0" borderId="81" xfId="0" applyNumberFormat="1" applyFont="1" applyBorder="1" applyAlignment="1">
      <alignment vertical="center"/>
    </xf>
    <xf numFmtId="176" fontId="40" fillId="0" borderId="8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6" fillId="9" borderId="87" xfId="0" quotePrefix="1" applyFont="1" applyFill="1" applyBorder="1" applyAlignment="1">
      <alignment horizontal="center" vertical="center" wrapText="1"/>
    </xf>
    <xf numFmtId="0" fontId="41" fillId="9" borderId="87" xfId="0" quotePrefix="1" applyFont="1" applyFill="1" applyBorder="1" applyAlignment="1">
      <alignment horizontal="center" vertical="center" wrapText="1"/>
    </xf>
    <xf numFmtId="0" fontId="41" fillId="9" borderId="86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115" xfId="0" applyNumberFormat="1" applyFont="1" applyFill="1" applyBorder="1"/>
    <xf numFmtId="3" fontId="0" fillId="7" borderId="75" xfId="0" applyNumberFormat="1" applyFont="1" applyFill="1" applyBorder="1"/>
    <xf numFmtId="0" fontId="0" fillId="0" borderId="116" xfId="0" applyNumberFormat="1" applyFont="1" applyBorder="1"/>
    <xf numFmtId="3" fontId="0" fillId="0" borderId="117" xfId="0" applyNumberFormat="1" applyFont="1" applyBorder="1"/>
    <xf numFmtId="0" fontId="0" fillId="7" borderId="116" xfId="0" applyNumberFormat="1" applyFont="1" applyFill="1" applyBorder="1"/>
    <xf numFmtId="3" fontId="0" fillId="7" borderId="117" xfId="0" applyNumberFormat="1" applyFont="1" applyFill="1" applyBorder="1"/>
    <xf numFmtId="0" fontId="54" fillId="8" borderId="116" xfId="0" applyNumberFormat="1" applyFont="1" applyFill="1" applyBorder="1"/>
    <xf numFmtId="3" fontId="54" fillId="8" borderId="117" xfId="0" applyNumberFormat="1" applyFont="1" applyFill="1" applyBorder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3" fillId="0" borderId="2" xfId="0" applyFont="1" applyFill="1" applyBorder="1" applyAlignment="1"/>
    <xf numFmtId="0" fontId="43" fillId="0" borderId="2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2" fillId="0" borderId="3" xfId="0" applyFont="1" applyBorder="1" applyAlignment="1">
      <alignment horizontal="center" vertical="center"/>
    </xf>
    <xf numFmtId="0" fontId="32" fillId="2" borderId="50" xfId="81" applyFont="1" applyFill="1" applyBorder="1" applyAlignment="1">
      <alignment horizontal="center"/>
    </xf>
    <xf numFmtId="0" fontId="32" fillId="2" borderId="51" xfId="81" applyFont="1" applyFill="1" applyBorder="1" applyAlignment="1">
      <alignment horizontal="center"/>
    </xf>
    <xf numFmtId="0" fontId="32" fillId="2" borderId="48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99" xfId="81" applyFont="1" applyFill="1" applyBorder="1" applyAlignment="1">
      <alignment horizontal="center"/>
    </xf>
    <xf numFmtId="0" fontId="32" fillId="2" borderId="84" xfId="81" applyFont="1" applyFill="1" applyBorder="1" applyAlignment="1">
      <alignment horizontal="center"/>
    </xf>
    <xf numFmtId="0" fontId="43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3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32" fillId="2" borderId="97" xfId="81" applyFont="1" applyFill="1" applyBorder="1" applyAlignment="1">
      <alignment horizontal="center"/>
    </xf>
    <xf numFmtId="0" fontId="32" fillId="2" borderId="98" xfId="81" applyFont="1" applyFill="1" applyBorder="1" applyAlignment="1">
      <alignment horizontal="center"/>
    </xf>
    <xf numFmtId="0" fontId="32" fillId="2" borderId="92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3" fillId="0" borderId="2" xfId="14" applyFont="1" applyFill="1" applyBorder="1" applyAlignment="1"/>
    <xf numFmtId="0" fontId="0" fillId="0" borderId="2" xfId="0" applyBorder="1" applyAlignment="1"/>
    <xf numFmtId="164" fontId="32" fillId="0" borderId="0" xfId="53" applyNumberFormat="1" applyFont="1" applyFill="1" applyBorder="1" applyAlignment="1">
      <alignment horizontal="center"/>
    </xf>
    <xf numFmtId="164" fontId="30" fillId="0" borderId="0" xfId="79" applyNumberFormat="1" applyFont="1" applyFill="1" applyBorder="1" applyAlignment="1">
      <alignment horizontal="center"/>
    </xf>
    <xf numFmtId="164" fontId="32" fillId="2" borderId="25" xfId="53" applyNumberFormat="1" applyFont="1" applyFill="1" applyBorder="1" applyAlignment="1">
      <alignment horizontal="right"/>
    </xf>
    <xf numFmtId="164" fontId="30" fillId="2" borderId="30" xfId="79" applyNumberFormat="1" applyFont="1" applyFill="1" applyBorder="1" applyAlignment="1">
      <alignment horizontal="right"/>
    </xf>
    <xf numFmtId="164" fontId="44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6" xfId="0" applyFont="1" applyFill="1" applyBorder="1" applyAlignment="1"/>
    <xf numFmtId="3" fontId="29" fillId="2" borderId="58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2" xfId="0" applyFont="1" applyFill="1" applyBorder="1" applyAlignment="1">
      <alignment horizontal="left"/>
    </xf>
    <xf numFmtId="0" fontId="33" fillId="2" borderId="56" xfId="0" applyFont="1" applyFill="1" applyBorder="1" applyAlignment="1">
      <alignment horizontal="left"/>
    </xf>
    <xf numFmtId="0" fontId="40" fillId="2" borderId="58" xfId="0" applyFont="1" applyFill="1" applyBorder="1" applyAlignment="1">
      <alignment horizontal="left"/>
    </xf>
    <xf numFmtId="3" fontId="40" fillId="2" borderId="58" xfId="0" applyNumberFormat="1" applyFont="1" applyFill="1" applyBorder="1" applyAlignment="1">
      <alignment horizontal="left"/>
    </xf>
    <xf numFmtId="3" fontId="33" fillId="2" borderId="53" xfId="0" applyNumberFormat="1" applyFont="1" applyFill="1" applyBorder="1" applyAlignment="1">
      <alignment horizontal="left"/>
    </xf>
    <xf numFmtId="9" fontId="3" fillId="2" borderId="102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01" xfId="80" applyNumberFormat="1" applyFont="1" applyFill="1" applyBorder="1" applyAlignment="1">
      <alignment horizontal="left"/>
    </xf>
    <xf numFmtId="3" fontId="3" fillId="2" borderId="94" xfId="8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66" fontId="40" fillId="2" borderId="81" xfId="0" applyNumberFormat="1" applyFont="1" applyFill="1" applyBorder="1" applyAlignment="1">
      <alignment horizontal="center" vertical="center"/>
    </xf>
    <xf numFmtId="0" fontId="33" fillId="0" borderId="110" xfId="0" applyFont="1" applyBorder="1" applyAlignment="1">
      <alignment horizontal="center" vertical="center"/>
    </xf>
    <xf numFmtId="0" fontId="56" fillId="4" borderId="103" xfId="0" applyFont="1" applyFill="1" applyBorder="1" applyAlignment="1">
      <alignment horizontal="center" vertical="center" wrapText="1"/>
    </xf>
    <xf numFmtId="0" fontId="56" fillId="4" borderId="111" xfId="0" applyFont="1" applyFill="1" applyBorder="1" applyAlignment="1">
      <alignment horizontal="center" vertical="center" wrapText="1"/>
    </xf>
    <xf numFmtId="0" fontId="56" fillId="4" borderId="90" xfId="0" applyFont="1" applyFill="1" applyBorder="1" applyAlignment="1">
      <alignment horizontal="center" vertical="center" wrapText="1"/>
    </xf>
    <xf numFmtId="0" fontId="56" fillId="4" borderId="104" xfId="0" applyFont="1" applyFill="1" applyBorder="1" applyAlignment="1">
      <alignment horizontal="center" vertical="center" wrapText="1"/>
    </xf>
    <xf numFmtId="0" fontId="56" fillId="4" borderId="91" xfId="0" applyFont="1" applyFill="1" applyBorder="1" applyAlignment="1">
      <alignment horizontal="center" vertical="center" wrapText="1"/>
    </xf>
    <xf numFmtId="0" fontId="56" fillId="4" borderId="105" xfId="0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40" fillId="4" borderId="3" xfId="0" applyFont="1" applyFill="1" applyBorder="1" applyAlignment="1">
      <alignment horizontal="center" vertical="center" wrapText="1"/>
    </xf>
    <xf numFmtId="168" fontId="56" fillId="2" borderId="103" xfId="0" applyNumberFormat="1" applyFont="1" applyFill="1" applyBorder="1" applyAlignment="1">
      <alignment horizontal="center" vertical="center" wrapText="1"/>
    </xf>
    <xf numFmtId="168" fontId="56" fillId="2" borderId="111" xfId="0" applyNumberFormat="1" applyFont="1" applyFill="1" applyBorder="1" applyAlignment="1">
      <alignment horizontal="center" vertical="center" wrapText="1"/>
    </xf>
    <xf numFmtId="0" fontId="56" fillId="2" borderId="90" xfId="0" applyFont="1" applyFill="1" applyBorder="1" applyAlignment="1">
      <alignment horizontal="center" vertical="center" wrapText="1"/>
    </xf>
    <xf numFmtId="0" fontId="56" fillId="2" borderId="104" xfId="0" applyFont="1" applyFill="1" applyBorder="1" applyAlignment="1">
      <alignment horizontal="center" vertical="center" wrapText="1"/>
    </xf>
    <xf numFmtId="0" fontId="56" fillId="2" borderId="91" xfId="0" applyFont="1" applyFill="1" applyBorder="1" applyAlignment="1">
      <alignment horizontal="center" vertical="center" wrapText="1"/>
    </xf>
    <xf numFmtId="0" fontId="56" fillId="2" borderId="105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6" fillId="4" borderId="90" xfId="0" applyNumberFormat="1" applyFont="1" applyFill="1" applyBorder="1" applyAlignment="1">
      <alignment horizontal="center" vertical="center"/>
    </xf>
    <xf numFmtId="3" fontId="56" fillId="4" borderId="104" xfId="0" applyNumberFormat="1" applyFont="1" applyFill="1" applyBorder="1" applyAlignment="1">
      <alignment horizontal="center" vertical="center"/>
    </xf>
    <xf numFmtId="9" fontId="56" fillId="4" borderId="90" xfId="0" applyNumberFormat="1" applyFont="1" applyFill="1" applyBorder="1" applyAlignment="1">
      <alignment horizontal="center" vertical="center"/>
    </xf>
    <xf numFmtId="9" fontId="56" fillId="4" borderId="104" xfId="0" applyNumberFormat="1" applyFont="1" applyFill="1" applyBorder="1" applyAlignment="1">
      <alignment horizontal="center" vertical="center"/>
    </xf>
    <xf numFmtId="3" fontId="56" fillId="4" borderId="91" xfId="0" applyNumberFormat="1" applyFont="1" applyFill="1" applyBorder="1" applyAlignment="1">
      <alignment horizontal="center" vertical="center" wrapText="1"/>
    </xf>
    <xf numFmtId="3" fontId="56" fillId="4" borderId="105" xfId="0" applyNumberFormat="1" applyFont="1" applyFill="1" applyBorder="1" applyAlignment="1">
      <alignment horizontal="center" vertical="center" wrapText="1"/>
    </xf>
    <xf numFmtId="0" fontId="40" fillId="2" borderId="112" xfId="0" applyFont="1" applyFill="1" applyBorder="1" applyAlignment="1">
      <alignment horizontal="center" vertical="center" wrapText="1"/>
    </xf>
    <xf numFmtId="0" fontId="40" fillId="2" borderId="94" xfId="0" applyFont="1" applyFill="1" applyBorder="1" applyAlignment="1">
      <alignment horizontal="center" vertical="center" wrapText="1"/>
    </xf>
    <xf numFmtId="0" fontId="56" fillId="9" borderId="114" xfId="0" applyFont="1" applyFill="1" applyBorder="1" applyAlignment="1">
      <alignment horizontal="center"/>
    </xf>
    <xf numFmtId="0" fontId="56" fillId="9" borderId="113" xfId="0" applyFont="1" applyFill="1" applyBorder="1" applyAlignment="1">
      <alignment horizontal="center"/>
    </xf>
    <xf numFmtId="0" fontId="56" fillId="9" borderId="89" xfId="0" applyFont="1" applyFill="1" applyBorder="1" applyAlignment="1">
      <alignment horizontal="center"/>
    </xf>
    <xf numFmtId="0" fontId="40" fillId="4" borderId="100" xfId="0" applyFont="1" applyFill="1" applyBorder="1" applyAlignment="1">
      <alignment horizontal="center" vertical="center" wrapText="1"/>
    </xf>
    <xf numFmtId="0" fontId="40" fillId="4" borderId="77" xfId="0" applyFont="1" applyFill="1" applyBorder="1" applyAlignment="1">
      <alignment horizontal="center" vertical="center" wrapText="1"/>
    </xf>
    <xf numFmtId="0" fontId="60" fillId="2" borderId="48" xfId="0" applyFont="1" applyFill="1" applyBorder="1" applyAlignment="1">
      <alignment horizontal="center"/>
    </xf>
    <xf numFmtId="0" fontId="60" fillId="2" borderId="97" xfId="0" applyFont="1" applyFill="1" applyBorder="1" applyAlignment="1">
      <alignment horizontal="center"/>
    </xf>
    <xf numFmtId="0" fontId="60" fillId="2" borderId="84" xfId="0" applyFont="1" applyFill="1" applyBorder="1" applyAlignment="1">
      <alignment horizontal="center"/>
    </xf>
    <xf numFmtId="0" fontId="60" fillId="4" borderId="25" xfId="0" applyFont="1" applyFill="1" applyBorder="1" applyAlignment="1">
      <alignment horizontal="center"/>
    </xf>
    <xf numFmtId="0" fontId="60" fillId="4" borderId="79" xfId="0" applyFont="1" applyFill="1" applyBorder="1" applyAlignment="1">
      <alignment horizontal="center"/>
    </xf>
    <xf numFmtId="0" fontId="60" fillId="4" borderId="80" xfId="0" applyFont="1" applyFill="1" applyBorder="1" applyAlignment="1">
      <alignment horizontal="center"/>
    </xf>
    <xf numFmtId="0" fontId="60" fillId="2" borderId="25" xfId="0" applyFont="1" applyFill="1" applyBorder="1" applyAlignment="1">
      <alignment horizontal="center"/>
    </xf>
    <xf numFmtId="0" fontId="60" fillId="2" borderId="79" xfId="0" applyFont="1" applyFill="1" applyBorder="1" applyAlignment="1">
      <alignment horizontal="center"/>
    </xf>
    <xf numFmtId="0" fontId="60" fillId="2" borderId="80" xfId="0" applyFont="1" applyFill="1" applyBorder="1" applyAlignment="1">
      <alignment horizontal="center"/>
    </xf>
    <xf numFmtId="0" fontId="2" fillId="0" borderId="2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2" xfId="26" applyNumberFormat="1" applyFont="1" applyFill="1" applyBorder="1" applyAlignment="1">
      <alignment horizontal="center"/>
    </xf>
    <xf numFmtId="3" fontId="32" fillId="2" borderId="95" xfId="26" applyNumberFormat="1" applyFont="1" applyFill="1" applyBorder="1" applyAlignment="1">
      <alignment horizontal="center"/>
    </xf>
    <xf numFmtId="3" fontId="32" fillId="2" borderId="53" xfId="26" applyNumberFormat="1" applyFont="1" applyFill="1" applyBorder="1" applyAlignment="1">
      <alignment horizontal="center"/>
    </xf>
    <xf numFmtId="3" fontId="32" fillId="2" borderId="100" xfId="26" applyNumberFormat="1" applyFont="1" applyFill="1" applyBorder="1" applyAlignment="1">
      <alignment horizontal="center"/>
    </xf>
    <xf numFmtId="3" fontId="32" fillId="2" borderId="77" xfId="26" applyNumberFormat="1" applyFont="1" applyFill="1" applyBorder="1" applyAlignment="1">
      <alignment horizontal="center"/>
    </xf>
    <xf numFmtId="0" fontId="32" fillId="2" borderId="31" xfId="0" applyFont="1" applyFill="1" applyBorder="1" applyAlignment="1">
      <alignment horizontal="center" vertical="top" wrapText="1"/>
    </xf>
    <xf numFmtId="3" fontId="32" fillId="2" borderId="53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3" xfId="0" applyFont="1" applyFill="1" applyBorder="1" applyAlignment="1">
      <alignment horizontal="center"/>
    </xf>
    <xf numFmtId="9" fontId="45" fillId="2" borderId="53" xfId="0" applyNumberFormat="1" applyFont="1" applyFill="1" applyBorder="1" applyAlignment="1">
      <alignment horizontal="center" vertical="top"/>
    </xf>
    <xf numFmtId="0" fontId="32" fillId="2" borderId="76" xfId="0" applyNumberFormat="1" applyFont="1" applyFill="1" applyBorder="1" applyAlignment="1">
      <alignment horizontal="center" vertical="top"/>
    </xf>
    <xf numFmtId="0" fontId="32" fillId="2" borderId="76" xfId="0" applyFont="1" applyFill="1" applyBorder="1" applyAlignment="1">
      <alignment horizontal="center" vertical="top" wrapText="1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3" xfId="0" applyNumberFormat="1" applyFont="1" applyFill="1" applyBorder="1" applyAlignment="1">
      <alignment horizontal="center"/>
    </xf>
    <xf numFmtId="49" fontId="32" fillId="2" borderId="31" xfId="0" applyNumberFormat="1" applyFont="1" applyFill="1" applyBorder="1" applyAlignment="1">
      <alignment horizontal="center" vertical="top"/>
    </xf>
    <xf numFmtId="0" fontId="45" fillId="2" borderId="53" xfId="0" applyNumberFormat="1" applyFont="1" applyFill="1" applyBorder="1" applyAlignment="1">
      <alignment horizontal="center" vertical="top"/>
    </xf>
    <xf numFmtId="0" fontId="61" fillId="0" borderId="0" xfId="0" applyFont="1"/>
    <xf numFmtId="3" fontId="34" fillId="10" borderId="119" xfId="83" applyNumberFormat="1" applyFont="1" applyFill="1" applyBorder="1" applyAlignment="1">
      <alignment horizontal="right" vertical="top"/>
    </xf>
    <xf numFmtId="3" fontId="34" fillId="10" borderId="120" xfId="83" applyNumberFormat="1" applyFont="1" applyFill="1" applyBorder="1" applyAlignment="1">
      <alignment horizontal="right" vertical="top"/>
    </xf>
    <xf numFmtId="9" fontId="34" fillId="10" borderId="121" xfId="83" applyFont="1" applyFill="1" applyBorder="1" applyAlignment="1">
      <alignment horizontal="right" vertical="top"/>
    </xf>
    <xf numFmtId="9" fontId="34" fillId="10" borderId="122" xfId="83" applyFont="1" applyFill="1" applyBorder="1" applyAlignment="1">
      <alignment horizontal="right" vertical="top"/>
    </xf>
    <xf numFmtId="3" fontId="34" fillId="11" borderId="118" xfId="24" applyNumberFormat="1" applyFont="1" applyFill="1" applyBorder="1" applyAlignment="1">
      <alignment horizontal="left" vertical="top"/>
    </xf>
    <xf numFmtId="0" fontId="30" fillId="0" borderId="0" xfId="0" applyFont="1" applyAlignment="1">
      <alignment horizontal="left"/>
    </xf>
    <xf numFmtId="3" fontId="30" fillId="0" borderId="0" xfId="0" applyNumberFormat="1" applyFont="1" applyAlignment="1">
      <alignment horizontal="left"/>
    </xf>
    <xf numFmtId="3" fontId="30" fillId="0" borderId="0" xfId="0" applyNumberFormat="1" applyFont="1" applyAlignment="1">
      <alignment horizontal="right"/>
    </xf>
    <xf numFmtId="9" fontId="30" fillId="0" borderId="0" xfId="0" applyNumberFormat="1" applyFont="1" applyAlignment="1">
      <alignment horizontal="right"/>
    </xf>
    <xf numFmtId="3" fontId="30" fillId="0" borderId="0" xfId="0" applyNumberFormat="1" applyFont="1"/>
    <xf numFmtId="164" fontId="32" fillId="2" borderId="108" xfId="53" applyNumberFormat="1" applyFont="1" applyFill="1" applyBorder="1" applyAlignment="1">
      <alignment horizontal="left"/>
    </xf>
    <xf numFmtId="164" fontId="32" fillId="2" borderId="123" xfId="53" applyNumberFormat="1" applyFont="1" applyFill="1" applyBorder="1" applyAlignment="1">
      <alignment horizontal="left"/>
    </xf>
    <xf numFmtId="0" fontId="32" fillId="2" borderId="123" xfId="53" applyNumberFormat="1" applyFont="1" applyFill="1" applyBorder="1" applyAlignment="1">
      <alignment horizontal="left"/>
    </xf>
    <xf numFmtId="164" fontId="32" fillId="2" borderId="106" xfId="53" applyNumberFormat="1" applyFont="1" applyFill="1" applyBorder="1" applyAlignment="1">
      <alignment horizontal="left"/>
    </xf>
    <xf numFmtId="3" fontId="32" fillId="2" borderId="106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3" fontId="33" fillId="0" borderId="123" xfId="0" applyNumberFormat="1" applyFont="1" applyFill="1" applyBorder="1"/>
    <xf numFmtId="3" fontId="33" fillId="0" borderId="107" xfId="0" applyNumberFormat="1" applyFont="1" applyFill="1" applyBorder="1"/>
    <xf numFmtId="0" fontId="33" fillId="0" borderId="78" xfId="0" applyFont="1" applyFill="1" applyBorder="1"/>
    <xf numFmtId="0" fontId="33" fillId="0" borderId="79" xfId="0" applyFont="1" applyFill="1" applyBorder="1"/>
    <xf numFmtId="164" fontId="33" fillId="0" borderId="79" xfId="0" applyNumberFormat="1" applyFont="1" applyFill="1" applyBorder="1"/>
    <xf numFmtId="164" fontId="33" fillId="0" borderId="79" xfId="0" applyNumberFormat="1" applyFont="1" applyFill="1" applyBorder="1" applyAlignment="1">
      <alignment horizontal="right"/>
    </xf>
    <xf numFmtId="0" fontId="33" fillId="0" borderId="79" xfId="0" applyNumberFormat="1" applyFont="1" applyFill="1" applyBorder="1"/>
    <xf numFmtId="3" fontId="33" fillId="0" borderId="79" xfId="0" applyNumberFormat="1" applyFont="1" applyFill="1" applyBorder="1"/>
    <xf numFmtId="3" fontId="33" fillId="0" borderId="80" xfId="0" applyNumberFormat="1" applyFont="1" applyFill="1" applyBorder="1"/>
    <xf numFmtId="0" fontId="33" fillId="0" borderId="86" xfId="0" applyFont="1" applyFill="1" applyBorder="1"/>
    <xf numFmtId="0" fontId="33" fillId="0" borderId="87" xfId="0" applyFont="1" applyFill="1" applyBorder="1"/>
    <xf numFmtId="164" fontId="33" fillId="0" borderId="87" xfId="0" applyNumberFormat="1" applyFont="1" applyFill="1" applyBorder="1"/>
    <xf numFmtId="164" fontId="33" fillId="0" borderId="87" xfId="0" applyNumberFormat="1" applyFont="1" applyFill="1" applyBorder="1" applyAlignment="1">
      <alignment horizontal="right"/>
    </xf>
    <xf numFmtId="0" fontId="33" fillId="0" borderId="87" xfId="0" applyNumberFormat="1" applyFont="1" applyFill="1" applyBorder="1"/>
    <xf numFmtId="3" fontId="33" fillId="0" borderId="87" xfId="0" applyNumberFormat="1" applyFont="1" applyFill="1" applyBorder="1"/>
    <xf numFmtId="3" fontId="33" fillId="0" borderId="88" xfId="0" applyNumberFormat="1" applyFont="1" applyFill="1" applyBorder="1"/>
    <xf numFmtId="0" fontId="33" fillId="0" borderId="81" xfId="0" applyFont="1" applyFill="1" applyBorder="1"/>
    <xf numFmtId="0" fontId="33" fillId="0" borderId="82" xfId="0" applyFont="1" applyFill="1" applyBorder="1"/>
    <xf numFmtId="164" fontId="33" fillId="0" borderId="82" xfId="0" applyNumberFormat="1" applyFont="1" applyFill="1" applyBorder="1"/>
    <xf numFmtId="164" fontId="33" fillId="0" borderId="82" xfId="0" applyNumberFormat="1" applyFont="1" applyFill="1" applyBorder="1" applyAlignment="1">
      <alignment horizontal="right"/>
    </xf>
    <xf numFmtId="0" fontId="33" fillId="0" borderId="82" xfId="0" applyNumberFormat="1" applyFont="1" applyFill="1" applyBorder="1"/>
    <xf numFmtId="3" fontId="33" fillId="0" borderId="82" xfId="0" applyNumberFormat="1" applyFont="1" applyFill="1" applyBorder="1"/>
    <xf numFmtId="3" fontId="33" fillId="0" borderId="83" xfId="0" applyNumberFormat="1" applyFont="1" applyFill="1" applyBorder="1"/>
    <xf numFmtId="0" fontId="40" fillId="2" borderId="108" xfId="0" applyFont="1" applyFill="1" applyBorder="1"/>
    <xf numFmtId="3" fontId="40" fillId="2" borderId="109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123" xfId="0" applyNumberFormat="1" applyFont="1" applyFill="1" applyBorder="1"/>
    <xf numFmtId="9" fontId="33" fillId="0" borderId="79" xfId="0" applyNumberFormat="1" applyFont="1" applyFill="1" applyBorder="1"/>
    <xf numFmtId="9" fontId="33" fillId="0" borderId="82" xfId="0" applyNumberFormat="1" applyFont="1" applyFill="1" applyBorder="1"/>
    <xf numFmtId="0" fontId="33" fillId="0" borderId="20" xfId="0" applyFont="1" applyFill="1" applyBorder="1"/>
    <xf numFmtId="3" fontId="33" fillId="0" borderId="28" xfId="0" applyNumberFormat="1" applyFont="1" applyFill="1" applyBorder="1"/>
    <xf numFmtId="3" fontId="33" fillId="0" borderId="21" xfId="0" applyNumberFormat="1" applyFont="1" applyFill="1" applyBorder="1"/>
    <xf numFmtId="0" fontId="40" fillId="11" borderId="20" xfId="0" applyFont="1" applyFill="1" applyBorder="1"/>
    <xf numFmtId="3" fontId="40" fillId="11" borderId="28" xfId="0" applyNumberFormat="1" applyFont="1" applyFill="1" applyBorder="1"/>
    <xf numFmtId="9" fontId="40" fillId="11" borderId="28" xfId="0" applyNumberFormat="1" applyFont="1" applyFill="1" applyBorder="1"/>
    <xf numFmtId="3" fontId="40" fillId="11" borderId="21" xfId="0" applyNumberFormat="1" applyFont="1" applyFill="1" applyBorder="1"/>
    <xf numFmtId="0" fontId="40" fillId="0" borderId="108" xfId="0" applyFont="1" applyFill="1" applyBorder="1"/>
    <xf numFmtId="0" fontId="33" fillId="5" borderId="11" xfId="0" applyFont="1" applyFill="1" applyBorder="1" applyAlignment="1">
      <alignment wrapText="1"/>
    </xf>
    <xf numFmtId="0" fontId="40" fillId="2" borderId="123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3" fillId="0" borderId="99" xfId="0" applyFont="1" applyFill="1" applyBorder="1"/>
    <xf numFmtId="0" fontId="33" fillId="0" borderId="28" xfId="0" applyFont="1" applyFill="1" applyBorder="1"/>
    <xf numFmtId="0" fontId="3" fillId="2" borderId="108" xfId="79" applyFont="1" applyFill="1" applyBorder="1" applyAlignment="1">
      <alignment horizontal="left"/>
    </xf>
    <xf numFmtId="3" fontId="3" fillId="2" borderId="90" xfId="80" applyNumberFormat="1" applyFont="1" applyFill="1" applyBorder="1"/>
    <xf numFmtId="3" fontId="3" fillId="2" borderId="91" xfId="80" applyNumberFormat="1" applyFont="1" applyFill="1" applyBorder="1"/>
    <xf numFmtId="9" fontId="3" fillId="2" borderId="124" xfId="80" applyNumberFormat="1" applyFont="1" applyFill="1" applyBorder="1"/>
    <xf numFmtId="9" fontId="3" fillId="2" borderId="90" xfId="80" applyNumberFormat="1" applyFont="1" applyFill="1" applyBorder="1"/>
    <xf numFmtId="9" fontId="3" fillId="2" borderId="91" xfId="80" applyNumberFormat="1" applyFont="1" applyFill="1" applyBorder="1"/>
    <xf numFmtId="9" fontId="33" fillId="0" borderId="80" xfId="0" applyNumberFormat="1" applyFont="1" applyFill="1" applyBorder="1"/>
    <xf numFmtId="9" fontId="33" fillId="0" borderId="87" xfId="0" applyNumberFormat="1" applyFont="1" applyFill="1" applyBorder="1"/>
    <xf numFmtId="9" fontId="33" fillId="0" borderId="88" xfId="0" applyNumberFormat="1" applyFont="1" applyFill="1" applyBorder="1"/>
    <xf numFmtId="9" fontId="33" fillId="0" borderId="83" xfId="0" applyNumberFormat="1" applyFont="1" applyFill="1" applyBorder="1"/>
    <xf numFmtId="0" fontId="40" fillId="0" borderId="99" xfId="0" applyFont="1" applyFill="1" applyBorder="1"/>
    <xf numFmtId="0" fontId="40" fillId="0" borderId="114" xfId="0" applyFont="1" applyFill="1" applyBorder="1" applyAlignment="1">
      <alignment horizontal="left" indent="1"/>
    </xf>
    <xf numFmtId="0" fontId="40" fillId="0" borderId="98" xfId="0" applyFont="1" applyFill="1" applyBorder="1" applyAlignment="1">
      <alignment horizontal="left" indent="1"/>
    </xf>
    <xf numFmtId="9" fontId="33" fillId="0" borderId="125" xfId="0" applyNumberFormat="1" applyFont="1" applyFill="1" applyBorder="1"/>
    <xf numFmtId="9" fontId="33" fillId="0" borderId="89" xfId="0" applyNumberFormat="1" applyFont="1" applyFill="1" applyBorder="1"/>
    <xf numFmtId="9" fontId="33" fillId="0" borderId="93" xfId="0" applyNumberFormat="1" applyFont="1" applyFill="1" applyBorder="1"/>
    <xf numFmtId="3" fontId="33" fillId="0" borderId="78" xfId="0" applyNumberFormat="1" applyFont="1" applyFill="1" applyBorder="1"/>
    <xf numFmtId="3" fontId="33" fillId="0" borderId="86" xfId="0" applyNumberFormat="1" applyFont="1" applyFill="1" applyBorder="1"/>
    <xf numFmtId="3" fontId="33" fillId="0" borderId="81" xfId="0" applyNumberFormat="1" applyFont="1" applyFill="1" applyBorder="1"/>
    <xf numFmtId="9" fontId="33" fillId="0" borderId="126" xfId="0" applyNumberFormat="1" applyFont="1" applyFill="1" applyBorder="1"/>
    <xf numFmtId="9" fontId="33" fillId="0" borderId="96" xfId="0" applyNumberFormat="1" applyFont="1" applyFill="1" applyBorder="1"/>
    <xf numFmtId="9" fontId="33" fillId="0" borderId="110" xfId="0" applyNumberFormat="1" applyFont="1" applyFill="1" applyBorder="1"/>
    <xf numFmtId="9" fontId="30" fillId="0" borderId="0" xfId="0" applyNumberFormat="1" applyFont="1"/>
    <xf numFmtId="0" fontId="62" fillId="0" borderId="0" xfId="0" applyFont="1" applyFill="1"/>
    <xf numFmtId="0" fontId="63" fillId="0" borderId="0" xfId="0" applyFont="1" applyFill="1"/>
    <xf numFmtId="0" fontId="40" fillId="11" borderId="99" xfId="0" applyFont="1" applyFill="1" applyBorder="1"/>
    <xf numFmtId="0" fontId="40" fillId="11" borderId="114" xfId="0" applyFont="1" applyFill="1" applyBorder="1"/>
    <xf numFmtId="0" fontId="40" fillId="11" borderId="98" xfId="0" applyFont="1" applyFill="1" applyBorder="1"/>
    <xf numFmtId="0" fontId="3" fillId="2" borderId="90" xfId="80" applyFont="1" applyFill="1" applyBorder="1"/>
    <xf numFmtId="3" fontId="33" fillId="0" borderId="126" xfId="0" applyNumberFormat="1" applyFont="1" applyFill="1" applyBorder="1"/>
    <xf numFmtId="3" fontId="33" fillId="0" borderId="96" xfId="0" applyNumberFormat="1" applyFont="1" applyFill="1" applyBorder="1"/>
    <xf numFmtId="3" fontId="33" fillId="0" borderId="110" xfId="0" applyNumberFormat="1" applyFont="1" applyFill="1" applyBorder="1"/>
    <xf numFmtId="0" fontId="33" fillId="0" borderId="114" xfId="0" applyFont="1" applyFill="1" applyBorder="1"/>
    <xf numFmtId="0" fontId="33" fillId="0" borderId="98" xfId="0" applyFont="1" applyFill="1" applyBorder="1"/>
    <xf numFmtId="3" fontId="33" fillId="0" borderId="125" xfId="0" applyNumberFormat="1" applyFont="1" applyFill="1" applyBorder="1"/>
    <xf numFmtId="3" fontId="33" fillId="0" borderId="89" xfId="0" applyNumberFormat="1" applyFont="1" applyFill="1" applyBorder="1"/>
    <xf numFmtId="3" fontId="33" fillId="0" borderId="93" xfId="0" applyNumberFormat="1" applyFont="1" applyFill="1" applyBorder="1"/>
    <xf numFmtId="0" fontId="3" fillId="2" borderId="127" xfId="79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80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" fillId="2" borderId="130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4" fontId="33" fillId="0" borderId="30" xfId="0" applyNumberFormat="1" applyFont="1" applyFill="1" applyBorder="1"/>
    <xf numFmtId="165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131" xfId="0" applyFont="1" applyFill="1" applyBorder="1"/>
    <xf numFmtId="0" fontId="33" fillId="0" borderId="132" xfId="0" applyFont="1" applyFill="1" applyBorder="1"/>
    <xf numFmtId="0" fontId="33" fillId="0" borderId="132" xfId="0" applyFont="1" applyFill="1" applyBorder="1" applyAlignment="1">
      <alignment horizontal="right"/>
    </xf>
    <xf numFmtId="0" fontId="33" fillId="0" borderId="132" xfId="0" applyFont="1" applyFill="1" applyBorder="1" applyAlignment="1">
      <alignment horizontal="left"/>
    </xf>
    <xf numFmtId="164" fontId="33" fillId="0" borderId="132" xfId="0" applyNumberFormat="1" applyFont="1" applyFill="1" applyBorder="1"/>
    <xf numFmtId="165" fontId="33" fillId="0" borderId="132" xfId="0" applyNumberFormat="1" applyFont="1" applyFill="1" applyBorder="1"/>
    <xf numFmtId="9" fontId="33" fillId="0" borderId="132" xfId="0" applyNumberFormat="1" applyFont="1" applyFill="1" applyBorder="1"/>
    <xf numFmtId="9" fontId="33" fillId="0" borderId="133" xfId="0" applyNumberFormat="1" applyFont="1" applyFill="1" applyBorder="1"/>
    <xf numFmtId="0" fontId="33" fillId="0" borderId="134" xfId="0" applyFont="1" applyFill="1" applyBorder="1"/>
    <xf numFmtId="0" fontId="33" fillId="0" borderId="135" xfId="0" applyFont="1" applyFill="1" applyBorder="1"/>
    <xf numFmtId="0" fontId="33" fillId="0" borderId="135" xfId="0" applyFont="1" applyFill="1" applyBorder="1" applyAlignment="1">
      <alignment horizontal="right"/>
    </xf>
    <xf numFmtId="0" fontId="33" fillId="0" borderId="135" xfId="0" applyFont="1" applyFill="1" applyBorder="1" applyAlignment="1">
      <alignment horizontal="left"/>
    </xf>
    <xf numFmtId="164" fontId="33" fillId="0" borderId="135" xfId="0" applyNumberFormat="1" applyFont="1" applyFill="1" applyBorder="1"/>
    <xf numFmtId="165" fontId="33" fillId="0" borderId="135" xfId="0" applyNumberFormat="1" applyFont="1" applyFill="1" applyBorder="1"/>
    <xf numFmtId="9" fontId="33" fillId="0" borderId="135" xfId="0" applyNumberFormat="1" applyFont="1" applyFill="1" applyBorder="1"/>
    <xf numFmtId="9" fontId="33" fillId="0" borderId="136" xfId="0" applyNumberFormat="1" applyFont="1" applyFill="1" applyBorder="1"/>
    <xf numFmtId="0" fontId="40" fillId="2" borderId="55" xfId="0" applyFont="1" applyFill="1" applyBorder="1"/>
    <xf numFmtId="3" fontId="33" fillId="0" borderId="26" xfId="0" applyNumberFormat="1" applyFont="1" applyFill="1" applyBorder="1"/>
    <xf numFmtId="3" fontId="33" fillId="0" borderId="132" xfId="0" applyNumberFormat="1" applyFont="1" applyFill="1" applyBorder="1"/>
    <xf numFmtId="3" fontId="33" fillId="0" borderId="133" xfId="0" applyNumberFormat="1" applyFont="1" applyFill="1" applyBorder="1"/>
    <xf numFmtId="3" fontId="33" fillId="0" borderId="135" xfId="0" applyNumberFormat="1" applyFont="1" applyFill="1" applyBorder="1"/>
    <xf numFmtId="3" fontId="33" fillId="0" borderId="136" xfId="0" applyNumberFormat="1" applyFont="1" applyFill="1" applyBorder="1"/>
    <xf numFmtId="3" fontId="33" fillId="0" borderId="138" xfId="0" applyNumberFormat="1" applyFont="1" applyFill="1" applyBorder="1"/>
    <xf numFmtId="9" fontId="33" fillId="0" borderId="138" xfId="0" applyNumberFormat="1" applyFont="1" applyFill="1" applyBorder="1"/>
    <xf numFmtId="3" fontId="33" fillId="0" borderId="139" xfId="0" applyNumberFormat="1" applyFont="1" applyFill="1" applyBorder="1"/>
    <xf numFmtId="0" fontId="40" fillId="0" borderId="25" xfId="0" applyFont="1" applyFill="1" applyBorder="1"/>
    <xf numFmtId="0" fontId="40" fillId="0" borderId="131" xfId="0" applyFont="1" applyFill="1" applyBorder="1"/>
    <xf numFmtId="0" fontId="40" fillId="0" borderId="137" xfId="0" applyFont="1" applyFill="1" applyBorder="1"/>
    <xf numFmtId="0" fontId="40" fillId="2" borderId="57" xfId="0" applyFont="1" applyFill="1" applyBorder="1"/>
    <xf numFmtId="164" fontId="32" fillId="2" borderId="55" xfId="53" applyNumberFormat="1" applyFont="1" applyFill="1" applyBorder="1" applyAlignment="1">
      <alignment horizontal="left"/>
    </xf>
    <xf numFmtId="164" fontId="32" fillId="2" borderId="57" xfId="53" applyNumberFormat="1" applyFont="1" applyFill="1" applyBorder="1" applyAlignment="1">
      <alignment horizontal="left"/>
    </xf>
    <xf numFmtId="164" fontId="33" fillId="0" borderId="30" xfId="0" applyNumberFormat="1" applyFont="1" applyFill="1" applyBorder="1" applyAlignment="1">
      <alignment horizontal="right"/>
    </xf>
    <xf numFmtId="164" fontId="33" fillId="0" borderId="132" xfId="0" applyNumberFormat="1" applyFont="1" applyFill="1" applyBorder="1" applyAlignment="1">
      <alignment horizontal="right"/>
    </xf>
    <xf numFmtId="164" fontId="33" fillId="0" borderId="135" xfId="0" applyNumberFormat="1" applyFont="1" applyFill="1" applyBorder="1" applyAlignment="1">
      <alignment horizontal="right"/>
    </xf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9" fontId="32" fillId="2" borderId="0" xfId="26" quotePrefix="1" applyNumberFormat="1" applyFont="1" applyFill="1" applyBorder="1" applyAlignment="1">
      <alignment horizontal="right"/>
    </xf>
    <xf numFmtId="9" fontId="32" fillId="2" borderId="17" xfId="26" applyNumberFormat="1" applyFont="1" applyFill="1" applyBorder="1" applyAlignment="1">
      <alignment horizontal="right"/>
    </xf>
    <xf numFmtId="0" fontId="60" fillId="4" borderId="25" xfId="0" applyFont="1" applyFill="1" applyBorder="1" applyAlignment="1">
      <alignment horizontal="left"/>
    </xf>
    <xf numFmtId="169" fontId="60" fillId="4" borderId="30" xfId="0" applyNumberFormat="1" applyFont="1" applyFill="1" applyBorder="1"/>
    <xf numFmtId="9" fontId="60" fillId="4" borderId="30" xfId="0" applyNumberFormat="1" applyFont="1" applyFill="1" applyBorder="1"/>
    <xf numFmtId="9" fontId="60" fillId="4" borderId="26" xfId="0" applyNumberFormat="1" applyFont="1" applyFill="1" applyBorder="1"/>
    <xf numFmtId="169" fontId="0" fillId="0" borderId="132" xfId="0" applyNumberFormat="1" applyBorder="1"/>
    <xf numFmtId="9" fontId="0" fillId="0" borderId="132" xfId="0" applyNumberFormat="1" applyBorder="1"/>
    <xf numFmtId="9" fontId="0" fillId="0" borderId="133" xfId="0" applyNumberFormat="1" applyBorder="1"/>
    <xf numFmtId="169" fontId="0" fillId="0" borderId="135" xfId="0" applyNumberFormat="1" applyBorder="1"/>
    <xf numFmtId="9" fontId="0" fillId="0" borderId="135" xfId="0" applyNumberFormat="1" applyBorder="1"/>
    <xf numFmtId="9" fontId="0" fillId="0" borderId="136" xfId="0" applyNumberFormat="1" applyBorder="1"/>
    <xf numFmtId="0" fontId="60" fillId="0" borderId="131" xfId="0" applyFont="1" applyBorder="1" applyAlignment="1">
      <alignment horizontal="left" indent="1"/>
    </xf>
    <xf numFmtId="0" fontId="60" fillId="0" borderId="134" xfId="0" applyFont="1" applyBorder="1" applyAlignment="1">
      <alignment horizontal="left" indent="1"/>
    </xf>
    <xf numFmtId="0" fontId="60" fillId="4" borderId="131" xfId="0" applyFont="1" applyFill="1" applyBorder="1" applyAlignment="1">
      <alignment horizontal="left"/>
    </xf>
    <xf numFmtId="169" fontId="60" fillId="4" borderId="132" xfId="0" applyNumberFormat="1" applyFont="1" applyFill="1" applyBorder="1"/>
    <xf numFmtId="9" fontId="60" fillId="4" borderId="132" xfId="0" applyNumberFormat="1" applyFont="1" applyFill="1" applyBorder="1"/>
    <xf numFmtId="9" fontId="60" fillId="4" borderId="133" xfId="0" applyNumberFormat="1" applyFont="1" applyFill="1" applyBorder="1"/>
    <xf numFmtId="0" fontId="32" fillId="2" borderId="17" xfId="26" applyNumberFormat="1" applyFont="1" applyFill="1" applyBorder="1"/>
    <xf numFmtId="169" fontId="33" fillId="0" borderId="30" xfId="0" applyNumberFormat="1" applyFont="1" applyFill="1" applyBorder="1"/>
    <xf numFmtId="169" fontId="33" fillId="0" borderId="26" xfId="0" applyNumberFormat="1" applyFont="1" applyFill="1" applyBorder="1"/>
    <xf numFmtId="169" fontId="33" fillId="0" borderId="132" xfId="0" applyNumberFormat="1" applyFont="1" applyFill="1" applyBorder="1"/>
    <xf numFmtId="169" fontId="33" fillId="0" borderId="133" xfId="0" applyNumberFormat="1" applyFont="1" applyFill="1" applyBorder="1"/>
    <xf numFmtId="169" fontId="33" fillId="0" borderId="135" xfId="0" applyNumberFormat="1" applyFont="1" applyFill="1" applyBorder="1"/>
    <xf numFmtId="169" fontId="33" fillId="0" borderId="136" xfId="0" applyNumberFormat="1" applyFont="1" applyFill="1" applyBorder="1"/>
    <xf numFmtId="0" fontId="40" fillId="0" borderId="134" xfId="0" applyFont="1" applyFill="1" applyBorder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0" fontId="0" fillId="0" borderId="32" xfId="0" applyNumberFormat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5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top" wrapText="1"/>
    </xf>
    <xf numFmtId="0" fontId="32" fillId="2" borderId="17" xfId="26" applyNumberFormat="1" applyFont="1" applyFill="1" applyBorder="1" applyAlignment="1">
      <alignment horizontal="right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5" fillId="2" borderId="17" xfId="0" applyNumberFormat="1" applyFont="1" applyFill="1" applyBorder="1" applyAlignment="1">
      <alignment horizontal="center" vertical="top"/>
    </xf>
  </cellXfs>
  <cellStyles count="99">
    <cellStyle name="Hypertextový odkaz" xfId="1" builtinId="8"/>
    <cellStyle name="Měna 10" xfId="2" xr:uid="{00000000-0005-0000-0000-000001000000}"/>
    <cellStyle name="Měna 11" xfId="3" xr:uid="{00000000-0005-0000-0000-000002000000}"/>
    <cellStyle name="Měna 12" xfId="4" xr:uid="{00000000-0005-0000-0000-000003000000}"/>
    <cellStyle name="Měna 13" xfId="5" xr:uid="{00000000-0005-0000-0000-000004000000}"/>
    <cellStyle name="Měna 2" xfId="6" xr:uid="{00000000-0005-0000-0000-000005000000}"/>
    <cellStyle name="Měna 3" xfId="7" xr:uid="{00000000-0005-0000-0000-000006000000}"/>
    <cellStyle name="Měna 4" xfId="8" xr:uid="{00000000-0005-0000-0000-000007000000}"/>
    <cellStyle name="Měna 5" xfId="9" xr:uid="{00000000-0005-0000-0000-000008000000}"/>
    <cellStyle name="Měna 6" xfId="10" xr:uid="{00000000-0005-0000-0000-000009000000}"/>
    <cellStyle name="Měna 7" xfId="11" xr:uid="{00000000-0005-0000-0000-00000A000000}"/>
    <cellStyle name="Měna 8" xfId="12" xr:uid="{00000000-0005-0000-0000-00000B000000}"/>
    <cellStyle name="Měna 9" xfId="13" xr:uid="{00000000-0005-0000-0000-00000C000000}"/>
    <cellStyle name="Normální" xfId="0" builtinId="0"/>
    <cellStyle name="Normální 10" xfId="14" xr:uid="{00000000-0005-0000-0000-00000E000000}"/>
    <cellStyle name="Normální 11" xfId="15" xr:uid="{00000000-0005-0000-0000-00000F000000}"/>
    <cellStyle name="Normální 12" xfId="16" xr:uid="{00000000-0005-0000-0000-000010000000}"/>
    <cellStyle name="Normální 13" xfId="17" xr:uid="{00000000-0005-0000-0000-000011000000}"/>
    <cellStyle name="Normální 14" xfId="18" xr:uid="{00000000-0005-0000-0000-000012000000}"/>
    <cellStyle name="Normální 15" xfId="19" xr:uid="{00000000-0005-0000-0000-000013000000}"/>
    <cellStyle name="Normální 16" xfId="20" xr:uid="{00000000-0005-0000-0000-000014000000}"/>
    <cellStyle name="Normální 17" xfId="21" xr:uid="{00000000-0005-0000-0000-000015000000}"/>
    <cellStyle name="Normální 18" xfId="22" xr:uid="{00000000-0005-0000-0000-000016000000}"/>
    <cellStyle name="Normální 19" xfId="23" xr:uid="{00000000-0005-0000-0000-000017000000}"/>
    <cellStyle name="normální 2" xfId="24" xr:uid="{00000000-0005-0000-0000-000018000000}"/>
    <cellStyle name="Normální 2 10" xfId="25" xr:uid="{00000000-0005-0000-0000-000019000000}"/>
    <cellStyle name="Normální 2 10 2" xfId="26" xr:uid="{00000000-0005-0000-0000-00001A000000}"/>
    <cellStyle name="normální 2 11" xfId="27" xr:uid="{00000000-0005-0000-0000-00001B000000}"/>
    <cellStyle name="normální 2 12" xfId="28" xr:uid="{00000000-0005-0000-0000-00001C000000}"/>
    <cellStyle name="Normální 2 13" xfId="29" xr:uid="{00000000-0005-0000-0000-00001D000000}"/>
    <cellStyle name="normální 2 2" xfId="30" xr:uid="{00000000-0005-0000-0000-00001E000000}"/>
    <cellStyle name="normální 2 3" xfId="31" xr:uid="{00000000-0005-0000-0000-00001F000000}"/>
    <cellStyle name="Normální 2 4" xfId="32" xr:uid="{00000000-0005-0000-0000-000020000000}"/>
    <cellStyle name="Normální 2 4 2" xfId="33" xr:uid="{00000000-0005-0000-0000-000021000000}"/>
    <cellStyle name="Normální 2 5" xfId="34" xr:uid="{00000000-0005-0000-0000-000022000000}"/>
    <cellStyle name="Normální 2 5 2" xfId="35" xr:uid="{00000000-0005-0000-0000-000023000000}"/>
    <cellStyle name="Normální 2 6" xfId="36" xr:uid="{00000000-0005-0000-0000-000024000000}"/>
    <cellStyle name="Normální 2 6 2" xfId="37" xr:uid="{00000000-0005-0000-0000-000025000000}"/>
    <cellStyle name="Normální 2 7" xfId="38" xr:uid="{00000000-0005-0000-0000-000026000000}"/>
    <cellStyle name="Normální 2 7 2" xfId="39" xr:uid="{00000000-0005-0000-0000-000027000000}"/>
    <cellStyle name="Normální 2 8" xfId="40" xr:uid="{00000000-0005-0000-0000-000028000000}"/>
    <cellStyle name="Normální 2 8 2" xfId="41" xr:uid="{00000000-0005-0000-0000-000029000000}"/>
    <cellStyle name="Normální 2 9" xfId="42" xr:uid="{00000000-0005-0000-0000-00002A000000}"/>
    <cellStyle name="Normální 2 9 2" xfId="43" xr:uid="{00000000-0005-0000-0000-00002B000000}"/>
    <cellStyle name="normální 2_Hodiny_Plan" xfId="44" xr:uid="{00000000-0005-0000-0000-00002C000000}"/>
    <cellStyle name="Normální 20" xfId="45" xr:uid="{00000000-0005-0000-0000-00002D000000}"/>
    <cellStyle name="Normální 21" xfId="46" xr:uid="{00000000-0005-0000-0000-00002E000000}"/>
    <cellStyle name="Normální 22" xfId="47" xr:uid="{00000000-0005-0000-0000-00002F000000}"/>
    <cellStyle name="normální 3" xfId="48" xr:uid="{00000000-0005-0000-0000-000030000000}"/>
    <cellStyle name="Normální 3 10" xfId="49" xr:uid="{00000000-0005-0000-0000-000031000000}"/>
    <cellStyle name="normální 3 11" xfId="50" xr:uid="{00000000-0005-0000-0000-000032000000}"/>
    <cellStyle name="normální 3 12" xfId="51" xr:uid="{00000000-0005-0000-0000-000033000000}"/>
    <cellStyle name="Normální 3 13" xfId="98" xr:uid="{00000000-0005-0000-0000-000034000000}"/>
    <cellStyle name="normální 3 2" xfId="52" xr:uid="{00000000-0005-0000-0000-000035000000}"/>
    <cellStyle name="Normální 3 3" xfId="53" xr:uid="{00000000-0005-0000-0000-000036000000}"/>
    <cellStyle name="Normální 3 3 2" xfId="54" xr:uid="{00000000-0005-0000-0000-000037000000}"/>
    <cellStyle name="Normální 3 4" xfId="55" xr:uid="{00000000-0005-0000-0000-000038000000}"/>
    <cellStyle name="Normální 3 5" xfId="56" xr:uid="{00000000-0005-0000-0000-000039000000}"/>
    <cellStyle name="Normální 3 6" xfId="57" xr:uid="{00000000-0005-0000-0000-00003A000000}"/>
    <cellStyle name="Normální 3 7" xfId="58" xr:uid="{00000000-0005-0000-0000-00003B000000}"/>
    <cellStyle name="Normální 3 8" xfId="59" xr:uid="{00000000-0005-0000-0000-00003C000000}"/>
    <cellStyle name="Normální 3 9" xfId="60" xr:uid="{00000000-0005-0000-0000-00003D000000}"/>
    <cellStyle name="normální 3_Hodiny_" xfId="61" xr:uid="{00000000-0005-0000-0000-00003E000000}"/>
    <cellStyle name="normální 4" xfId="62" xr:uid="{00000000-0005-0000-0000-00003F000000}"/>
    <cellStyle name="normální 4 2" xfId="63" xr:uid="{00000000-0005-0000-0000-000040000000}"/>
    <cellStyle name="normální 4 2 2" xfId="64" xr:uid="{00000000-0005-0000-0000-000041000000}"/>
    <cellStyle name="normální 4 2_Hodiny_" xfId="65" xr:uid="{00000000-0005-0000-0000-000042000000}"/>
    <cellStyle name="normální 4 3" xfId="66" xr:uid="{00000000-0005-0000-0000-000043000000}"/>
    <cellStyle name="normální 4 4" xfId="67" xr:uid="{00000000-0005-0000-0000-000044000000}"/>
    <cellStyle name="normální 4 5" xfId="68" xr:uid="{00000000-0005-0000-0000-000045000000}"/>
    <cellStyle name="normální 4 6" xfId="69" xr:uid="{00000000-0005-0000-0000-000046000000}"/>
    <cellStyle name="normální 4_Hodiny_" xfId="70" xr:uid="{00000000-0005-0000-0000-000047000000}"/>
    <cellStyle name="normální 5" xfId="71" xr:uid="{00000000-0005-0000-0000-000048000000}"/>
    <cellStyle name="normální 6" xfId="72" xr:uid="{00000000-0005-0000-0000-000049000000}"/>
    <cellStyle name="normální 7" xfId="73" xr:uid="{00000000-0005-0000-0000-00004A000000}"/>
    <cellStyle name="Normální 8" xfId="74" xr:uid="{00000000-0005-0000-0000-00004B000000}"/>
    <cellStyle name="Normální 8 2" xfId="75" xr:uid="{00000000-0005-0000-0000-00004C000000}"/>
    <cellStyle name="Normální 9" xfId="76" xr:uid="{00000000-0005-0000-0000-00004D000000}"/>
    <cellStyle name="Normální 9 2" xfId="77" xr:uid="{00000000-0005-0000-0000-00004E000000}"/>
    <cellStyle name="normální_LEK_01" xfId="78" xr:uid="{00000000-0005-0000-0000-00004F000000}"/>
    <cellStyle name="normální_LEK_FNOL" xfId="79" xr:uid="{00000000-0005-0000-0000-000050000000}"/>
    <cellStyle name="normální_LEK_FNOL 2" xfId="80" xr:uid="{00000000-0005-0000-0000-000051000000}"/>
    <cellStyle name="normální_Manažerské tabulky" xfId="81" xr:uid="{00000000-0005-0000-0000-000052000000}"/>
    <cellStyle name="normální_Sestava hospodaření" xfId="82" xr:uid="{00000000-0005-0000-0000-000053000000}"/>
    <cellStyle name="Procenta" xfId="83" builtinId="5"/>
    <cellStyle name="Procenta 10" xfId="84" xr:uid="{00000000-0005-0000-0000-000055000000}"/>
    <cellStyle name="Procenta 11" xfId="85" xr:uid="{00000000-0005-0000-0000-000056000000}"/>
    <cellStyle name="Procenta 2" xfId="86" xr:uid="{00000000-0005-0000-0000-000057000000}"/>
    <cellStyle name="Procenta 2 2" xfId="87" xr:uid="{00000000-0005-0000-0000-000058000000}"/>
    <cellStyle name="Procenta 2 2 2" xfId="88" xr:uid="{00000000-0005-0000-0000-000059000000}"/>
    <cellStyle name="Procenta 2 3" xfId="89" xr:uid="{00000000-0005-0000-0000-00005A000000}"/>
    <cellStyle name="Procenta 3" xfId="90" xr:uid="{00000000-0005-0000-0000-00005B000000}"/>
    <cellStyle name="Procenta 3 2" xfId="91" xr:uid="{00000000-0005-0000-0000-00005C000000}"/>
    <cellStyle name="Procenta 4" xfId="92" xr:uid="{00000000-0005-0000-0000-00005D000000}"/>
    <cellStyle name="Procenta 5" xfId="93" xr:uid="{00000000-0005-0000-0000-00005E000000}"/>
    <cellStyle name="Procenta 6" xfId="94" xr:uid="{00000000-0005-0000-0000-00005F000000}"/>
    <cellStyle name="Procenta 7" xfId="95" xr:uid="{00000000-0005-0000-0000-000060000000}"/>
    <cellStyle name="Procenta 8" xfId="96" xr:uid="{00000000-0005-0000-0000-000061000000}"/>
    <cellStyle name="Procenta 9" xfId="97" xr:uid="{00000000-0005-0000-0000-000062000000}"/>
  </cellStyles>
  <dxfs count="109">
    <dxf>
      <font>
        <b/>
        <i val="0"/>
        <color rgb="FFFF0000"/>
      </font>
    </dxf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border>
        <top style="thin">
          <color auto="1"/>
        </top>
        <vertical/>
        <horizontal/>
      </border>
    </dxf>
    <dxf>
      <font>
        <b/>
        <i val="0"/>
      </font>
      <border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 xr9:uid="{00000000-0011-0000-FFFF-FFFF00000000}">
      <tableStyleElement type="wholeTable" dxfId="108"/>
      <tableStyleElement type="headerRow" dxfId="107"/>
      <tableStyleElement type="totalRow" dxfId="106"/>
      <tableStyleElement type="firstColumn" dxfId="105"/>
      <tableStyleElement type="lastColumn" dxfId="104"/>
      <tableStyleElement type="firstRowStripe" dxfId="103"/>
      <tableStyleElement type="firstColumnStripe" dxfId="102"/>
    </tableStyle>
    <tableStyle name="TableStyleMedium2 2" pivot="0" count="7" xr9:uid="{00000000-0011-0000-FFFF-FFFF01000000}">
      <tableStyleElement type="wholeTable" dxfId="101"/>
      <tableStyleElement type="headerRow" dxfId="100"/>
      <tableStyleElement type="totalRow" dxfId="99"/>
      <tableStyleElement type="firstColumn" dxfId="98"/>
      <tableStyleElement type="lastColumn" dxfId="97"/>
      <tableStyleElement type="firstRowStripe" dxfId="96"/>
      <tableStyleElement type="firstColumnStripe" dxfId="95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Graf'!$B$4:$M$4</c:f>
              <c:numCache>
                <c:formatCode>General</c:formatCode>
                <c:ptCount val="12"/>
                <c:pt idx="0">
                  <c:v>1.6092670162405098</c:v>
                </c:pt>
                <c:pt idx="1">
                  <c:v>1.7966747875214439</c:v>
                </c:pt>
                <c:pt idx="2">
                  <c:v>1.7303414998271487</c:v>
                </c:pt>
                <c:pt idx="3">
                  <c:v>1.8250443566122403</c:v>
                </c:pt>
                <c:pt idx="4">
                  <c:v>1.8646230399193009</c:v>
                </c:pt>
                <c:pt idx="5">
                  <c:v>1.9478472146918484</c:v>
                </c:pt>
                <c:pt idx="6">
                  <c:v>1.8502532701728582</c:v>
                </c:pt>
                <c:pt idx="7">
                  <c:v>1.7776296263205733</c:v>
                </c:pt>
                <c:pt idx="8">
                  <c:v>1.7405646207747691</c:v>
                </c:pt>
                <c:pt idx="9">
                  <c:v>1.6186321466526303</c:v>
                </c:pt>
                <c:pt idx="10">
                  <c:v>1.5825080634921145</c:v>
                </c:pt>
                <c:pt idx="11">
                  <c:v>1.4291889813981258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78790560"/>
        <c:axId val="-58522710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0342-45E4-A0F4-993A7FF5F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585219488"/>
        <c:axId val="-585228192"/>
      </c:scatterChart>
      <c:catAx>
        <c:axId val="-197879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-5852271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585227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-1978790560"/>
        <c:crosses val="autoZero"/>
        <c:crossBetween val="between"/>
      </c:valAx>
      <c:valAx>
        <c:axId val="-585219488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-585228192"/>
        <c:crosses val="max"/>
        <c:crossBetween val="midCat"/>
      </c:valAx>
      <c:valAx>
        <c:axId val="-58522819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-585219488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>
          <a:extLst>
            <a:ext uri="{FF2B5EF4-FFF2-40B4-BE49-F238E27FC236}">
              <a16:creationId xmlns:a16="http://schemas.microsoft.com/office/drawing/2014/main" id="{00000000-0008-0000-0400-000061280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ulka" displayName="Tabulka" ref="A7:S23" totalsRowShown="0" headerRowDxfId="94" tableBorderDxfId="93">
  <autoFilter ref="A7:S23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xr3:uid="{00000000-0010-0000-0000-000001000000}" name="kat" dataDxfId="92"/>
    <tableColumn id="2" xr3:uid="{00000000-0010-0000-0000-000002000000}" name="popis" dataDxfId="91"/>
    <tableColumn id="3" xr3:uid="{00000000-0010-0000-0000-000003000000}" name="01 uv_sk" dataDxfId="9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xr3:uid="{00000000-0010-0000-0000-000004000000}" name="02 uv_pla" dataDxfId="8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xr3:uid="{00000000-0010-0000-0000-000005000000}" name="03 uv_pln" dataDxfId="8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xr3:uid="{00000000-0010-0000-0000-000006000000}" name="04 uv_rozd" dataDxfId="8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xr3:uid="{00000000-0010-0000-0000-000007000000}" name="05 h_vram" dataDxfId="8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xr3:uid="{00000000-0010-0000-0000-000008000000}" name="06 h_naduv" dataDxfId="8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xr3:uid="{00000000-0010-0000-0000-000009000000}" name="07 h_nadzk" dataDxfId="8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xr3:uid="{00000000-0010-0000-0000-00000A000000}" name="08 h_oon" dataDxfId="8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xr3:uid="{00000000-0010-0000-0000-00000B000000}" name="09 m_kl" dataDxfId="8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xr3:uid="{00000000-0010-0000-0000-00000C000000}" name="10 m_gr" dataDxfId="8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xr3:uid="{00000000-0010-0000-0000-00000D000000}" name="11 m_jo" dataDxfId="8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xr3:uid="{00000000-0010-0000-0000-00000E000000}" name="12 m_oc" dataDxfId="7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xr3:uid="{00000000-0010-0000-0000-00000F000000}" name="13 m_sk" dataDxfId="7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xr3:uid="{00000000-0010-0000-0000-000011000000}" name="14_vzsk" dataDxfId="7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xr3:uid="{00000000-0010-0000-0000-000012000000}" name="15_vzpl" dataDxfId="7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xr3:uid="{00000000-0010-0000-0000-000013000000}" name="16_vzpln" dataDxfId="75">
      <calculatedColumnFormula>IF(Tabulka[[#This Row],[15_vzpl]]=0,"",Tabulka[[#This Row],[14_vzsk]]/Tabulka[[#This Row],[15_vzpl]])</calculatedColumnFormula>
    </tableColumn>
    <tableColumn id="20" xr3:uid="{00000000-0010-0000-0000-000014000000}" name="17_vzroz" dataDxfId="74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ONData" displayName="ONData" ref="C3:S196" totalsRowShown="0">
  <autoFilter ref="C3:S196" xr:uid="{00000000-0009-0000-0100-000007000000}"/>
  <tableColumns count="17">
    <tableColumn id="1" xr3:uid="{00000000-0010-0000-0100-000001000000}" name="mesic"/>
    <tableColumn id="2" xr3:uid="{00000000-0010-0000-0100-000002000000}" name="kat"/>
    <tableColumn id="3" xr3:uid="{00000000-0010-0000-0100-000003000000}" name="01 uv_sk"/>
    <tableColumn id="4" xr3:uid="{00000000-0010-0000-0100-000004000000}" name="02 uv_pla"/>
    <tableColumn id="5" xr3:uid="{00000000-0010-0000-0100-000005000000}" name="03 uv_pln"/>
    <tableColumn id="6" xr3:uid="{00000000-0010-0000-0100-000006000000}" name="04 uv_rozd"/>
    <tableColumn id="7" xr3:uid="{00000000-0010-0000-0100-000007000000}" name="05 h_vram"/>
    <tableColumn id="8" xr3:uid="{00000000-0010-0000-0100-000008000000}" name="06 h_naduv"/>
    <tableColumn id="9" xr3:uid="{00000000-0010-0000-0100-000009000000}" name="07 h_nadzk"/>
    <tableColumn id="10" xr3:uid="{00000000-0010-0000-0100-00000A000000}" name="08 h_oon"/>
    <tableColumn id="11" xr3:uid="{00000000-0010-0000-0100-00000B000000}" name="09 m_kl"/>
    <tableColumn id="12" xr3:uid="{00000000-0010-0000-0100-00000C000000}" name="10 m_gr"/>
    <tableColumn id="13" xr3:uid="{00000000-0010-0000-0100-00000D000000}" name="11 m_jo"/>
    <tableColumn id="14" xr3:uid="{00000000-0010-0000-0100-00000E000000}" name="12 m_oc"/>
    <tableColumn id="15" xr3:uid="{00000000-0010-0000-0100-00000F000000}" name="13 m_sk"/>
    <tableColumn id="16" xr3:uid="{00000000-0010-0000-0100-000010000000}" name="14_vzsk"/>
    <tableColumn id="17" xr3:uid="{00000000-0010-0000-0100-000011000000}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26">
    <tabColor rgb="FF00B050"/>
    <pageSetUpPr fitToPage="1"/>
  </sheetPr>
  <dimension ref="A1:C31"/>
  <sheetViews>
    <sheetView showGridLines="0" showRowColHeaders="0" tabSelected="1" zoomScaleNormal="100" workbookViewId="0">
      <selection sqref="A1:B1"/>
    </sheetView>
  </sheetViews>
  <sheetFormatPr defaultColWidth="8.85546875" defaultRowHeight="14.45" customHeight="1" x14ac:dyDescent="0.2"/>
  <cols>
    <col min="1" max="1" width="17.85546875" style="129" bestFit="1" customWidth="1"/>
    <col min="2" max="2" width="102.28515625" style="129" bestFit="1" customWidth="1"/>
    <col min="3" max="3" width="16.140625" style="47" hidden="1" customWidth="1"/>
    <col min="4" max="16384" width="8.85546875" style="129"/>
  </cols>
  <sheetData>
    <row r="1" spans="1:3" ht="18.600000000000001" customHeight="1" thickBot="1" x14ac:dyDescent="0.35">
      <c r="A1" s="329" t="s">
        <v>107</v>
      </c>
      <c r="B1" s="329"/>
    </row>
    <row r="2" spans="1:3" ht="14.45" customHeight="1" thickBot="1" x14ac:dyDescent="0.25">
      <c r="A2" s="232" t="s">
        <v>270</v>
      </c>
      <c r="B2" s="46"/>
    </row>
    <row r="3" spans="1:3" ht="14.45" customHeight="1" thickBot="1" x14ac:dyDescent="0.25">
      <c r="A3" s="325" t="s">
        <v>140</v>
      </c>
      <c r="B3" s="326"/>
    </row>
    <row r="4" spans="1:3" ht="14.45" customHeight="1" x14ac:dyDescent="0.2">
      <c r="A4" s="144" t="str">
        <f t="shared" ref="A4:A8" si="0">HYPERLINK("#'"&amp;C4&amp;"'!A1",C4)</f>
        <v>Motivace</v>
      </c>
      <c r="B4" s="88" t="s">
        <v>120</v>
      </c>
      <c r="C4" s="47" t="s">
        <v>121</v>
      </c>
    </row>
    <row r="5" spans="1:3" ht="14.45" customHeight="1" x14ac:dyDescent="0.2">
      <c r="A5" s="145" t="str">
        <f t="shared" si="0"/>
        <v>HI</v>
      </c>
      <c r="B5" s="89" t="s">
        <v>136</v>
      </c>
      <c r="C5" s="47" t="s">
        <v>110</v>
      </c>
    </row>
    <row r="6" spans="1:3" ht="14.45" customHeight="1" x14ac:dyDescent="0.2">
      <c r="A6" s="146" t="str">
        <f t="shared" si="0"/>
        <v>HI Graf</v>
      </c>
      <c r="B6" s="90" t="s">
        <v>103</v>
      </c>
      <c r="C6" s="47" t="s">
        <v>111</v>
      </c>
    </row>
    <row r="7" spans="1:3" ht="14.45" customHeight="1" x14ac:dyDescent="0.2">
      <c r="A7" s="146" t="str">
        <f t="shared" si="0"/>
        <v>Man Tab</v>
      </c>
      <c r="B7" s="90" t="s">
        <v>272</v>
      </c>
      <c r="C7" s="47" t="s">
        <v>112</v>
      </c>
    </row>
    <row r="8" spans="1:3" ht="14.45" customHeight="1" thickBot="1" x14ac:dyDescent="0.25">
      <c r="A8" s="147" t="str">
        <f t="shared" si="0"/>
        <v>HV</v>
      </c>
      <c r="B8" s="91" t="s">
        <v>61</v>
      </c>
      <c r="C8" s="47" t="s">
        <v>66</v>
      </c>
    </row>
    <row r="9" spans="1:3" ht="14.45" customHeight="1" thickBot="1" x14ac:dyDescent="0.25">
      <c r="A9" s="92"/>
      <c r="B9" s="92"/>
    </row>
    <row r="10" spans="1:3" ht="14.45" customHeight="1" thickBot="1" x14ac:dyDescent="0.25">
      <c r="A10" s="327" t="s">
        <v>108</v>
      </c>
      <c r="B10" s="326"/>
    </row>
    <row r="11" spans="1:3" ht="14.45" customHeight="1" x14ac:dyDescent="0.2">
      <c r="A11" s="148" t="str">
        <f t="shared" ref="A11" si="1">HYPERLINK("#'"&amp;C11&amp;"'!A1",C11)</f>
        <v>Léky Žádanky</v>
      </c>
      <c r="B11" s="89" t="s">
        <v>137</v>
      </c>
      <c r="C11" s="47" t="s">
        <v>113</v>
      </c>
    </row>
    <row r="12" spans="1:3" ht="14.45" customHeight="1" x14ac:dyDescent="0.2">
      <c r="A12" s="146" t="str">
        <f t="shared" ref="A12:A23" si="2">HYPERLINK("#'"&amp;C12&amp;"'!A1",C12)</f>
        <v>LŽ Detail</v>
      </c>
      <c r="B12" s="90" t="s">
        <v>163</v>
      </c>
      <c r="C12" s="47" t="s">
        <v>114</v>
      </c>
    </row>
    <row r="13" spans="1:3" ht="28.9" customHeight="1" x14ac:dyDescent="0.2">
      <c r="A13" s="146" t="str">
        <f t="shared" si="2"/>
        <v>LŽ PL</v>
      </c>
      <c r="B13" s="514" t="s">
        <v>164</v>
      </c>
      <c r="C13" s="47" t="s">
        <v>144</v>
      </c>
    </row>
    <row r="14" spans="1:3" ht="14.45" customHeight="1" x14ac:dyDescent="0.2">
      <c r="A14" s="146" t="str">
        <f t="shared" si="2"/>
        <v>LŽ PL Detail</v>
      </c>
      <c r="B14" s="90" t="s">
        <v>518</v>
      </c>
      <c r="C14" s="47" t="s">
        <v>146</v>
      </c>
    </row>
    <row r="15" spans="1:3" ht="14.45" customHeight="1" x14ac:dyDescent="0.2">
      <c r="A15" s="146" t="str">
        <f t="shared" si="2"/>
        <v>LŽ Statim</v>
      </c>
      <c r="B15" s="254" t="s">
        <v>196</v>
      </c>
      <c r="C15" s="47" t="s">
        <v>206</v>
      </c>
    </row>
    <row r="16" spans="1:3" ht="14.45" customHeight="1" x14ac:dyDescent="0.2">
      <c r="A16" s="146" t="str">
        <f t="shared" si="2"/>
        <v>Léky Recepty</v>
      </c>
      <c r="B16" s="90" t="s">
        <v>138</v>
      </c>
      <c r="C16" s="47" t="s">
        <v>115</v>
      </c>
    </row>
    <row r="17" spans="1:3" ht="14.45" customHeight="1" x14ac:dyDescent="0.2">
      <c r="A17" s="146" t="str">
        <f t="shared" si="2"/>
        <v>LRp Lékaři</v>
      </c>
      <c r="B17" s="90" t="s">
        <v>149</v>
      </c>
      <c r="C17" s="47" t="s">
        <v>150</v>
      </c>
    </row>
    <row r="18" spans="1:3" ht="14.45" customHeight="1" x14ac:dyDescent="0.2">
      <c r="A18" s="146" t="str">
        <f t="shared" si="2"/>
        <v>LRp Detail</v>
      </c>
      <c r="B18" s="90" t="s">
        <v>726</v>
      </c>
      <c r="C18" s="47" t="s">
        <v>116</v>
      </c>
    </row>
    <row r="19" spans="1:3" ht="28.9" customHeight="1" x14ac:dyDescent="0.2">
      <c r="A19" s="146" t="str">
        <f t="shared" si="2"/>
        <v>LRp PL</v>
      </c>
      <c r="B19" s="514" t="s">
        <v>727</v>
      </c>
      <c r="C19" s="47" t="s">
        <v>145</v>
      </c>
    </row>
    <row r="20" spans="1:3" ht="14.45" customHeight="1" x14ac:dyDescent="0.2">
      <c r="A20" s="146" t="str">
        <f>HYPERLINK("#'"&amp;C20&amp;"'!A1",C20)</f>
        <v>LRp PL Detail</v>
      </c>
      <c r="B20" s="90" t="s">
        <v>752</v>
      </c>
      <c r="C20" s="47" t="s">
        <v>147</v>
      </c>
    </row>
    <row r="21" spans="1:3" ht="14.45" customHeight="1" x14ac:dyDescent="0.2">
      <c r="A21" s="148" t="str">
        <f t="shared" ref="A21" si="3">HYPERLINK("#'"&amp;C21&amp;"'!A1",C21)</f>
        <v>Materiál Žádanky</v>
      </c>
      <c r="B21" s="90" t="s">
        <v>139</v>
      </c>
      <c r="C21" s="47" t="s">
        <v>117</v>
      </c>
    </row>
    <row r="22" spans="1:3" ht="14.45" customHeight="1" x14ac:dyDescent="0.2">
      <c r="A22" s="146" t="str">
        <f t="shared" si="2"/>
        <v>MŽ Detail</v>
      </c>
      <c r="B22" s="90" t="s">
        <v>1191</v>
      </c>
      <c r="C22" s="47" t="s">
        <v>118</v>
      </c>
    </row>
    <row r="23" spans="1:3" ht="14.45" customHeight="1" thickBot="1" x14ac:dyDescent="0.25">
      <c r="A23" s="148" t="str">
        <f t="shared" si="2"/>
        <v>Osobní náklady</v>
      </c>
      <c r="B23" s="90" t="s">
        <v>105</v>
      </c>
      <c r="C23" s="47" t="s">
        <v>119</v>
      </c>
    </row>
    <row r="24" spans="1:3" ht="14.45" customHeight="1" thickBot="1" x14ac:dyDescent="0.25">
      <c r="A24" s="93"/>
      <c r="B24" s="93"/>
    </row>
    <row r="25" spans="1:3" ht="14.45" customHeight="1" thickBot="1" x14ac:dyDescent="0.25">
      <c r="A25" s="328" t="s">
        <v>109</v>
      </c>
      <c r="B25" s="326"/>
    </row>
    <row r="26" spans="1:3" ht="14.45" customHeight="1" x14ac:dyDescent="0.2">
      <c r="A26" s="149" t="str">
        <f t="shared" ref="A26:A31" si="4">HYPERLINK("#'"&amp;C26&amp;"'!A1",C26)</f>
        <v>ZV Vykáz.-A</v>
      </c>
      <c r="B26" s="89" t="s">
        <v>1223</v>
      </c>
      <c r="C26" s="47" t="s">
        <v>122</v>
      </c>
    </row>
    <row r="27" spans="1:3" ht="14.45" customHeight="1" x14ac:dyDescent="0.2">
      <c r="A27" s="146" t="str">
        <f t="shared" ref="A27" si="5">HYPERLINK("#'"&amp;C27&amp;"'!A1",C27)</f>
        <v>ZV Vykáz.-A Lékaři</v>
      </c>
      <c r="B27" s="90" t="s">
        <v>1229</v>
      </c>
      <c r="C27" s="47" t="s">
        <v>209</v>
      </c>
    </row>
    <row r="28" spans="1:3" ht="14.45" customHeight="1" x14ac:dyDescent="0.2">
      <c r="A28" s="146" t="str">
        <f t="shared" si="4"/>
        <v>ZV Vykáz.-A Detail</v>
      </c>
      <c r="B28" s="90" t="s">
        <v>1331</v>
      </c>
      <c r="C28" s="47" t="s">
        <v>123</v>
      </c>
    </row>
    <row r="29" spans="1:3" ht="14.45" customHeight="1" x14ac:dyDescent="0.25">
      <c r="A29" s="267" t="str">
        <f>HYPERLINK("#'"&amp;C29&amp;"'!A1",C29)</f>
        <v>ZV Vykáz.-A Det.Lék.</v>
      </c>
      <c r="B29" s="90" t="s">
        <v>1332</v>
      </c>
      <c r="C29" s="47" t="s">
        <v>212</v>
      </c>
    </row>
    <row r="30" spans="1:3" ht="14.45" customHeight="1" x14ac:dyDescent="0.2">
      <c r="A30" s="146" t="str">
        <f t="shared" si="4"/>
        <v>ZV Vykáz.-H</v>
      </c>
      <c r="B30" s="90" t="s">
        <v>126</v>
      </c>
      <c r="C30" s="47" t="s">
        <v>124</v>
      </c>
    </row>
    <row r="31" spans="1:3" ht="14.45" customHeight="1" x14ac:dyDescent="0.2">
      <c r="A31" s="146" t="str">
        <f t="shared" si="4"/>
        <v>ZV Vykáz.-H Detail</v>
      </c>
      <c r="B31" s="90" t="s">
        <v>1359</v>
      </c>
      <c r="C31" s="47" t="s">
        <v>125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 xr:uid="{7CD6FB9F-FAFC-4E45-B21B-629A144A0E88}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List27">
    <tabColor theme="0" tint="-0.249977111117893"/>
    <pageSetUpPr fitToPage="1"/>
  </sheetPr>
  <dimension ref="A1:M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5.7109375" style="129" bestFit="1" customWidth="1"/>
    <col min="2" max="2" width="8.85546875" style="129" bestFit="1" customWidth="1"/>
    <col min="3" max="3" width="7" style="129" bestFit="1" customWidth="1"/>
    <col min="4" max="4" width="53.42578125" style="129" bestFit="1" customWidth="1"/>
    <col min="5" max="5" width="28.42578125" style="129" bestFit="1" customWidth="1"/>
    <col min="6" max="6" width="6.7109375" style="207" customWidth="1"/>
    <col min="7" max="7" width="10" style="207" customWidth="1"/>
    <col min="8" max="8" width="6.7109375" style="210" bestFit="1" customWidth="1"/>
    <col min="9" max="9" width="6.7109375" style="207" customWidth="1"/>
    <col min="10" max="10" width="10.85546875" style="207" customWidth="1"/>
    <col min="11" max="11" width="6.7109375" style="210" bestFit="1" customWidth="1"/>
    <col min="12" max="12" width="6.7109375" style="207" customWidth="1"/>
    <col min="13" max="13" width="10.85546875" style="207" customWidth="1"/>
    <col min="14" max="16384" width="8.85546875" style="129"/>
  </cols>
  <sheetData>
    <row r="1" spans="1:13" ht="18.600000000000001" customHeight="1" thickBot="1" x14ac:dyDescent="0.35">
      <c r="A1" s="368" t="s">
        <v>518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3</v>
      </c>
      <c r="G3" s="43">
        <f>SUBTOTAL(9,G6:G1048576)</f>
        <v>491.93999999999994</v>
      </c>
      <c r="H3" s="44">
        <f>IF(M3=0,0,G3/M3)</f>
        <v>1</v>
      </c>
      <c r="I3" s="43">
        <f>SUBTOTAL(9,I6:I1048576)</f>
        <v>0</v>
      </c>
      <c r="J3" s="43">
        <f>SUBTOTAL(9,J6:J1048576)</f>
        <v>0</v>
      </c>
      <c r="K3" s="44">
        <f>IF(M3=0,0,J3/M3)</f>
        <v>0</v>
      </c>
      <c r="L3" s="43">
        <f>SUBTOTAL(9,L6:L1048576)</f>
        <v>3</v>
      </c>
      <c r="M3" s="45">
        <f>SUBTOTAL(9,M6:M1048576)</f>
        <v>491.93999999999994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499" t="s">
        <v>130</v>
      </c>
      <c r="B5" s="515" t="s">
        <v>131</v>
      </c>
      <c r="C5" s="515" t="s">
        <v>70</v>
      </c>
      <c r="D5" s="515" t="s">
        <v>132</v>
      </c>
      <c r="E5" s="515" t="s">
        <v>133</v>
      </c>
      <c r="F5" s="516" t="s">
        <v>28</v>
      </c>
      <c r="G5" s="516" t="s">
        <v>14</v>
      </c>
      <c r="H5" s="501" t="s">
        <v>134</v>
      </c>
      <c r="I5" s="500" t="s">
        <v>28</v>
      </c>
      <c r="J5" s="516" t="s">
        <v>14</v>
      </c>
      <c r="K5" s="501" t="s">
        <v>134</v>
      </c>
      <c r="L5" s="500" t="s">
        <v>28</v>
      </c>
      <c r="M5" s="517" t="s">
        <v>14</v>
      </c>
    </row>
    <row r="6" spans="1:13" ht="14.45" customHeight="1" thickBot="1" x14ac:dyDescent="0.25">
      <c r="A6" s="506" t="s">
        <v>482</v>
      </c>
      <c r="B6" s="519" t="s">
        <v>514</v>
      </c>
      <c r="C6" s="519" t="s">
        <v>515</v>
      </c>
      <c r="D6" s="519" t="s">
        <v>516</v>
      </c>
      <c r="E6" s="519" t="s">
        <v>517</v>
      </c>
      <c r="F6" s="507">
        <v>3</v>
      </c>
      <c r="G6" s="507">
        <v>491.93999999999994</v>
      </c>
      <c r="H6" s="248">
        <v>1</v>
      </c>
      <c r="I6" s="507"/>
      <c r="J6" s="507"/>
      <c r="K6" s="248">
        <v>0</v>
      </c>
      <c r="L6" s="507">
        <v>3</v>
      </c>
      <c r="M6" s="508">
        <v>491.93999999999994</v>
      </c>
    </row>
  </sheetData>
  <autoFilter ref="A5:M374" xr:uid="{00000000-0009-0000-0000-00000D000000}"/>
  <mergeCells count="4">
    <mergeCell ref="F4:H4"/>
    <mergeCell ref="I4:K4"/>
    <mergeCell ref="L4:M4"/>
    <mergeCell ref="A1:M1"/>
  </mergeCells>
  <conditionalFormatting sqref="H3 H6:H1048576">
    <cfRule type="cellIs" dxfId="37" priority="4" operator="greaterThan">
      <formula>0.1</formula>
    </cfRule>
  </conditionalFormatting>
  <hyperlinks>
    <hyperlink ref="A2" location="Obsah!A1" display="Zpět na Obsah  KL 01  1.-4.měsíc" xr:uid="{59799A78-4B69-480E-A8AD-F03001CB0A05}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List55">
    <tabColor theme="0" tint="-0.249977111117893"/>
    <pageSetUpPr fitToPage="1"/>
  </sheetPr>
  <dimension ref="A1:Q8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ColWidth="8.85546875" defaultRowHeight="14.45" customHeight="1" x14ac:dyDescent="0.2"/>
  <cols>
    <col min="1" max="1" width="50" style="258" customWidth="1"/>
    <col min="2" max="2" width="5.42578125" style="207" bestFit="1" customWidth="1"/>
    <col min="3" max="3" width="6.140625" style="207" bestFit="1" customWidth="1"/>
    <col min="4" max="4" width="7.42578125" style="207" bestFit="1" customWidth="1"/>
    <col min="5" max="5" width="6.28515625" style="207" bestFit="1" customWidth="1"/>
    <col min="6" max="6" width="6.28515625" style="210" bestFit="1" customWidth="1"/>
    <col min="7" max="7" width="6.140625" style="210" bestFit="1" customWidth="1"/>
    <col min="8" max="8" width="7.42578125" style="210" bestFit="1" customWidth="1"/>
    <col min="9" max="9" width="6.28515625" style="210" bestFit="1" customWidth="1"/>
    <col min="10" max="10" width="5.42578125" style="207" bestFit="1" customWidth="1"/>
    <col min="11" max="11" width="6.140625" style="207" bestFit="1" customWidth="1"/>
    <col min="12" max="12" width="7.42578125" style="207" bestFit="1" customWidth="1"/>
    <col min="13" max="13" width="6.28515625" style="207" bestFit="1" customWidth="1"/>
    <col min="14" max="14" width="5.28515625" style="210" bestFit="1" customWidth="1"/>
    <col min="15" max="15" width="6.140625" style="210" bestFit="1" customWidth="1"/>
    <col min="16" max="16" width="7.42578125" style="210" bestFit="1" customWidth="1"/>
    <col min="17" max="17" width="6.28515625" style="210" bestFit="1" customWidth="1"/>
    <col min="18" max="16384" width="8.85546875" style="129"/>
  </cols>
  <sheetData>
    <row r="1" spans="1:17" ht="18.600000000000001" customHeight="1" thickBot="1" x14ac:dyDescent="0.35">
      <c r="A1" s="368" t="s">
        <v>196</v>
      </c>
      <c r="B1" s="368"/>
      <c r="C1" s="368"/>
      <c r="D1" s="368"/>
      <c r="E1" s="368"/>
      <c r="F1" s="330"/>
      <c r="G1" s="330"/>
      <c r="H1" s="330"/>
      <c r="I1" s="330"/>
      <c r="J1" s="361"/>
      <c r="K1" s="361"/>
      <c r="L1" s="361"/>
      <c r="M1" s="361"/>
      <c r="N1" s="361"/>
      <c r="O1" s="361"/>
      <c r="P1" s="361"/>
      <c r="Q1" s="361"/>
    </row>
    <row r="2" spans="1:17" ht="14.45" customHeight="1" thickBot="1" x14ac:dyDescent="0.25">
      <c r="A2" s="232" t="s">
        <v>270</v>
      </c>
      <c r="B2" s="214"/>
      <c r="C2" s="214"/>
      <c r="D2" s="214"/>
      <c r="E2" s="214"/>
    </row>
    <row r="3" spans="1:17" ht="14.45" customHeight="1" thickBot="1" x14ac:dyDescent="0.25">
      <c r="A3" s="247" t="s">
        <v>3</v>
      </c>
      <c r="B3" s="251">
        <f>SUM(B6:B1048576)</f>
        <v>96</v>
      </c>
      <c r="C3" s="252">
        <f>SUM(C6:C1048576)</f>
        <v>0</v>
      </c>
      <c r="D3" s="252">
        <f>SUM(D6:D1048576)</f>
        <v>0</v>
      </c>
      <c r="E3" s="253">
        <f>SUM(E6:E1048576)</f>
        <v>0</v>
      </c>
      <c r="F3" s="250">
        <f>IF(SUM($B3:$E3)=0,"",B3/SUM($B3:$E3))</f>
        <v>1</v>
      </c>
      <c r="G3" s="248">
        <f t="shared" ref="G3:I3" si="0">IF(SUM($B3:$E3)=0,"",C3/SUM($B3:$E3))</f>
        <v>0</v>
      </c>
      <c r="H3" s="248">
        <f t="shared" si="0"/>
        <v>0</v>
      </c>
      <c r="I3" s="249">
        <f t="shared" si="0"/>
        <v>0</v>
      </c>
      <c r="J3" s="252">
        <f>SUM(J6:J1048576)</f>
        <v>52</v>
      </c>
      <c r="K3" s="252">
        <f>SUM(K6:K1048576)</f>
        <v>0</v>
      </c>
      <c r="L3" s="252">
        <f>SUM(L6:L1048576)</f>
        <v>0</v>
      </c>
      <c r="M3" s="253">
        <f>SUM(M6:M1048576)</f>
        <v>0</v>
      </c>
      <c r="N3" s="250">
        <f>IF(SUM($J3:$M3)=0,"",J3/SUM($J3:$M3))</f>
        <v>1</v>
      </c>
      <c r="O3" s="248">
        <f t="shared" ref="O3:Q3" si="1">IF(SUM($J3:$M3)=0,"",K3/SUM($J3:$M3))</f>
        <v>0</v>
      </c>
      <c r="P3" s="248">
        <f t="shared" si="1"/>
        <v>0</v>
      </c>
      <c r="Q3" s="249">
        <f t="shared" si="1"/>
        <v>0</v>
      </c>
    </row>
    <row r="4" spans="1:17" ht="14.45" customHeight="1" thickBot="1" x14ac:dyDescent="0.25">
      <c r="A4" s="246"/>
      <c r="B4" s="381" t="s">
        <v>198</v>
      </c>
      <c r="C4" s="382"/>
      <c r="D4" s="382"/>
      <c r="E4" s="383"/>
      <c r="F4" s="378" t="s">
        <v>203</v>
      </c>
      <c r="G4" s="379"/>
      <c r="H4" s="379"/>
      <c r="I4" s="380"/>
      <c r="J4" s="381" t="s">
        <v>204</v>
      </c>
      <c r="K4" s="382"/>
      <c r="L4" s="382"/>
      <c r="M4" s="383"/>
      <c r="N4" s="378" t="s">
        <v>205</v>
      </c>
      <c r="O4" s="379"/>
      <c r="P4" s="379"/>
      <c r="Q4" s="380"/>
    </row>
    <row r="5" spans="1:17" ht="14.45" customHeight="1" thickBot="1" x14ac:dyDescent="0.25">
      <c r="A5" s="520" t="s">
        <v>197</v>
      </c>
      <c r="B5" s="521" t="s">
        <v>199</v>
      </c>
      <c r="C5" s="521" t="s">
        <v>200</v>
      </c>
      <c r="D5" s="521" t="s">
        <v>201</v>
      </c>
      <c r="E5" s="522" t="s">
        <v>202</v>
      </c>
      <c r="F5" s="523" t="s">
        <v>199</v>
      </c>
      <c r="G5" s="524" t="s">
        <v>200</v>
      </c>
      <c r="H5" s="524" t="s">
        <v>201</v>
      </c>
      <c r="I5" s="525" t="s">
        <v>202</v>
      </c>
      <c r="J5" s="521" t="s">
        <v>199</v>
      </c>
      <c r="K5" s="521" t="s">
        <v>200</v>
      </c>
      <c r="L5" s="521" t="s">
        <v>201</v>
      </c>
      <c r="M5" s="522" t="s">
        <v>202</v>
      </c>
      <c r="N5" s="523" t="s">
        <v>199</v>
      </c>
      <c r="O5" s="524" t="s">
        <v>200</v>
      </c>
      <c r="P5" s="524" t="s">
        <v>201</v>
      </c>
      <c r="Q5" s="525" t="s">
        <v>202</v>
      </c>
    </row>
    <row r="6" spans="1:17" ht="14.45" customHeight="1" x14ac:dyDescent="0.2">
      <c r="A6" s="530" t="s">
        <v>519</v>
      </c>
      <c r="B6" s="536"/>
      <c r="C6" s="483"/>
      <c r="D6" s="483"/>
      <c r="E6" s="484"/>
      <c r="F6" s="533"/>
      <c r="G6" s="504"/>
      <c r="H6" s="504"/>
      <c r="I6" s="539"/>
      <c r="J6" s="536"/>
      <c r="K6" s="483"/>
      <c r="L6" s="483"/>
      <c r="M6" s="484"/>
      <c r="N6" s="533"/>
      <c r="O6" s="504"/>
      <c r="P6" s="504"/>
      <c r="Q6" s="526"/>
    </row>
    <row r="7" spans="1:17" ht="14.45" customHeight="1" x14ac:dyDescent="0.2">
      <c r="A7" s="531" t="s">
        <v>512</v>
      </c>
      <c r="B7" s="537">
        <v>40</v>
      </c>
      <c r="C7" s="490"/>
      <c r="D7" s="490"/>
      <c r="E7" s="491"/>
      <c r="F7" s="534">
        <v>1</v>
      </c>
      <c r="G7" s="527">
        <v>0</v>
      </c>
      <c r="H7" s="527">
        <v>0</v>
      </c>
      <c r="I7" s="540">
        <v>0</v>
      </c>
      <c r="J7" s="537">
        <v>16</v>
      </c>
      <c r="K7" s="490"/>
      <c r="L7" s="490"/>
      <c r="M7" s="491"/>
      <c r="N7" s="534">
        <v>1</v>
      </c>
      <c r="O7" s="527">
        <v>0</v>
      </c>
      <c r="P7" s="527">
        <v>0</v>
      </c>
      <c r="Q7" s="528">
        <v>0</v>
      </c>
    </row>
    <row r="8" spans="1:17" ht="14.45" customHeight="1" thickBot="1" x14ac:dyDescent="0.25">
      <c r="A8" s="532" t="s">
        <v>520</v>
      </c>
      <c r="B8" s="538">
        <v>56</v>
      </c>
      <c r="C8" s="497"/>
      <c r="D8" s="497"/>
      <c r="E8" s="498"/>
      <c r="F8" s="535">
        <v>1</v>
      </c>
      <c r="G8" s="505">
        <v>0</v>
      </c>
      <c r="H8" s="505">
        <v>0</v>
      </c>
      <c r="I8" s="541">
        <v>0</v>
      </c>
      <c r="J8" s="538">
        <v>36</v>
      </c>
      <c r="K8" s="497"/>
      <c r="L8" s="497"/>
      <c r="M8" s="498"/>
      <c r="N8" s="535">
        <v>1</v>
      </c>
      <c r="O8" s="505">
        <v>0</v>
      </c>
      <c r="P8" s="505">
        <v>0</v>
      </c>
      <c r="Q8" s="529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36" priority="1" operator="greaterThan">
      <formula>0.3</formula>
    </cfRule>
  </conditionalFormatting>
  <hyperlinks>
    <hyperlink ref="A2" location="Obsah!A1" display="Zpět na Obsah  KL 01  1.-4.měsíc" xr:uid="{027B3316-1291-42BA-9552-9B3200504569}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ColWidth="8.85546875" defaultRowHeight="14.45" customHeight="1" x14ac:dyDescent="0.2"/>
  <cols>
    <col min="1" max="1" width="9.28515625" style="129" customWidth="1"/>
    <col min="2" max="2" width="34.28515625" style="129" customWidth="1"/>
    <col min="3" max="3" width="11.140625" style="129" bestFit="1" customWidth="1"/>
    <col min="4" max="4" width="7.28515625" style="129" bestFit="1" customWidth="1"/>
    <col min="5" max="5" width="11.140625" style="129" bestFit="1" customWidth="1"/>
    <col min="6" max="6" width="5.28515625" style="129" customWidth="1"/>
    <col min="7" max="7" width="7.28515625" style="129" bestFit="1" customWidth="1"/>
    <col min="8" max="8" width="5.28515625" style="129" customWidth="1"/>
    <col min="9" max="9" width="11.140625" style="129" customWidth="1"/>
    <col min="10" max="10" width="5.28515625" style="129" customWidth="1"/>
    <col min="11" max="11" width="7.28515625" style="129" customWidth="1"/>
    <col min="12" max="12" width="5.28515625" style="129" customWidth="1"/>
    <col min="13" max="13" width="0" style="129" hidden="1" customWidth="1"/>
    <col min="14" max="16384" width="8.85546875" style="129"/>
  </cols>
  <sheetData>
    <row r="1" spans="1:14" ht="18.600000000000001" customHeight="1" thickBot="1" x14ac:dyDescent="0.35">
      <c r="A1" s="368" t="s">
        <v>138</v>
      </c>
      <c r="B1" s="368"/>
      <c r="C1" s="368"/>
      <c r="D1" s="368"/>
      <c r="E1" s="368"/>
      <c r="F1" s="368"/>
      <c r="G1" s="368"/>
      <c r="H1" s="368"/>
      <c r="I1" s="330"/>
      <c r="J1" s="330"/>
      <c r="K1" s="330"/>
      <c r="L1" s="330"/>
    </row>
    <row r="2" spans="1:14" ht="14.45" customHeight="1" thickBot="1" x14ac:dyDescent="0.25">
      <c r="A2" s="232" t="s">
        <v>270</v>
      </c>
      <c r="B2" s="206"/>
      <c r="C2" s="206"/>
      <c r="D2" s="206"/>
      <c r="E2" s="206"/>
      <c r="F2" s="206"/>
      <c r="G2" s="206"/>
      <c r="H2" s="206"/>
    </row>
    <row r="3" spans="1:14" ht="14.45" customHeight="1" thickBot="1" x14ac:dyDescent="0.25">
      <c r="A3" s="143"/>
      <c r="B3" s="143"/>
      <c r="C3" s="385" t="s">
        <v>15</v>
      </c>
      <c r="D3" s="384"/>
      <c r="E3" s="384" t="s">
        <v>16</v>
      </c>
      <c r="F3" s="384"/>
      <c r="G3" s="384"/>
      <c r="H3" s="384"/>
      <c r="I3" s="384" t="s">
        <v>148</v>
      </c>
      <c r="J3" s="384"/>
      <c r="K3" s="384"/>
      <c r="L3" s="386"/>
    </row>
    <row r="4" spans="1:14" ht="14.45" customHeight="1" thickBot="1" x14ac:dyDescent="0.25">
      <c r="A4" s="81" t="s">
        <v>17</v>
      </c>
      <c r="B4" s="82" t="s">
        <v>18</v>
      </c>
      <c r="C4" s="83" t="s">
        <v>19</v>
      </c>
      <c r="D4" s="83" t="s">
        <v>20</v>
      </c>
      <c r="E4" s="83" t="s">
        <v>19</v>
      </c>
      <c r="F4" s="83" t="s">
        <v>2</v>
      </c>
      <c r="G4" s="83" t="s">
        <v>20</v>
      </c>
      <c r="H4" s="83" t="s">
        <v>2</v>
      </c>
      <c r="I4" s="83" t="s">
        <v>19</v>
      </c>
      <c r="J4" s="83" t="s">
        <v>2</v>
      </c>
      <c r="K4" s="83" t="s">
        <v>20</v>
      </c>
      <c r="L4" s="84" t="s">
        <v>2</v>
      </c>
    </row>
    <row r="5" spans="1:14" ht="14.45" customHeight="1" x14ac:dyDescent="0.2">
      <c r="A5" s="465">
        <v>28</v>
      </c>
      <c r="B5" s="466" t="s">
        <v>521</v>
      </c>
      <c r="C5" s="469">
        <v>19244.680000000004</v>
      </c>
      <c r="D5" s="469">
        <v>81</v>
      </c>
      <c r="E5" s="469">
        <v>15834.150000000005</v>
      </c>
      <c r="F5" s="542">
        <v>0.82278063340102314</v>
      </c>
      <c r="G5" s="469">
        <v>62</v>
      </c>
      <c r="H5" s="542">
        <v>0.76543209876543206</v>
      </c>
      <c r="I5" s="469">
        <v>3410.53</v>
      </c>
      <c r="J5" s="542">
        <v>0.17721936659897694</v>
      </c>
      <c r="K5" s="469">
        <v>19</v>
      </c>
      <c r="L5" s="542">
        <v>0.23456790123456789</v>
      </c>
      <c r="M5" s="469" t="s">
        <v>68</v>
      </c>
      <c r="N5" s="150"/>
    </row>
    <row r="6" spans="1:14" ht="14.45" customHeight="1" x14ac:dyDescent="0.2">
      <c r="A6" s="465">
        <v>28</v>
      </c>
      <c r="B6" s="466" t="s">
        <v>522</v>
      </c>
      <c r="C6" s="469">
        <v>19244.680000000004</v>
      </c>
      <c r="D6" s="469">
        <v>80</v>
      </c>
      <c r="E6" s="469">
        <v>15834.150000000005</v>
      </c>
      <c r="F6" s="542">
        <v>0.82278063340102314</v>
      </c>
      <c r="G6" s="469">
        <v>61</v>
      </c>
      <c r="H6" s="542">
        <v>0.76249999999999996</v>
      </c>
      <c r="I6" s="469">
        <v>3410.53</v>
      </c>
      <c r="J6" s="542">
        <v>0.17721936659897694</v>
      </c>
      <c r="K6" s="469">
        <v>19</v>
      </c>
      <c r="L6" s="542">
        <v>0.23749999999999999</v>
      </c>
      <c r="M6" s="469" t="s">
        <v>1</v>
      </c>
      <c r="N6" s="150"/>
    </row>
    <row r="7" spans="1:14" ht="14.45" customHeight="1" x14ac:dyDescent="0.2">
      <c r="A7" s="465">
        <v>28</v>
      </c>
      <c r="B7" s="466" t="s">
        <v>523</v>
      </c>
      <c r="C7" s="469">
        <v>0</v>
      </c>
      <c r="D7" s="469">
        <v>1</v>
      </c>
      <c r="E7" s="469">
        <v>0</v>
      </c>
      <c r="F7" s="542" t="s">
        <v>271</v>
      </c>
      <c r="G7" s="469">
        <v>1</v>
      </c>
      <c r="H7" s="542">
        <v>1</v>
      </c>
      <c r="I7" s="469" t="s">
        <v>271</v>
      </c>
      <c r="J7" s="542" t="s">
        <v>271</v>
      </c>
      <c r="K7" s="469" t="s">
        <v>271</v>
      </c>
      <c r="L7" s="542">
        <v>0</v>
      </c>
      <c r="M7" s="469" t="s">
        <v>1</v>
      </c>
      <c r="N7" s="150"/>
    </row>
    <row r="8" spans="1:14" ht="14.45" customHeight="1" x14ac:dyDescent="0.2">
      <c r="A8" s="465" t="s">
        <v>477</v>
      </c>
      <c r="B8" s="466" t="s">
        <v>3</v>
      </c>
      <c r="C8" s="469">
        <v>19244.680000000004</v>
      </c>
      <c r="D8" s="469">
        <v>81</v>
      </c>
      <c r="E8" s="469">
        <v>15834.150000000005</v>
      </c>
      <c r="F8" s="542">
        <v>0.82278063340102314</v>
      </c>
      <c r="G8" s="469">
        <v>62</v>
      </c>
      <c r="H8" s="542">
        <v>0.76543209876543206</v>
      </c>
      <c r="I8" s="469">
        <v>3410.53</v>
      </c>
      <c r="J8" s="542">
        <v>0.17721936659897694</v>
      </c>
      <c r="K8" s="469">
        <v>19</v>
      </c>
      <c r="L8" s="542">
        <v>0.23456790123456789</v>
      </c>
      <c r="M8" s="469" t="s">
        <v>481</v>
      </c>
      <c r="N8" s="150"/>
    </row>
    <row r="10" spans="1:14" ht="14.45" customHeight="1" x14ac:dyDescent="0.2">
      <c r="A10" s="465">
        <v>28</v>
      </c>
      <c r="B10" s="466" t="s">
        <v>521</v>
      </c>
      <c r="C10" s="469" t="s">
        <v>271</v>
      </c>
      <c r="D10" s="469" t="s">
        <v>271</v>
      </c>
      <c r="E10" s="469" t="s">
        <v>271</v>
      </c>
      <c r="F10" s="542" t="s">
        <v>271</v>
      </c>
      <c r="G10" s="469" t="s">
        <v>271</v>
      </c>
      <c r="H10" s="542" t="s">
        <v>271</v>
      </c>
      <c r="I10" s="469" t="s">
        <v>271</v>
      </c>
      <c r="J10" s="542" t="s">
        <v>271</v>
      </c>
      <c r="K10" s="469" t="s">
        <v>271</v>
      </c>
      <c r="L10" s="542" t="s">
        <v>271</v>
      </c>
      <c r="M10" s="469" t="s">
        <v>68</v>
      </c>
      <c r="N10" s="150"/>
    </row>
    <row r="11" spans="1:14" ht="14.45" customHeight="1" x14ac:dyDescent="0.2">
      <c r="A11" s="465" t="s">
        <v>524</v>
      </c>
      <c r="B11" s="466" t="s">
        <v>522</v>
      </c>
      <c r="C11" s="469">
        <v>19244.680000000004</v>
      </c>
      <c r="D11" s="469">
        <v>80</v>
      </c>
      <c r="E11" s="469">
        <v>15834.150000000005</v>
      </c>
      <c r="F11" s="542">
        <v>0.82278063340102314</v>
      </c>
      <c r="G11" s="469">
        <v>61</v>
      </c>
      <c r="H11" s="542">
        <v>0.76249999999999996</v>
      </c>
      <c r="I11" s="469">
        <v>3410.53</v>
      </c>
      <c r="J11" s="542">
        <v>0.17721936659897694</v>
      </c>
      <c r="K11" s="469">
        <v>19</v>
      </c>
      <c r="L11" s="542">
        <v>0.23749999999999999</v>
      </c>
      <c r="M11" s="469" t="s">
        <v>1</v>
      </c>
      <c r="N11" s="150"/>
    </row>
    <row r="12" spans="1:14" ht="14.45" customHeight="1" x14ac:dyDescent="0.2">
      <c r="A12" s="465" t="s">
        <v>524</v>
      </c>
      <c r="B12" s="466" t="s">
        <v>523</v>
      </c>
      <c r="C12" s="469">
        <v>0</v>
      </c>
      <c r="D12" s="469">
        <v>1</v>
      </c>
      <c r="E12" s="469">
        <v>0</v>
      </c>
      <c r="F12" s="542" t="s">
        <v>271</v>
      </c>
      <c r="G12" s="469">
        <v>1</v>
      </c>
      <c r="H12" s="542">
        <v>1</v>
      </c>
      <c r="I12" s="469" t="s">
        <v>271</v>
      </c>
      <c r="J12" s="542" t="s">
        <v>271</v>
      </c>
      <c r="K12" s="469" t="s">
        <v>271</v>
      </c>
      <c r="L12" s="542">
        <v>0</v>
      </c>
      <c r="M12" s="469" t="s">
        <v>1</v>
      </c>
      <c r="N12" s="150"/>
    </row>
    <row r="13" spans="1:14" ht="14.45" customHeight="1" x14ac:dyDescent="0.2">
      <c r="A13" s="465" t="s">
        <v>524</v>
      </c>
      <c r="B13" s="466" t="s">
        <v>525</v>
      </c>
      <c r="C13" s="469">
        <v>19244.680000000004</v>
      </c>
      <c r="D13" s="469">
        <v>81</v>
      </c>
      <c r="E13" s="469">
        <v>15834.150000000005</v>
      </c>
      <c r="F13" s="542">
        <v>0.82278063340102314</v>
      </c>
      <c r="G13" s="469">
        <v>62</v>
      </c>
      <c r="H13" s="542">
        <v>0.76543209876543206</v>
      </c>
      <c r="I13" s="469">
        <v>3410.53</v>
      </c>
      <c r="J13" s="542">
        <v>0.17721936659897694</v>
      </c>
      <c r="K13" s="469">
        <v>19</v>
      </c>
      <c r="L13" s="542">
        <v>0.23456790123456789</v>
      </c>
      <c r="M13" s="469" t="s">
        <v>485</v>
      </c>
      <c r="N13" s="150"/>
    </row>
    <row r="14" spans="1:14" ht="14.45" customHeight="1" x14ac:dyDescent="0.2">
      <c r="A14" s="465" t="s">
        <v>271</v>
      </c>
      <c r="B14" s="466" t="s">
        <v>271</v>
      </c>
      <c r="C14" s="469" t="s">
        <v>271</v>
      </c>
      <c r="D14" s="469" t="s">
        <v>271</v>
      </c>
      <c r="E14" s="469" t="s">
        <v>271</v>
      </c>
      <c r="F14" s="542" t="s">
        <v>271</v>
      </c>
      <c r="G14" s="469" t="s">
        <v>271</v>
      </c>
      <c r="H14" s="542" t="s">
        <v>271</v>
      </c>
      <c r="I14" s="469" t="s">
        <v>271</v>
      </c>
      <c r="J14" s="542" t="s">
        <v>271</v>
      </c>
      <c r="K14" s="469" t="s">
        <v>271</v>
      </c>
      <c r="L14" s="542" t="s">
        <v>271</v>
      </c>
      <c r="M14" s="469" t="s">
        <v>486</v>
      </c>
      <c r="N14" s="150"/>
    </row>
    <row r="15" spans="1:14" ht="14.45" customHeight="1" x14ac:dyDescent="0.2">
      <c r="A15" s="465" t="s">
        <v>477</v>
      </c>
      <c r="B15" s="466" t="s">
        <v>526</v>
      </c>
      <c r="C15" s="469">
        <v>19244.680000000004</v>
      </c>
      <c r="D15" s="469">
        <v>81</v>
      </c>
      <c r="E15" s="469">
        <v>15834.150000000005</v>
      </c>
      <c r="F15" s="542">
        <v>0.82278063340102314</v>
      </c>
      <c r="G15" s="469">
        <v>62</v>
      </c>
      <c r="H15" s="542">
        <v>0.76543209876543206</v>
      </c>
      <c r="I15" s="469">
        <v>3410.53</v>
      </c>
      <c r="J15" s="542">
        <v>0.17721936659897694</v>
      </c>
      <c r="K15" s="469">
        <v>19</v>
      </c>
      <c r="L15" s="542">
        <v>0.23456790123456789</v>
      </c>
      <c r="M15" s="469" t="s">
        <v>481</v>
      </c>
      <c r="N15" s="150"/>
    </row>
    <row r="16" spans="1:14" ht="14.45" customHeight="1" x14ac:dyDescent="0.2">
      <c r="A16" s="543" t="s">
        <v>244</v>
      </c>
    </row>
    <row r="17" spans="1:1" ht="14.45" customHeight="1" x14ac:dyDescent="0.2">
      <c r="A17" s="544" t="s">
        <v>527</v>
      </c>
    </row>
    <row r="18" spans="1:1" ht="14.45" customHeight="1" x14ac:dyDescent="0.2">
      <c r="A18" s="543" t="s">
        <v>528</v>
      </c>
    </row>
  </sheetData>
  <autoFilter ref="A4:M4" xr:uid="{00000000-0009-0000-0000-000010000000}"/>
  <mergeCells count="4">
    <mergeCell ref="E3:H3"/>
    <mergeCell ref="C3:D3"/>
    <mergeCell ref="I3:L3"/>
    <mergeCell ref="A1:L1"/>
  </mergeCells>
  <conditionalFormatting sqref="F4 F9 F16:F1048576">
    <cfRule type="cellIs" dxfId="35" priority="15" stopIfTrue="1" operator="lessThan">
      <formula>0.6</formula>
    </cfRule>
  </conditionalFormatting>
  <conditionalFormatting sqref="B5:B8">
    <cfRule type="expression" dxfId="34" priority="10">
      <formula>AND(LEFT(M5,6)&lt;&gt;"mezera",M5&lt;&gt;"")</formula>
    </cfRule>
  </conditionalFormatting>
  <conditionalFormatting sqref="A5:A8">
    <cfRule type="expression" dxfId="33" priority="8">
      <formula>AND(M5&lt;&gt;"",M5&lt;&gt;"mezeraKL")</formula>
    </cfRule>
  </conditionalFormatting>
  <conditionalFormatting sqref="F5:F8">
    <cfRule type="cellIs" dxfId="32" priority="7" operator="lessThan">
      <formula>0.6</formula>
    </cfRule>
  </conditionalFormatting>
  <conditionalFormatting sqref="B5:L8">
    <cfRule type="expression" dxfId="31" priority="9">
      <formula>OR($M5="KL",$M5="SumaKL")</formula>
    </cfRule>
    <cfRule type="expression" dxfId="30" priority="11">
      <formula>$M5="SumaNS"</formula>
    </cfRule>
  </conditionalFormatting>
  <conditionalFormatting sqref="A5:L8">
    <cfRule type="expression" dxfId="29" priority="12">
      <formula>$M5&lt;&gt;""</formula>
    </cfRule>
  </conditionalFormatting>
  <conditionalFormatting sqref="B10:B15">
    <cfRule type="expression" dxfId="28" priority="4">
      <formula>AND(LEFT(M10,6)&lt;&gt;"mezera",M10&lt;&gt;"")</formula>
    </cfRule>
  </conditionalFormatting>
  <conditionalFormatting sqref="A10:A15">
    <cfRule type="expression" dxfId="27" priority="2">
      <formula>AND(M10&lt;&gt;"",M10&lt;&gt;"mezeraKL")</formula>
    </cfRule>
  </conditionalFormatting>
  <conditionalFormatting sqref="F10:F15">
    <cfRule type="cellIs" dxfId="26" priority="1" operator="lessThan">
      <formula>0.6</formula>
    </cfRule>
  </conditionalFormatting>
  <conditionalFormatting sqref="B10:L15">
    <cfRule type="expression" dxfId="25" priority="3">
      <formula>OR($M10="KL",$M10="SumaKL")</formula>
    </cfRule>
    <cfRule type="expression" dxfId="24" priority="5">
      <formula>$M10="SumaNS"</formula>
    </cfRule>
  </conditionalFormatting>
  <conditionalFormatting sqref="A10:L15">
    <cfRule type="expression" dxfId="23" priority="6">
      <formula>$M10&lt;&gt;""</formula>
    </cfRule>
  </conditionalFormatting>
  <hyperlinks>
    <hyperlink ref="A2" location="Obsah!A1" display="Zpět na Obsah  KL 01  1.-4.měsíc" xr:uid="{B6053C81-5B86-49BF-A8E1-96802C91D03E}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List30">
    <tabColor theme="0" tint="-0.249977111117893"/>
    <pageSetUpPr fitToPage="1"/>
  </sheetPr>
  <dimension ref="A1:M12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ColWidth="8.85546875" defaultRowHeight="14.45" customHeight="1" x14ac:dyDescent="0.2"/>
  <cols>
    <col min="1" max="1" width="30.85546875" style="129" customWidth="1"/>
    <col min="2" max="2" width="11.140625" style="207" bestFit="1" customWidth="1"/>
    <col min="3" max="3" width="11.140625" style="129" hidden="1" customWidth="1"/>
    <col min="4" max="4" width="7.28515625" style="207" bestFit="1" customWidth="1"/>
    <col min="5" max="5" width="7.28515625" style="129" hidden="1" customWidth="1"/>
    <col min="6" max="6" width="11.140625" style="207" bestFit="1" customWidth="1"/>
    <col min="7" max="7" width="5.28515625" style="210" customWidth="1"/>
    <col min="8" max="8" width="7.28515625" style="207" bestFit="1" customWidth="1"/>
    <col min="9" max="9" width="5.28515625" style="210" customWidth="1"/>
    <col min="10" max="10" width="11.140625" style="207" customWidth="1"/>
    <col min="11" max="11" width="5.28515625" style="210" customWidth="1"/>
    <col min="12" max="12" width="7.28515625" style="207" customWidth="1"/>
    <col min="13" max="13" width="5.28515625" style="210" customWidth="1"/>
    <col min="14" max="14" width="0" style="129" hidden="1" customWidth="1"/>
    <col min="15" max="16384" width="8.85546875" style="129"/>
  </cols>
  <sheetData>
    <row r="1" spans="1:13" ht="18.600000000000001" customHeight="1" thickBot="1" x14ac:dyDescent="0.35">
      <c r="A1" s="368" t="s">
        <v>149</v>
      </c>
      <c r="B1" s="368"/>
      <c r="C1" s="368"/>
      <c r="D1" s="368"/>
      <c r="E1" s="368"/>
      <c r="F1" s="368"/>
      <c r="G1" s="368"/>
      <c r="H1" s="368"/>
      <c r="I1" s="368"/>
      <c r="J1" s="330"/>
      <c r="K1" s="330"/>
      <c r="L1" s="330"/>
      <c r="M1" s="330"/>
    </row>
    <row r="2" spans="1:13" ht="14.45" customHeight="1" thickBot="1" x14ac:dyDescent="0.25">
      <c r="A2" s="232" t="s">
        <v>270</v>
      </c>
      <c r="B2" s="214"/>
      <c r="C2" s="206"/>
      <c r="D2" s="214"/>
      <c r="E2" s="206"/>
      <c r="F2" s="214"/>
      <c r="G2" s="215"/>
      <c r="H2" s="214"/>
      <c r="I2" s="215"/>
    </row>
    <row r="3" spans="1:13" ht="14.45" customHeight="1" thickBot="1" x14ac:dyDescent="0.25">
      <c r="A3" s="143"/>
      <c r="B3" s="385" t="s">
        <v>15</v>
      </c>
      <c r="C3" s="387"/>
      <c r="D3" s="384"/>
      <c r="E3" s="142"/>
      <c r="F3" s="384" t="s">
        <v>16</v>
      </c>
      <c r="G3" s="384"/>
      <c r="H3" s="384"/>
      <c r="I3" s="384"/>
      <c r="J3" s="384" t="s">
        <v>148</v>
      </c>
      <c r="K3" s="384"/>
      <c r="L3" s="384"/>
      <c r="M3" s="386"/>
    </row>
    <row r="4" spans="1:13" ht="14.45" customHeight="1" thickBot="1" x14ac:dyDescent="0.25">
      <c r="A4" s="520" t="s">
        <v>135</v>
      </c>
      <c r="B4" s="521" t="s">
        <v>19</v>
      </c>
      <c r="C4" s="548"/>
      <c r="D4" s="521" t="s">
        <v>20</v>
      </c>
      <c r="E4" s="548"/>
      <c r="F4" s="521" t="s">
        <v>19</v>
      </c>
      <c r="G4" s="524" t="s">
        <v>2</v>
      </c>
      <c r="H4" s="521" t="s">
        <v>20</v>
      </c>
      <c r="I4" s="524" t="s">
        <v>2</v>
      </c>
      <c r="J4" s="521" t="s">
        <v>19</v>
      </c>
      <c r="K4" s="524" t="s">
        <v>2</v>
      </c>
      <c r="L4" s="521" t="s">
        <v>20</v>
      </c>
      <c r="M4" s="525" t="s">
        <v>2</v>
      </c>
    </row>
    <row r="5" spans="1:13" ht="14.45" customHeight="1" x14ac:dyDescent="0.2">
      <c r="A5" s="545" t="s">
        <v>529</v>
      </c>
      <c r="B5" s="536">
        <v>2131.3200000000002</v>
      </c>
      <c r="C5" s="479">
        <v>1</v>
      </c>
      <c r="D5" s="549">
        <v>12</v>
      </c>
      <c r="E5" s="518" t="s">
        <v>529</v>
      </c>
      <c r="F5" s="536">
        <v>62.04</v>
      </c>
      <c r="G5" s="504">
        <v>2.9108721355779514E-2</v>
      </c>
      <c r="H5" s="483">
        <v>4</v>
      </c>
      <c r="I5" s="526">
        <v>0.33333333333333331</v>
      </c>
      <c r="J5" s="554">
        <v>2069.2800000000002</v>
      </c>
      <c r="K5" s="504">
        <v>0.97089127864422053</v>
      </c>
      <c r="L5" s="483">
        <v>8</v>
      </c>
      <c r="M5" s="526">
        <v>0.66666666666666663</v>
      </c>
    </row>
    <row r="6" spans="1:13" ht="14.45" customHeight="1" x14ac:dyDescent="0.2">
      <c r="A6" s="546" t="s">
        <v>530</v>
      </c>
      <c r="B6" s="537">
        <v>385.88</v>
      </c>
      <c r="C6" s="486">
        <v>1</v>
      </c>
      <c r="D6" s="550">
        <v>4</v>
      </c>
      <c r="E6" s="552" t="s">
        <v>530</v>
      </c>
      <c r="F6" s="537">
        <v>227.68</v>
      </c>
      <c r="G6" s="527">
        <v>0.59002798797553646</v>
      </c>
      <c r="H6" s="490">
        <v>3</v>
      </c>
      <c r="I6" s="528">
        <v>0.75</v>
      </c>
      <c r="J6" s="555">
        <v>158.19999999999999</v>
      </c>
      <c r="K6" s="527">
        <v>0.40997201202446354</v>
      </c>
      <c r="L6" s="490">
        <v>1</v>
      </c>
      <c r="M6" s="528">
        <v>0.25</v>
      </c>
    </row>
    <row r="7" spans="1:13" ht="14.45" customHeight="1" x14ac:dyDescent="0.2">
      <c r="A7" s="546" t="s">
        <v>531</v>
      </c>
      <c r="B7" s="537">
        <v>6210.3100000000013</v>
      </c>
      <c r="C7" s="486">
        <v>1</v>
      </c>
      <c r="D7" s="550">
        <v>6</v>
      </c>
      <c r="E7" s="552" t="s">
        <v>531</v>
      </c>
      <c r="F7" s="537">
        <v>6108.5400000000009</v>
      </c>
      <c r="G7" s="527">
        <v>0.98361273430794915</v>
      </c>
      <c r="H7" s="490">
        <v>5</v>
      </c>
      <c r="I7" s="528">
        <v>0.83333333333333337</v>
      </c>
      <c r="J7" s="555">
        <v>101.77000000000001</v>
      </c>
      <c r="K7" s="527">
        <v>1.6387265692050797E-2</v>
      </c>
      <c r="L7" s="490">
        <v>1</v>
      </c>
      <c r="M7" s="528">
        <v>0.16666666666666666</v>
      </c>
    </row>
    <row r="8" spans="1:13" ht="14.45" customHeight="1" x14ac:dyDescent="0.2">
      <c r="A8" s="546" t="s">
        <v>532</v>
      </c>
      <c r="B8" s="537">
        <v>324.25</v>
      </c>
      <c r="C8" s="486">
        <v>1</v>
      </c>
      <c r="D8" s="550">
        <v>5</v>
      </c>
      <c r="E8" s="552" t="s">
        <v>532</v>
      </c>
      <c r="F8" s="537">
        <v>167.58</v>
      </c>
      <c r="G8" s="527">
        <v>0.51682343870470315</v>
      </c>
      <c r="H8" s="490">
        <v>3</v>
      </c>
      <c r="I8" s="528">
        <v>0.6</v>
      </c>
      <c r="J8" s="555">
        <v>156.67000000000002</v>
      </c>
      <c r="K8" s="527">
        <v>0.4831765612952969</v>
      </c>
      <c r="L8" s="490">
        <v>2</v>
      </c>
      <c r="M8" s="528">
        <v>0.4</v>
      </c>
    </row>
    <row r="9" spans="1:13" ht="14.45" customHeight="1" x14ac:dyDescent="0.2">
      <c r="A9" s="546" t="s">
        <v>533</v>
      </c>
      <c r="B9" s="537">
        <v>60.39</v>
      </c>
      <c r="C9" s="486">
        <v>1</v>
      </c>
      <c r="D9" s="550">
        <v>1</v>
      </c>
      <c r="E9" s="552" t="s">
        <v>533</v>
      </c>
      <c r="F9" s="537"/>
      <c r="G9" s="527">
        <v>0</v>
      </c>
      <c r="H9" s="490"/>
      <c r="I9" s="528">
        <v>0</v>
      </c>
      <c r="J9" s="555">
        <v>60.39</v>
      </c>
      <c r="K9" s="527">
        <v>1</v>
      </c>
      <c r="L9" s="490">
        <v>1</v>
      </c>
      <c r="M9" s="528">
        <v>1</v>
      </c>
    </row>
    <row r="10" spans="1:13" ht="14.45" customHeight="1" x14ac:dyDescent="0.2">
      <c r="A10" s="546" t="s">
        <v>534</v>
      </c>
      <c r="B10" s="537">
        <v>933.91000000000008</v>
      </c>
      <c r="C10" s="486">
        <v>1</v>
      </c>
      <c r="D10" s="550">
        <v>8</v>
      </c>
      <c r="E10" s="552" t="s">
        <v>534</v>
      </c>
      <c r="F10" s="537">
        <v>466.47</v>
      </c>
      <c r="G10" s="527">
        <v>0.49948067800965829</v>
      </c>
      <c r="H10" s="490">
        <v>5</v>
      </c>
      <c r="I10" s="528">
        <v>0.625</v>
      </c>
      <c r="J10" s="555">
        <v>467.44000000000005</v>
      </c>
      <c r="K10" s="527">
        <v>0.50051932199034166</v>
      </c>
      <c r="L10" s="490">
        <v>3</v>
      </c>
      <c r="M10" s="528">
        <v>0.375</v>
      </c>
    </row>
    <row r="11" spans="1:13" ht="14.45" customHeight="1" x14ac:dyDescent="0.2">
      <c r="A11" s="546" t="s">
        <v>535</v>
      </c>
      <c r="B11" s="537">
        <v>9086.5</v>
      </c>
      <c r="C11" s="486">
        <v>1</v>
      </c>
      <c r="D11" s="550">
        <v>44</v>
      </c>
      <c r="E11" s="552" t="s">
        <v>535</v>
      </c>
      <c r="F11" s="537">
        <v>8689.7199999999993</v>
      </c>
      <c r="G11" s="527">
        <v>0.95633302151543487</v>
      </c>
      <c r="H11" s="490">
        <v>41</v>
      </c>
      <c r="I11" s="528">
        <v>0.93181818181818177</v>
      </c>
      <c r="J11" s="555">
        <v>396.78</v>
      </c>
      <c r="K11" s="527">
        <v>4.3666978484565008E-2</v>
      </c>
      <c r="L11" s="490">
        <v>3</v>
      </c>
      <c r="M11" s="528">
        <v>6.8181818181818177E-2</v>
      </c>
    </row>
    <row r="12" spans="1:13" ht="14.45" customHeight="1" thickBot="1" x14ac:dyDescent="0.25">
      <c r="A12" s="547" t="s">
        <v>536</v>
      </c>
      <c r="B12" s="538">
        <v>112.12</v>
      </c>
      <c r="C12" s="493">
        <v>1</v>
      </c>
      <c r="D12" s="551">
        <v>1</v>
      </c>
      <c r="E12" s="553" t="s">
        <v>536</v>
      </c>
      <c r="F12" s="538">
        <v>112.12</v>
      </c>
      <c r="G12" s="505">
        <v>1</v>
      </c>
      <c r="H12" s="497">
        <v>1</v>
      </c>
      <c r="I12" s="529">
        <v>1</v>
      </c>
      <c r="J12" s="556"/>
      <c r="K12" s="505">
        <v>0</v>
      </c>
      <c r="L12" s="497"/>
      <c r="M12" s="529">
        <v>0</v>
      </c>
    </row>
  </sheetData>
  <autoFilter ref="A4:N4" xr:uid="{00000000-0009-0000-0000-000011000000}"/>
  <mergeCells count="4">
    <mergeCell ref="A1:M1"/>
    <mergeCell ref="B3:D3"/>
    <mergeCell ref="F3:I3"/>
    <mergeCell ref="J3:M3"/>
  </mergeCells>
  <conditionalFormatting sqref="G4:G1048576">
    <cfRule type="cellIs" dxfId="22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 xr:uid="{BBE69DF7-0A4D-4E3C-82E0-376E4B157C54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List12">
    <tabColor theme="0" tint="-0.249977111117893"/>
    <pageSetUpPr fitToPage="1"/>
  </sheetPr>
  <dimension ref="A1:U72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ColWidth="8.85546875" defaultRowHeight="14.45" customHeight="1" outlineLevelCol="1" x14ac:dyDescent="0.2"/>
  <cols>
    <col min="1" max="1" width="9.7109375" style="129" hidden="1" customWidth="1" outlineLevel="1"/>
    <col min="2" max="2" width="28.28515625" style="129" hidden="1" customWidth="1" outlineLevel="1"/>
    <col min="3" max="3" width="9" style="129" customWidth="1" collapsed="1"/>
    <col min="4" max="4" width="18.7109375" style="218" customWidth="1"/>
    <col min="5" max="5" width="13.5703125" style="208" customWidth="1"/>
    <col min="6" max="6" width="6" style="129" bestFit="1" customWidth="1"/>
    <col min="7" max="7" width="8.7109375" style="129" customWidth="1"/>
    <col min="8" max="8" width="5" style="129" bestFit="1" customWidth="1"/>
    <col min="9" max="9" width="8.5703125" style="129" hidden="1" customWidth="1" outlineLevel="1"/>
    <col min="10" max="10" width="25.7109375" style="129" customWidth="1" collapsed="1"/>
    <col min="11" max="11" width="8.7109375" style="129" customWidth="1"/>
    <col min="12" max="12" width="7.7109375" style="209" customWidth="1"/>
    <col min="13" max="13" width="11.140625" style="209" customWidth="1"/>
    <col min="14" max="14" width="7.7109375" style="129" customWidth="1"/>
    <col min="15" max="15" width="7.7109375" style="219" customWidth="1"/>
    <col min="16" max="16" width="11.140625" style="209" customWidth="1"/>
    <col min="17" max="17" width="5.42578125" style="210" bestFit="1" customWidth="1"/>
    <col min="18" max="18" width="7.7109375" style="129" customWidth="1"/>
    <col min="19" max="19" width="5.42578125" style="210" bestFit="1" customWidth="1"/>
    <col min="20" max="20" width="7.7109375" style="219" customWidth="1"/>
    <col min="21" max="21" width="5.42578125" style="210" bestFit="1" customWidth="1"/>
    <col min="22" max="16384" width="8.85546875" style="129"/>
  </cols>
  <sheetData>
    <row r="1" spans="1:21" ht="18.600000000000001" customHeight="1" thickBot="1" x14ac:dyDescent="0.35">
      <c r="A1" s="359" t="s">
        <v>726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  <c r="S1" s="330"/>
      <c r="T1" s="330"/>
      <c r="U1" s="330"/>
    </row>
    <row r="2" spans="1:21" ht="14.45" customHeight="1" thickBot="1" x14ac:dyDescent="0.25">
      <c r="A2" s="232" t="s">
        <v>270</v>
      </c>
      <c r="B2" s="216"/>
      <c r="C2" s="206"/>
      <c r="D2" s="206"/>
      <c r="E2" s="217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</row>
    <row r="3" spans="1:21" ht="14.45" customHeight="1" thickBot="1" x14ac:dyDescent="0.25">
      <c r="A3" s="391"/>
      <c r="B3" s="392"/>
      <c r="C3" s="392"/>
      <c r="D3" s="392"/>
      <c r="E3" s="392"/>
      <c r="F3" s="392"/>
      <c r="G3" s="392"/>
      <c r="H3" s="392"/>
      <c r="I3" s="392"/>
      <c r="J3" s="392"/>
      <c r="K3" s="393" t="s">
        <v>127</v>
      </c>
      <c r="L3" s="394"/>
      <c r="M3" s="66">
        <f>SUBTOTAL(9,M7:M1048576)</f>
        <v>19244.680000000004</v>
      </c>
      <c r="N3" s="66">
        <f>SUBTOTAL(9,N7:N1048576)</f>
        <v>148</v>
      </c>
      <c r="O3" s="66">
        <f>SUBTOTAL(9,O7:O1048576)</f>
        <v>81</v>
      </c>
      <c r="P3" s="66">
        <f>SUBTOTAL(9,P7:P1048576)</f>
        <v>15834.150000000003</v>
      </c>
      <c r="Q3" s="67">
        <f>IF(M3=0,0,P3/M3)</f>
        <v>0.82278063340102303</v>
      </c>
      <c r="R3" s="66">
        <f>SUBTOTAL(9,R7:R1048576)</f>
        <v>122</v>
      </c>
      <c r="S3" s="67">
        <f>IF(N3=0,0,R3/N3)</f>
        <v>0.82432432432432434</v>
      </c>
      <c r="T3" s="66">
        <f>SUBTOTAL(9,T7:T1048576)</f>
        <v>62</v>
      </c>
      <c r="U3" s="68">
        <f>IF(O3=0,0,T3/O3)</f>
        <v>0.76543209876543206</v>
      </c>
    </row>
    <row r="4" spans="1:21" ht="14.45" customHeight="1" x14ac:dyDescent="0.2">
      <c r="A4" s="69"/>
      <c r="B4" s="70"/>
      <c r="C4" s="70"/>
      <c r="D4" s="71"/>
      <c r="E4" s="143"/>
      <c r="F4" s="70"/>
      <c r="G4" s="70"/>
      <c r="H4" s="70"/>
      <c r="I4" s="70"/>
      <c r="J4" s="70"/>
      <c r="K4" s="70"/>
      <c r="L4" s="70"/>
      <c r="M4" s="395" t="s">
        <v>15</v>
      </c>
      <c r="N4" s="396"/>
      <c r="O4" s="396"/>
      <c r="P4" s="397" t="s">
        <v>21</v>
      </c>
      <c r="Q4" s="396"/>
      <c r="R4" s="396"/>
      <c r="S4" s="396"/>
      <c r="T4" s="396"/>
      <c r="U4" s="398"/>
    </row>
    <row r="5" spans="1:21" ht="14.45" customHeight="1" thickBot="1" x14ac:dyDescent="0.25">
      <c r="A5" s="72"/>
      <c r="B5" s="73"/>
      <c r="C5" s="70"/>
      <c r="D5" s="71"/>
      <c r="E5" s="143"/>
      <c r="F5" s="70"/>
      <c r="G5" s="70"/>
      <c r="H5" s="70"/>
      <c r="I5" s="70"/>
      <c r="J5" s="70"/>
      <c r="K5" s="70"/>
      <c r="L5" s="70"/>
      <c r="M5" s="85" t="s">
        <v>22</v>
      </c>
      <c r="N5" s="86" t="s">
        <v>13</v>
      </c>
      <c r="O5" s="86" t="s">
        <v>20</v>
      </c>
      <c r="P5" s="388" t="s">
        <v>22</v>
      </c>
      <c r="Q5" s="389"/>
      <c r="R5" s="388" t="s">
        <v>13</v>
      </c>
      <c r="S5" s="389"/>
      <c r="T5" s="388" t="s">
        <v>20</v>
      </c>
      <c r="U5" s="390"/>
    </row>
    <row r="6" spans="1:21" s="208" customFormat="1" ht="14.45" customHeight="1" thickBot="1" x14ac:dyDescent="0.25">
      <c r="A6" s="557" t="s">
        <v>23</v>
      </c>
      <c r="B6" s="558" t="s">
        <v>5</v>
      </c>
      <c r="C6" s="557" t="s">
        <v>24</v>
      </c>
      <c r="D6" s="558" t="s">
        <v>6</v>
      </c>
      <c r="E6" s="558" t="s">
        <v>151</v>
      </c>
      <c r="F6" s="558" t="s">
        <v>25</v>
      </c>
      <c r="G6" s="558" t="s">
        <v>26</v>
      </c>
      <c r="H6" s="558" t="s">
        <v>8</v>
      </c>
      <c r="I6" s="558" t="s">
        <v>10</v>
      </c>
      <c r="J6" s="558" t="s">
        <v>11</v>
      </c>
      <c r="K6" s="558" t="s">
        <v>12</v>
      </c>
      <c r="L6" s="558" t="s">
        <v>27</v>
      </c>
      <c r="M6" s="559" t="s">
        <v>14</v>
      </c>
      <c r="N6" s="560" t="s">
        <v>28</v>
      </c>
      <c r="O6" s="560" t="s">
        <v>28</v>
      </c>
      <c r="P6" s="560" t="s">
        <v>14</v>
      </c>
      <c r="Q6" s="560" t="s">
        <v>2</v>
      </c>
      <c r="R6" s="560" t="s">
        <v>28</v>
      </c>
      <c r="S6" s="560" t="s">
        <v>2</v>
      </c>
      <c r="T6" s="560" t="s">
        <v>28</v>
      </c>
      <c r="U6" s="561" t="s">
        <v>2</v>
      </c>
    </row>
    <row r="7" spans="1:21" ht="14.45" customHeight="1" x14ac:dyDescent="0.2">
      <c r="A7" s="562">
        <v>28</v>
      </c>
      <c r="B7" s="563" t="s">
        <v>521</v>
      </c>
      <c r="C7" s="563" t="s">
        <v>524</v>
      </c>
      <c r="D7" s="564" t="s">
        <v>724</v>
      </c>
      <c r="E7" s="565" t="s">
        <v>533</v>
      </c>
      <c r="F7" s="563" t="s">
        <v>522</v>
      </c>
      <c r="G7" s="563" t="s">
        <v>537</v>
      </c>
      <c r="H7" s="563" t="s">
        <v>271</v>
      </c>
      <c r="I7" s="563" t="s">
        <v>538</v>
      </c>
      <c r="J7" s="563" t="s">
        <v>539</v>
      </c>
      <c r="K7" s="563" t="s">
        <v>540</v>
      </c>
      <c r="L7" s="566">
        <v>60.39</v>
      </c>
      <c r="M7" s="566">
        <v>60.39</v>
      </c>
      <c r="N7" s="563">
        <v>1</v>
      </c>
      <c r="O7" s="567">
        <v>1</v>
      </c>
      <c r="P7" s="566"/>
      <c r="Q7" s="568">
        <v>0</v>
      </c>
      <c r="R7" s="563"/>
      <c r="S7" s="568">
        <v>0</v>
      </c>
      <c r="T7" s="567"/>
      <c r="U7" s="122">
        <v>0</v>
      </c>
    </row>
    <row r="8" spans="1:21" ht="14.45" customHeight="1" x14ac:dyDescent="0.2">
      <c r="A8" s="569">
        <v>28</v>
      </c>
      <c r="B8" s="570" t="s">
        <v>521</v>
      </c>
      <c r="C8" s="570" t="s">
        <v>524</v>
      </c>
      <c r="D8" s="571" t="s">
        <v>724</v>
      </c>
      <c r="E8" s="572" t="s">
        <v>535</v>
      </c>
      <c r="F8" s="570" t="s">
        <v>522</v>
      </c>
      <c r="G8" s="570" t="s">
        <v>541</v>
      </c>
      <c r="H8" s="570" t="s">
        <v>271</v>
      </c>
      <c r="I8" s="570" t="s">
        <v>542</v>
      </c>
      <c r="J8" s="570" t="s">
        <v>543</v>
      </c>
      <c r="K8" s="570" t="s">
        <v>544</v>
      </c>
      <c r="L8" s="573">
        <v>0</v>
      </c>
      <c r="M8" s="573">
        <v>0</v>
      </c>
      <c r="N8" s="570">
        <v>1</v>
      </c>
      <c r="O8" s="574">
        <v>1</v>
      </c>
      <c r="P8" s="573">
        <v>0</v>
      </c>
      <c r="Q8" s="575"/>
      <c r="R8" s="570">
        <v>1</v>
      </c>
      <c r="S8" s="575">
        <v>1</v>
      </c>
      <c r="T8" s="574">
        <v>1</v>
      </c>
      <c r="U8" s="576">
        <v>1</v>
      </c>
    </row>
    <row r="9" spans="1:21" ht="14.45" customHeight="1" x14ac:dyDescent="0.2">
      <c r="A9" s="569">
        <v>28</v>
      </c>
      <c r="B9" s="570" t="s">
        <v>521</v>
      </c>
      <c r="C9" s="570" t="s">
        <v>524</v>
      </c>
      <c r="D9" s="571" t="s">
        <v>724</v>
      </c>
      <c r="E9" s="572" t="s">
        <v>535</v>
      </c>
      <c r="F9" s="570" t="s">
        <v>522</v>
      </c>
      <c r="G9" s="570" t="s">
        <v>545</v>
      </c>
      <c r="H9" s="570" t="s">
        <v>725</v>
      </c>
      <c r="I9" s="570" t="s">
        <v>546</v>
      </c>
      <c r="J9" s="570" t="s">
        <v>547</v>
      </c>
      <c r="K9" s="570" t="s">
        <v>548</v>
      </c>
      <c r="L9" s="573">
        <v>56.06</v>
      </c>
      <c r="M9" s="573">
        <v>112.12</v>
      </c>
      <c r="N9" s="570">
        <v>2</v>
      </c>
      <c r="O9" s="574">
        <v>1</v>
      </c>
      <c r="P9" s="573">
        <v>112.12</v>
      </c>
      <c r="Q9" s="575">
        <v>1</v>
      </c>
      <c r="R9" s="570">
        <v>2</v>
      </c>
      <c r="S9" s="575">
        <v>1</v>
      </c>
      <c r="T9" s="574">
        <v>1</v>
      </c>
      <c r="U9" s="576">
        <v>1</v>
      </c>
    </row>
    <row r="10" spans="1:21" ht="14.45" customHeight="1" x14ac:dyDescent="0.2">
      <c r="A10" s="569">
        <v>28</v>
      </c>
      <c r="B10" s="570" t="s">
        <v>521</v>
      </c>
      <c r="C10" s="570" t="s">
        <v>524</v>
      </c>
      <c r="D10" s="571" t="s">
        <v>724</v>
      </c>
      <c r="E10" s="572" t="s">
        <v>535</v>
      </c>
      <c r="F10" s="570" t="s">
        <v>522</v>
      </c>
      <c r="G10" s="570" t="s">
        <v>549</v>
      </c>
      <c r="H10" s="570" t="s">
        <v>271</v>
      </c>
      <c r="I10" s="570" t="s">
        <v>550</v>
      </c>
      <c r="J10" s="570" t="s">
        <v>551</v>
      </c>
      <c r="K10" s="570" t="s">
        <v>552</v>
      </c>
      <c r="L10" s="573">
        <v>168.77</v>
      </c>
      <c r="M10" s="573">
        <v>168.77</v>
      </c>
      <c r="N10" s="570">
        <v>1</v>
      </c>
      <c r="O10" s="574">
        <v>1</v>
      </c>
      <c r="P10" s="573">
        <v>168.77</v>
      </c>
      <c r="Q10" s="575">
        <v>1</v>
      </c>
      <c r="R10" s="570">
        <v>1</v>
      </c>
      <c r="S10" s="575">
        <v>1</v>
      </c>
      <c r="T10" s="574">
        <v>1</v>
      </c>
      <c r="U10" s="576">
        <v>1</v>
      </c>
    </row>
    <row r="11" spans="1:21" ht="14.45" customHeight="1" x14ac:dyDescent="0.2">
      <c r="A11" s="569">
        <v>28</v>
      </c>
      <c r="B11" s="570" t="s">
        <v>521</v>
      </c>
      <c r="C11" s="570" t="s">
        <v>524</v>
      </c>
      <c r="D11" s="571" t="s">
        <v>724</v>
      </c>
      <c r="E11" s="572" t="s">
        <v>535</v>
      </c>
      <c r="F11" s="570" t="s">
        <v>522</v>
      </c>
      <c r="G11" s="570" t="s">
        <v>553</v>
      </c>
      <c r="H11" s="570" t="s">
        <v>725</v>
      </c>
      <c r="I11" s="570" t="s">
        <v>554</v>
      </c>
      <c r="J11" s="570" t="s">
        <v>555</v>
      </c>
      <c r="K11" s="570" t="s">
        <v>556</v>
      </c>
      <c r="L11" s="573">
        <v>168.41</v>
      </c>
      <c r="M11" s="573">
        <v>336.82</v>
      </c>
      <c r="N11" s="570">
        <v>2</v>
      </c>
      <c r="O11" s="574">
        <v>0.5</v>
      </c>
      <c r="P11" s="573">
        <v>336.82</v>
      </c>
      <c r="Q11" s="575">
        <v>1</v>
      </c>
      <c r="R11" s="570">
        <v>2</v>
      </c>
      <c r="S11" s="575">
        <v>1</v>
      </c>
      <c r="T11" s="574">
        <v>0.5</v>
      </c>
      <c r="U11" s="576">
        <v>1</v>
      </c>
    </row>
    <row r="12" spans="1:21" ht="14.45" customHeight="1" x14ac:dyDescent="0.2">
      <c r="A12" s="569">
        <v>28</v>
      </c>
      <c r="B12" s="570" t="s">
        <v>521</v>
      </c>
      <c r="C12" s="570" t="s">
        <v>524</v>
      </c>
      <c r="D12" s="571" t="s">
        <v>724</v>
      </c>
      <c r="E12" s="572" t="s">
        <v>535</v>
      </c>
      <c r="F12" s="570" t="s">
        <v>522</v>
      </c>
      <c r="G12" s="570" t="s">
        <v>557</v>
      </c>
      <c r="H12" s="570" t="s">
        <v>725</v>
      </c>
      <c r="I12" s="570" t="s">
        <v>558</v>
      </c>
      <c r="J12" s="570" t="s">
        <v>559</v>
      </c>
      <c r="K12" s="570" t="s">
        <v>560</v>
      </c>
      <c r="L12" s="573">
        <v>176.32</v>
      </c>
      <c r="M12" s="573">
        <v>176.32</v>
      </c>
      <c r="N12" s="570">
        <v>1</v>
      </c>
      <c r="O12" s="574">
        <v>0.5</v>
      </c>
      <c r="P12" s="573">
        <v>176.32</v>
      </c>
      <c r="Q12" s="575">
        <v>1</v>
      </c>
      <c r="R12" s="570">
        <v>1</v>
      </c>
      <c r="S12" s="575">
        <v>1</v>
      </c>
      <c r="T12" s="574">
        <v>0.5</v>
      </c>
      <c r="U12" s="576">
        <v>1</v>
      </c>
    </row>
    <row r="13" spans="1:21" ht="14.45" customHeight="1" x14ac:dyDescent="0.2">
      <c r="A13" s="569">
        <v>28</v>
      </c>
      <c r="B13" s="570" t="s">
        <v>521</v>
      </c>
      <c r="C13" s="570" t="s">
        <v>524</v>
      </c>
      <c r="D13" s="571" t="s">
        <v>724</v>
      </c>
      <c r="E13" s="572" t="s">
        <v>535</v>
      </c>
      <c r="F13" s="570" t="s">
        <v>522</v>
      </c>
      <c r="G13" s="570" t="s">
        <v>561</v>
      </c>
      <c r="H13" s="570" t="s">
        <v>271</v>
      </c>
      <c r="I13" s="570" t="s">
        <v>562</v>
      </c>
      <c r="J13" s="570" t="s">
        <v>563</v>
      </c>
      <c r="K13" s="570" t="s">
        <v>564</v>
      </c>
      <c r="L13" s="573">
        <v>147.85</v>
      </c>
      <c r="M13" s="573">
        <v>147.85</v>
      </c>
      <c r="N13" s="570">
        <v>1</v>
      </c>
      <c r="O13" s="574">
        <v>1</v>
      </c>
      <c r="P13" s="573">
        <v>147.85</v>
      </c>
      <c r="Q13" s="575">
        <v>1</v>
      </c>
      <c r="R13" s="570">
        <v>1</v>
      </c>
      <c r="S13" s="575">
        <v>1</v>
      </c>
      <c r="T13" s="574">
        <v>1</v>
      </c>
      <c r="U13" s="576">
        <v>1</v>
      </c>
    </row>
    <row r="14" spans="1:21" ht="14.45" customHeight="1" x14ac:dyDescent="0.2">
      <c r="A14" s="569">
        <v>28</v>
      </c>
      <c r="B14" s="570" t="s">
        <v>521</v>
      </c>
      <c r="C14" s="570" t="s">
        <v>524</v>
      </c>
      <c r="D14" s="571" t="s">
        <v>724</v>
      </c>
      <c r="E14" s="572" t="s">
        <v>535</v>
      </c>
      <c r="F14" s="570" t="s">
        <v>522</v>
      </c>
      <c r="G14" s="570" t="s">
        <v>561</v>
      </c>
      <c r="H14" s="570" t="s">
        <v>271</v>
      </c>
      <c r="I14" s="570" t="s">
        <v>565</v>
      </c>
      <c r="J14" s="570" t="s">
        <v>563</v>
      </c>
      <c r="K14" s="570" t="s">
        <v>564</v>
      </c>
      <c r="L14" s="573">
        <v>147.85</v>
      </c>
      <c r="M14" s="573">
        <v>147.85</v>
      </c>
      <c r="N14" s="570">
        <v>1</v>
      </c>
      <c r="O14" s="574">
        <v>0.5</v>
      </c>
      <c r="P14" s="573">
        <v>147.85</v>
      </c>
      <c r="Q14" s="575">
        <v>1</v>
      </c>
      <c r="R14" s="570">
        <v>1</v>
      </c>
      <c r="S14" s="575">
        <v>1</v>
      </c>
      <c r="T14" s="574">
        <v>0.5</v>
      </c>
      <c r="U14" s="576">
        <v>1</v>
      </c>
    </row>
    <row r="15" spans="1:21" ht="14.45" customHeight="1" x14ac:dyDescent="0.2">
      <c r="A15" s="569">
        <v>28</v>
      </c>
      <c r="B15" s="570" t="s">
        <v>521</v>
      </c>
      <c r="C15" s="570" t="s">
        <v>524</v>
      </c>
      <c r="D15" s="571" t="s">
        <v>724</v>
      </c>
      <c r="E15" s="572" t="s">
        <v>535</v>
      </c>
      <c r="F15" s="570" t="s">
        <v>522</v>
      </c>
      <c r="G15" s="570" t="s">
        <v>566</v>
      </c>
      <c r="H15" s="570" t="s">
        <v>271</v>
      </c>
      <c r="I15" s="570" t="s">
        <v>567</v>
      </c>
      <c r="J15" s="570" t="s">
        <v>568</v>
      </c>
      <c r="K15" s="570" t="s">
        <v>569</v>
      </c>
      <c r="L15" s="573">
        <v>52.87</v>
      </c>
      <c r="M15" s="573">
        <v>52.87</v>
      </c>
      <c r="N15" s="570">
        <v>1</v>
      </c>
      <c r="O15" s="574">
        <v>0.5</v>
      </c>
      <c r="P15" s="573">
        <v>52.87</v>
      </c>
      <c r="Q15" s="575">
        <v>1</v>
      </c>
      <c r="R15" s="570">
        <v>1</v>
      </c>
      <c r="S15" s="575">
        <v>1</v>
      </c>
      <c r="T15" s="574">
        <v>0.5</v>
      </c>
      <c r="U15" s="576">
        <v>1</v>
      </c>
    </row>
    <row r="16" spans="1:21" ht="14.45" customHeight="1" x14ac:dyDescent="0.2">
      <c r="A16" s="569">
        <v>28</v>
      </c>
      <c r="B16" s="570" t="s">
        <v>521</v>
      </c>
      <c r="C16" s="570" t="s">
        <v>524</v>
      </c>
      <c r="D16" s="571" t="s">
        <v>724</v>
      </c>
      <c r="E16" s="572" t="s">
        <v>535</v>
      </c>
      <c r="F16" s="570" t="s">
        <v>522</v>
      </c>
      <c r="G16" s="570" t="s">
        <v>566</v>
      </c>
      <c r="H16" s="570" t="s">
        <v>271</v>
      </c>
      <c r="I16" s="570" t="s">
        <v>570</v>
      </c>
      <c r="J16" s="570" t="s">
        <v>571</v>
      </c>
      <c r="K16" s="570" t="s">
        <v>572</v>
      </c>
      <c r="L16" s="573">
        <v>58.74</v>
      </c>
      <c r="M16" s="573">
        <v>352.44</v>
      </c>
      <c r="N16" s="570">
        <v>6</v>
      </c>
      <c r="O16" s="574">
        <v>3</v>
      </c>
      <c r="P16" s="573">
        <v>352.44</v>
      </c>
      <c r="Q16" s="575">
        <v>1</v>
      </c>
      <c r="R16" s="570">
        <v>6</v>
      </c>
      <c r="S16" s="575">
        <v>1</v>
      </c>
      <c r="T16" s="574">
        <v>3</v>
      </c>
      <c r="U16" s="576">
        <v>1</v>
      </c>
    </row>
    <row r="17" spans="1:21" ht="14.45" customHeight="1" x14ac:dyDescent="0.2">
      <c r="A17" s="569">
        <v>28</v>
      </c>
      <c r="B17" s="570" t="s">
        <v>521</v>
      </c>
      <c r="C17" s="570" t="s">
        <v>524</v>
      </c>
      <c r="D17" s="571" t="s">
        <v>724</v>
      </c>
      <c r="E17" s="572" t="s">
        <v>535</v>
      </c>
      <c r="F17" s="570" t="s">
        <v>522</v>
      </c>
      <c r="G17" s="570" t="s">
        <v>566</v>
      </c>
      <c r="H17" s="570" t="s">
        <v>271</v>
      </c>
      <c r="I17" s="570" t="s">
        <v>573</v>
      </c>
      <c r="J17" s="570" t="s">
        <v>568</v>
      </c>
      <c r="K17" s="570" t="s">
        <v>569</v>
      </c>
      <c r="L17" s="573">
        <v>52.87</v>
      </c>
      <c r="M17" s="573">
        <v>52.87</v>
      </c>
      <c r="N17" s="570">
        <v>1</v>
      </c>
      <c r="O17" s="574">
        <v>1</v>
      </c>
      <c r="P17" s="573">
        <v>52.87</v>
      </c>
      <c r="Q17" s="575">
        <v>1</v>
      </c>
      <c r="R17" s="570">
        <v>1</v>
      </c>
      <c r="S17" s="575">
        <v>1</v>
      </c>
      <c r="T17" s="574">
        <v>1</v>
      </c>
      <c r="U17" s="576">
        <v>1</v>
      </c>
    </row>
    <row r="18" spans="1:21" ht="14.45" customHeight="1" x14ac:dyDescent="0.2">
      <c r="A18" s="569">
        <v>28</v>
      </c>
      <c r="B18" s="570" t="s">
        <v>521</v>
      </c>
      <c r="C18" s="570" t="s">
        <v>524</v>
      </c>
      <c r="D18" s="571" t="s">
        <v>724</v>
      </c>
      <c r="E18" s="572" t="s">
        <v>535</v>
      </c>
      <c r="F18" s="570" t="s">
        <v>522</v>
      </c>
      <c r="G18" s="570" t="s">
        <v>574</v>
      </c>
      <c r="H18" s="570" t="s">
        <v>271</v>
      </c>
      <c r="I18" s="570" t="s">
        <v>575</v>
      </c>
      <c r="J18" s="570" t="s">
        <v>576</v>
      </c>
      <c r="K18" s="570" t="s">
        <v>577</v>
      </c>
      <c r="L18" s="573">
        <v>273.33</v>
      </c>
      <c r="M18" s="573">
        <v>273.33</v>
      </c>
      <c r="N18" s="570">
        <v>1</v>
      </c>
      <c r="O18" s="574">
        <v>0.5</v>
      </c>
      <c r="P18" s="573">
        <v>273.33</v>
      </c>
      <c r="Q18" s="575">
        <v>1</v>
      </c>
      <c r="R18" s="570">
        <v>1</v>
      </c>
      <c r="S18" s="575">
        <v>1</v>
      </c>
      <c r="T18" s="574">
        <v>0.5</v>
      </c>
      <c r="U18" s="576">
        <v>1</v>
      </c>
    </row>
    <row r="19" spans="1:21" ht="14.45" customHeight="1" x14ac:dyDescent="0.2">
      <c r="A19" s="569">
        <v>28</v>
      </c>
      <c r="B19" s="570" t="s">
        <v>521</v>
      </c>
      <c r="C19" s="570" t="s">
        <v>524</v>
      </c>
      <c r="D19" s="571" t="s">
        <v>724</v>
      </c>
      <c r="E19" s="572" t="s">
        <v>535</v>
      </c>
      <c r="F19" s="570" t="s">
        <v>522</v>
      </c>
      <c r="G19" s="570" t="s">
        <v>578</v>
      </c>
      <c r="H19" s="570" t="s">
        <v>271</v>
      </c>
      <c r="I19" s="570" t="s">
        <v>579</v>
      </c>
      <c r="J19" s="570" t="s">
        <v>580</v>
      </c>
      <c r="K19" s="570" t="s">
        <v>581</v>
      </c>
      <c r="L19" s="573">
        <v>93.49</v>
      </c>
      <c r="M19" s="573">
        <v>373.96</v>
      </c>
      <c r="N19" s="570">
        <v>4</v>
      </c>
      <c r="O19" s="574">
        <v>2</v>
      </c>
      <c r="P19" s="573">
        <v>186.98</v>
      </c>
      <c r="Q19" s="575">
        <v>0.5</v>
      </c>
      <c r="R19" s="570">
        <v>2</v>
      </c>
      <c r="S19" s="575">
        <v>0.5</v>
      </c>
      <c r="T19" s="574">
        <v>1</v>
      </c>
      <c r="U19" s="576">
        <v>0.5</v>
      </c>
    </row>
    <row r="20" spans="1:21" ht="14.45" customHeight="1" x14ac:dyDescent="0.2">
      <c r="A20" s="569">
        <v>28</v>
      </c>
      <c r="B20" s="570" t="s">
        <v>521</v>
      </c>
      <c r="C20" s="570" t="s">
        <v>524</v>
      </c>
      <c r="D20" s="571" t="s">
        <v>724</v>
      </c>
      <c r="E20" s="572" t="s">
        <v>535</v>
      </c>
      <c r="F20" s="570" t="s">
        <v>522</v>
      </c>
      <c r="G20" s="570" t="s">
        <v>582</v>
      </c>
      <c r="H20" s="570" t="s">
        <v>725</v>
      </c>
      <c r="I20" s="570" t="s">
        <v>583</v>
      </c>
      <c r="J20" s="570" t="s">
        <v>584</v>
      </c>
      <c r="K20" s="570" t="s">
        <v>585</v>
      </c>
      <c r="L20" s="573">
        <v>173.12</v>
      </c>
      <c r="M20" s="573">
        <v>346.24</v>
      </c>
      <c r="N20" s="570">
        <v>2</v>
      </c>
      <c r="O20" s="574">
        <v>1</v>
      </c>
      <c r="P20" s="573">
        <v>346.24</v>
      </c>
      <c r="Q20" s="575">
        <v>1</v>
      </c>
      <c r="R20" s="570">
        <v>2</v>
      </c>
      <c r="S20" s="575">
        <v>1</v>
      </c>
      <c r="T20" s="574">
        <v>1</v>
      </c>
      <c r="U20" s="576">
        <v>1</v>
      </c>
    </row>
    <row r="21" spans="1:21" ht="14.45" customHeight="1" x14ac:dyDescent="0.2">
      <c r="A21" s="569">
        <v>28</v>
      </c>
      <c r="B21" s="570" t="s">
        <v>521</v>
      </c>
      <c r="C21" s="570" t="s">
        <v>524</v>
      </c>
      <c r="D21" s="571" t="s">
        <v>724</v>
      </c>
      <c r="E21" s="572" t="s">
        <v>535</v>
      </c>
      <c r="F21" s="570" t="s">
        <v>522</v>
      </c>
      <c r="G21" s="570" t="s">
        <v>586</v>
      </c>
      <c r="H21" s="570" t="s">
        <v>271</v>
      </c>
      <c r="I21" s="570" t="s">
        <v>587</v>
      </c>
      <c r="J21" s="570" t="s">
        <v>588</v>
      </c>
      <c r="K21" s="570" t="s">
        <v>589</v>
      </c>
      <c r="L21" s="573">
        <v>121.07</v>
      </c>
      <c r="M21" s="573">
        <v>121.07</v>
      </c>
      <c r="N21" s="570">
        <v>1</v>
      </c>
      <c r="O21" s="574">
        <v>0.5</v>
      </c>
      <c r="P21" s="573">
        <v>121.07</v>
      </c>
      <c r="Q21" s="575">
        <v>1</v>
      </c>
      <c r="R21" s="570">
        <v>1</v>
      </c>
      <c r="S21" s="575">
        <v>1</v>
      </c>
      <c r="T21" s="574">
        <v>0.5</v>
      </c>
      <c r="U21" s="576">
        <v>1</v>
      </c>
    </row>
    <row r="22" spans="1:21" ht="14.45" customHeight="1" x14ac:dyDescent="0.2">
      <c r="A22" s="569">
        <v>28</v>
      </c>
      <c r="B22" s="570" t="s">
        <v>521</v>
      </c>
      <c r="C22" s="570" t="s">
        <v>524</v>
      </c>
      <c r="D22" s="571" t="s">
        <v>724</v>
      </c>
      <c r="E22" s="572" t="s">
        <v>535</v>
      </c>
      <c r="F22" s="570" t="s">
        <v>522</v>
      </c>
      <c r="G22" s="570" t="s">
        <v>590</v>
      </c>
      <c r="H22" s="570" t="s">
        <v>271</v>
      </c>
      <c r="I22" s="570" t="s">
        <v>591</v>
      </c>
      <c r="J22" s="570" t="s">
        <v>592</v>
      </c>
      <c r="K22" s="570" t="s">
        <v>593</v>
      </c>
      <c r="L22" s="573">
        <v>94.7</v>
      </c>
      <c r="M22" s="573">
        <v>189.4</v>
      </c>
      <c r="N22" s="570">
        <v>2</v>
      </c>
      <c r="O22" s="574">
        <v>1.5</v>
      </c>
      <c r="P22" s="573">
        <v>189.4</v>
      </c>
      <c r="Q22" s="575">
        <v>1</v>
      </c>
      <c r="R22" s="570">
        <v>2</v>
      </c>
      <c r="S22" s="575">
        <v>1</v>
      </c>
      <c r="T22" s="574">
        <v>1.5</v>
      </c>
      <c r="U22" s="576">
        <v>1</v>
      </c>
    </row>
    <row r="23" spans="1:21" ht="14.45" customHeight="1" x14ac:dyDescent="0.2">
      <c r="A23" s="569">
        <v>28</v>
      </c>
      <c r="B23" s="570" t="s">
        <v>521</v>
      </c>
      <c r="C23" s="570" t="s">
        <v>524</v>
      </c>
      <c r="D23" s="571" t="s">
        <v>724</v>
      </c>
      <c r="E23" s="572" t="s">
        <v>535</v>
      </c>
      <c r="F23" s="570" t="s">
        <v>522</v>
      </c>
      <c r="G23" s="570" t="s">
        <v>590</v>
      </c>
      <c r="H23" s="570" t="s">
        <v>271</v>
      </c>
      <c r="I23" s="570" t="s">
        <v>591</v>
      </c>
      <c r="J23" s="570" t="s">
        <v>592</v>
      </c>
      <c r="K23" s="570" t="s">
        <v>593</v>
      </c>
      <c r="L23" s="573">
        <v>49.04</v>
      </c>
      <c r="M23" s="573">
        <v>539.43999999999994</v>
      </c>
      <c r="N23" s="570">
        <v>11</v>
      </c>
      <c r="O23" s="574">
        <v>4</v>
      </c>
      <c r="P23" s="573">
        <v>441.35999999999996</v>
      </c>
      <c r="Q23" s="575">
        <v>0.81818181818181823</v>
      </c>
      <c r="R23" s="570">
        <v>9</v>
      </c>
      <c r="S23" s="575">
        <v>0.81818181818181823</v>
      </c>
      <c r="T23" s="574">
        <v>3</v>
      </c>
      <c r="U23" s="576">
        <v>0.75</v>
      </c>
    </row>
    <row r="24" spans="1:21" ht="14.45" customHeight="1" x14ac:dyDescent="0.2">
      <c r="A24" s="569">
        <v>28</v>
      </c>
      <c r="B24" s="570" t="s">
        <v>521</v>
      </c>
      <c r="C24" s="570" t="s">
        <v>524</v>
      </c>
      <c r="D24" s="571" t="s">
        <v>724</v>
      </c>
      <c r="E24" s="572" t="s">
        <v>535</v>
      </c>
      <c r="F24" s="570" t="s">
        <v>522</v>
      </c>
      <c r="G24" s="570" t="s">
        <v>590</v>
      </c>
      <c r="H24" s="570" t="s">
        <v>271</v>
      </c>
      <c r="I24" s="570" t="s">
        <v>594</v>
      </c>
      <c r="J24" s="570" t="s">
        <v>592</v>
      </c>
      <c r="K24" s="570" t="s">
        <v>595</v>
      </c>
      <c r="L24" s="573">
        <v>49.04</v>
      </c>
      <c r="M24" s="573">
        <v>98.08</v>
      </c>
      <c r="N24" s="570">
        <v>2</v>
      </c>
      <c r="O24" s="574">
        <v>1</v>
      </c>
      <c r="P24" s="573">
        <v>98.08</v>
      </c>
      <c r="Q24" s="575">
        <v>1</v>
      </c>
      <c r="R24" s="570">
        <v>2</v>
      </c>
      <c r="S24" s="575">
        <v>1</v>
      </c>
      <c r="T24" s="574">
        <v>1</v>
      </c>
      <c r="U24" s="576">
        <v>1</v>
      </c>
    </row>
    <row r="25" spans="1:21" ht="14.45" customHeight="1" x14ac:dyDescent="0.2">
      <c r="A25" s="569">
        <v>28</v>
      </c>
      <c r="B25" s="570" t="s">
        <v>521</v>
      </c>
      <c r="C25" s="570" t="s">
        <v>524</v>
      </c>
      <c r="D25" s="571" t="s">
        <v>724</v>
      </c>
      <c r="E25" s="572" t="s">
        <v>535</v>
      </c>
      <c r="F25" s="570" t="s">
        <v>522</v>
      </c>
      <c r="G25" s="570" t="s">
        <v>590</v>
      </c>
      <c r="H25" s="570" t="s">
        <v>271</v>
      </c>
      <c r="I25" s="570" t="s">
        <v>596</v>
      </c>
      <c r="J25" s="570" t="s">
        <v>592</v>
      </c>
      <c r="K25" s="570" t="s">
        <v>593</v>
      </c>
      <c r="L25" s="573">
        <v>49.04</v>
      </c>
      <c r="M25" s="573">
        <v>98.08</v>
      </c>
      <c r="N25" s="570">
        <v>2</v>
      </c>
      <c r="O25" s="574">
        <v>0.5</v>
      </c>
      <c r="P25" s="573">
        <v>98.08</v>
      </c>
      <c r="Q25" s="575">
        <v>1</v>
      </c>
      <c r="R25" s="570">
        <v>2</v>
      </c>
      <c r="S25" s="575">
        <v>1</v>
      </c>
      <c r="T25" s="574">
        <v>0.5</v>
      </c>
      <c r="U25" s="576">
        <v>1</v>
      </c>
    </row>
    <row r="26" spans="1:21" ht="14.45" customHeight="1" x14ac:dyDescent="0.2">
      <c r="A26" s="569">
        <v>28</v>
      </c>
      <c r="B26" s="570" t="s">
        <v>521</v>
      </c>
      <c r="C26" s="570" t="s">
        <v>524</v>
      </c>
      <c r="D26" s="571" t="s">
        <v>724</v>
      </c>
      <c r="E26" s="572" t="s">
        <v>535</v>
      </c>
      <c r="F26" s="570" t="s">
        <v>522</v>
      </c>
      <c r="G26" s="570" t="s">
        <v>597</v>
      </c>
      <c r="H26" s="570" t="s">
        <v>271</v>
      </c>
      <c r="I26" s="570" t="s">
        <v>598</v>
      </c>
      <c r="J26" s="570" t="s">
        <v>599</v>
      </c>
      <c r="K26" s="570" t="s">
        <v>600</v>
      </c>
      <c r="L26" s="573">
        <v>35.25</v>
      </c>
      <c r="M26" s="573">
        <v>35.25</v>
      </c>
      <c r="N26" s="570">
        <v>1</v>
      </c>
      <c r="O26" s="574">
        <v>0.5</v>
      </c>
      <c r="P26" s="573">
        <v>35.25</v>
      </c>
      <c r="Q26" s="575">
        <v>1</v>
      </c>
      <c r="R26" s="570">
        <v>1</v>
      </c>
      <c r="S26" s="575">
        <v>1</v>
      </c>
      <c r="T26" s="574">
        <v>0.5</v>
      </c>
      <c r="U26" s="576">
        <v>1</v>
      </c>
    </row>
    <row r="27" spans="1:21" ht="14.45" customHeight="1" x14ac:dyDescent="0.2">
      <c r="A27" s="569">
        <v>28</v>
      </c>
      <c r="B27" s="570" t="s">
        <v>521</v>
      </c>
      <c r="C27" s="570" t="s">
        <v>524</v>
      </c>
      <c r="D27" s="571" t="s">
        <v>724</v>
      </c>
      <c r="E27" s="572" t="s">
        <v>535</v>
      </c>
      <c r="F27" s="570" t="s">
        <v>522</v>
      </c>
      <c r="G27" s="570" t="s">
        <v>597</v>
      </c>
      <c r="H27" s="570" t="s">
        <v>271</v>
      </c>
      <c r="I27" s="570" t="s">
        <v>601</v>
      </c>
      <c r="J27" s="570" t="s">
        <v>602</v>
      </c>
      <c r="K27" s="570" t="s">
        <v>600</v>
      </c>
      <c r="L27" s="573">
        <v>35.25</v>
      </c>
      <c r="M27" s="573">
        <v>35.25</v>
      </c>
      <c r="N27" s="570">
        <v>1</v>
      </c>
      <c r="O27" s="574">
        <v>1</v>
      </c>
      <c r="P27" s="573">
        <v>35.25</v>
      </c>
      <c r="Q27" s="575">
        <v>1</v>
      </c>
      <c r="R27" s="570">
        <v>1</v>
      </c>
      <c r="S27" s="575">
        <v>1</v>
      </c>
      <c r="T27" s="574">
        <v>1</v>
      </c>
      <c r="U27" s="576">
        <v>1</v>
      </c>
    </row>
    <row r="28" spans="1:21" ht="14.45" customHeight="1" x14ac:dyDescent="0.2">
      <c r="A28" s="569">
        <v>28</v>
      </c>
      <c r="B28" s="570" t="s">
        <v>521</v>
      </c>
      <c r="C28" s="570" t="s">
        <v>524</v>
      </c>
      <c r="D28" s="571" t="s">
        <v>724</v>
      </c>
      <c r="E28" s="572" t="s">
        <v>535</v>
      </c>
      <c r="F28" s="570" t="s">
        <v>522</v>
      </c>
      <c r="G28" s="570" t="s">
        <v>603</v>
      </c>
      <c r="H28" s="570" t="s">
        <v>271</v>
      </c>
      <c r="I28" s="570" t="s">
        <v>604</v>
      </c>
      <c r="J28" s="570" t="s">
        <v>605</v>
      </c>
      <c r="K28" s="570" t="s">
        <v>606</v>
      </c>
      <c r="L28" s="573">
        <v>42.14</v>
      </c>
      <c r="M28" s="573">
        <v>84.28</v>
      </c>
      <c r="N28" s="570">
        <v>2</v>
      </c>
      <c r="O28" s="574">
        <v>2</v>
      </c>
      <c r="P28" s="573">
        <v>84.28</v>
      </c>
      <c r="Q28" s="575">
        <v>1</v>
      </c>
      <c r="R28" s="570">
        <v>2</v>
      </c>
      <c r="S28" s="575">
        <v>1</v>
      </c>
      <c r="T28" s="574">
        <v>2</v>
      </c>
      <c r="U28" s="576">
        <v>1</v>
      </c>
    </row>
    <row r="29" spans="1:21" ht="14.45" customHeight="1" x14ac:dyDescent="0.2">
      <c r="A29" s="569">
        <v>28</v>
      </c>
      <c r="B29" s="570" t="s">
        <v>521</v>
      </c>
      <c r="C29" s="570" t="s">
        <v>524</v>
      </c>
      <c r="D29" s="571" t="s">
        <v>724</v>
      </c>
      <c r="E29" s="572" t="s">
        <v>535</v>
      </c>
      <c r="F29" s="570" t="s">
        <v>522</v>
      </c>
      <c r="G29" s="570" t="s">
        <v>607</v>
      </c>
      <c r="H29" s="570" t="s">
        <v>271</v>
      </c>
      <c r="I29" s="570" t="s">
        <v>608</v>
      </c>
      <c r="J29" s="570" t="s">
        <v>609</v>
      </c>
      <c r="K29" s="570" t="s">
        <v>610</v>
      </c>
      <c r="L29" s="573">
        <v>111.72</v>
      </c>
      <c r="M29" s="573">
        <v>111.72</v>
      </c>
      <c r="N29" s="570">
        <v>1</v>
      </c>
      <c r="O29" s="574">
        <v>1</v>
      </c>
      <c r="P29" s="573"/>
      <c r="Q29" s="575">
        <v>0</v>
      </c>
      <c r="R29" s="570"/>
      <c r="S29" s="575">
        <v>0</v>
      </c>
      <c r="T29" s="574"/>
      <c r="U29" s="576">
        <v>0</v>
      </c>
    </row>
    <row r="30" spans="1:21" ht="14.45" customHeight="1" x14ac:dyDescent="0.2">
      <c r="A30" s="569">
        <v>28</v>
      </c>
      <c r="B30" s="570" t="s">
        <v>521</v>
      </c>
      <c r="C30" s="570" t="s">
        <v>524</v>
      </c>
      <c r="D30" s="571" t="s">
        <v>724</v>
      </c>
      <c r="E30" s="572" t="s">
        <v>535</v>
      </c>
      <c r="F30" s="570" t="s">
        <v>522</v>
      </c>
      <c r="G30" s="570" t="s">
        <v>611</v>
      </c>
      <c r="H30" s="570" t="s">
        <v>271</v>
      </c>
      <c r="I30" s="570" t="s">
        <v>612</v>
      </c>
      <c r="J30" s="570" t="s">
        <v>613</v>
      </c>
      <c r="K30" s="570" t="s">
        <v>614</v>
      </c>
      <c r="L30" s="573">
        <v>31.65</v>
      </c>
      <c r="M30" s="573">
        <v>31.65</v>
      </c>
      <c r="N30" s="570">
        <v>1</v>
      </c>
      <c r="O30" s="574">
        <v>1</v>
      </c>
      <c r="P30" s="573">
        <v>31.65</v>
      </c>
      <c r="Q30" s="575">
        <v>1</v>
      </c>
      <c r="R30" s="570">
        <v>1</v>
      </c>
      <c r="S30" s="575">
        <v>1</v>
      </c>
      <c r="T30" s="574">
        <v>1</v>
      </c>
      <c r="U30" s="576">
        <v>1</v>
      </c>
    </row>
    <row r="31" spans="1:21" ht="14.45" customHeight="1" x14ac:dyDescent="0.2">
      <c r="A31" s="569">
        <v>28</v>
      </c>
      <c r="B31" s="570" t="s">
        <v>521</v>
      </c>
      <c r="C31" s="570" t="s">
        <v>524</v>
      </c>
      <c r="D31" s="571" t="s">
        <v>724</v>
      </c>
      <c r="E31" s="572" t="s">
        <v>535</v>
      </c>
      <c r="F31" s="570" t="s">
        <v>522</v>
      </c>
      <c r="G31" s="570" t="s">
        <v>611</v>
      </c>
      <c r="H31" s="570" t="s">
        <v>271</v>
      </c>
      <c r="I31" s="570" t="s">
        <v>615</v>
      </c>
      <c r="J31" s="570" t="s">
        <v>613</v>
      </c>
      <c r="K31" s="570" t="s">
        <v>616</v>
      </c>
      <c r="L31" s="573">
        <v>31.65</v>
      </c>
      <c r="M31" s="573">
        <v>31.65</v>
      </c>
      <c r="N31" s="570">
        <v>1</v>
      </c>
      <c r="O31" s="574">
        <v>0.5</v>
      </c>
      <c r="P31" s="573">
        <v>31.65</v>
      </c>
      <c r="Q31" s="575">
        <v>1</v>
      </c>
      <c r="R31" s="570">
        <v>1</v>
      </c>
      <c r="S31" s="575">
        <v>1</v>
      </c>
      <c r="T31" s="574">
        <v>0.5</v>
      </c>
      <c r="U31" s="576">
        <v>1</v>
      </c>
    </row>
    <row r="32" spans="1:21" ht="14.45" customHeight="1" x14ac:dyDescent="0.2">
      <c r="A32" s="569">
        <v>28</v>
      </c>
      <c r="B32" s="570" t="s">
        <v>521</v>
      </c>
      <c r="C32" s="570" t="s">
        <v>524</v>
      </c>
      <c r="D32" s="571" t="s">
        <v>724</v>
      </c>
      <c r="E32" s="572" t="s">
        <v>535</v>
      </c>
      <c r="F32" s="570" t="s">
        <v>522</v>
      </c>
      <c r="G32" s="570" t="s">
        <v>617</v>
      </c>
      <c r="H32" s="570" t="s">
        <v>725</v>
      </c>
      <c r="I32" s="570" t="s">
        <v>618</v>
      </c>
      <c r="J32" s="570" t="s">
        <v>619</v>
      </c>
      <c r="K32" s="570" t="s">
        <v>620</v>
      </c>
      <c r="L32" s="573">
        <v>73.45</v>
      </c>
      <c r="M32" s="573">
        <v>220.35000000000002</v>
      </c>
      <c r="N32" s="570">
        <v>3</v>
      </c>
      <c r="O32" s="574">
        <v>1.5</v>
      </c>
      <c r="P32" s="573">
        <v>220.35000000000002</v>
      </c>
      <c r="Q32" s="575">
        <v>1</v>
      </c>
      <c r="R32" s="570">
        <v>3</v>
      </c>
      <c r="S32" s="575">
        <v>1</v>
      </c>
      <c r="T32" s="574">
        <v>1.5</v>
      </c>
      <c r="U32" s="576">
        <v>1</v>
      </c>
    </row>
    <row r="33" spans="1:21" ht="14.45" customHeight="1" x14ac:dyDescent="0.2">
      <c r="A33" s="569">
        <v>28</v>
      </c>
      <c r="B33" s="570" t="s">
        <v>521</v>
      </c>
      <c r="C33" s="570" t="s">
        <v>524</v>
      </c>
      <c r="D33" s="571" t="s">
        <v>724</v>
      </c>
      <c r="E33" s="572" t="s">
        <v>535</v>
      </c>
      <c r="F33" s="570" t="s">
        <v>522</v>
      </c>
      <c r="G33" s="570" t="s">
        <v>621</v>
      </c>
      <c r="H33" s="570" t="s">
        <v>725</v>
      </c>
      <c r="I33" s="570" t="s">
        <v>622</v>
      </c>
      <c r="J33" s="570" t="s">
        <v>623</v>
      </c>
      <c r="K33" s="570" t="s">
        <v>624</v>
      </c>
      <c r="L33" s="573">
        <v>141.25</v>
      </c>
      <c r="M33" s="573">
        <v>141.25</v>
      </c>
      <c r="N33" s="570">
        <v>1</v>
      </c>
      <c r="O33" s="574">
        <v>0.5</v>
      </c>
      <c r="P33" s="573">
        <v>141.25</v>
      </c>
      <c r="Q33" s="575">
        <v>1</v>
      </c>
      <c r="R33" s="570">
        <v>1</v>
      </c>
      <c r="S33" s="575">
        <v>1</v>
      </c>
      <c r="T33" s="574">
        <v>0.5</v>
      </c>
      <c r="U33" s="576">
        <v>1</v>
      </c>
    </row>
    <row r="34" spans="1:21" ht="14.45" customHeight="1" x14ac:dyDescent="0.2">
      <c r="A34" s="569">
        <v>28</v>
      </c>
      <c r="B34" s="570" t="s">
        <v>521</v>
      </c>
      <c r="C34" s="570" t="s">
        <v>524</v>
      </c>
      <c r="D34" s="571" t="s">
        <v>724</v>
      </c>
      <c r="E34" s="572" t="s">
        <v>535</v>
      </c>
      <c r="F34" s="570" t="s">
        <v>522</v>
      </c>
      <c r="G34" s="570" t="s">
        <v>621</v>
      </c>
      <c r="H34" s="570" t="s">
        <v>271</v>
      </c>
      <c r="I34" s="570" t="s">
        <v>625</v>
      </c>
      <c r="J34" s="570" t="s">
        <v>626</v>
      </c>
      <c r="K34" s="570" t="s">
        <v>627</v>
      </c>
      <c r="L34" s="573">
        <v>46.03</v>
      </c>
      <c r="M34" s="573">
        <v>46.03</v>
      </c>
      <c r="N34" s="570">
        <v>1</v>
      </c>
      <c r="O34" s="574">
        <v>1</v>
      </c>
      <c r="P34" s="573">
        <v>46.03</v>
      </c>
      <c r="Q34" s="575">
        <v>1</v>
      </c>
      <c r="R34" s="570">
        <v>1</v>
      </c>
      <c r="S34" s="575">
        <v>1</v>
      </c>
      <c r="T34" s="574">
        <v>1</v>
      </c>
      <c r="U34" s="576">
        <v>1</v>
      </c>
    </row>
    <row r="35" spans="1:21" ht="14.45" customHeight="1" x14ac:dyDescent="0.2">
      <c r="A35" s="569">
        <v>28</v>
      </c>
      <c r="B35" s="570" t="s">
        <v>521</v>
      </c>
      <c r="C35" s="570" t="s">
        <v>524</v>
      </c>
      <c r="D35" s="571" t="s">
        <v>724</v>
      </c>
      <c r="E35" s="572" t="s">
        <v>535</v>
      </c>
      <c r="F35" s="570" t="s">
        <v>522</v>
      </c>
      <c r="G35" s="570" t="s">
        <v>628</v>
      </c>
      <c r="H35" s="570" t="s">
        <v>271</v>
      </c>
      <c r="I35" s="570" t="s">
        <v>629</v>
      </c>
      <c r="J35" s="570" t="s">
        <v>630</v>
      </c>
      <c r="K35" s="570" t="s">
        <v>631</v>
      </c>
      <c r="L35" s="573">
        <v>87.67</v>
      </c>
      <c r="M35" s="573">
        <v>350.68</v>
      </c>
      <c r="N35" s="570">
        <v>4</v>
      </c>
      <c r="O35" s="574">
        <v>1.5</v>
      </c>
      <c r="P35" s="573">
        <v>350.68</v>
      </c>
      <c r="Q35" s="575">
        <v>1</v>
      </c>
      <c r="R35" s="570">
        <v>4</v>
      </c>
      <c r="S35" s="575">
        <v>1</v>
      </c>
      <c r="T35" s="574">
        <v>1.5</v>
      </c>
      <c r="U35" s="576">
        <v>1</v>
      </c>
    </row>
    <row r="36" spans="1:21" ht="14.45" customHeight="1" x14ac:dyDescent="0.2">
      <c r="A36" s="569">
        <v>28</v>
      </c>
      <c r="B36" s="570" t="s">
        <v>521</v>
      </c>
      <c r="C36" s="570" t="s">
        <v>524</v>
      </c>
      <c r="D36" s="571" t="s">
        <v>724</v>
      </c>
      <c r="E36" s="572" t="s">
        <v>535</v>
      </c>
      <c r="F36" s="570" t="s">
        <v>522</v>
      </c>
      <c r="G36" s="570" t="s">
        <v>632</v>
      </c>
      <c r="H36" s="570" t="s">
        <v>271</v>
      </c>
      <c r="I36" s="570" t="s">
        <v>633</v>
      </c>
      <c r="J36" s="570" t="s">
        <v>634</v>
      </c>
      <c r="K36" s="570" t="s">
        <v>635</v>
      </c>
      <c r="L36" s="573">
        <v>51.06</v>
      </c>
      <c r="M36" s="573">
        <v>51.06</v>
      </c>
      <c r="N36" s="570">
        <v>1</v>
      </c>
      <c r="O36" s="574">
        <v>0.5</v>
      </c>
      <c r="P36" s="573">
        <v>51.06</v>
      </c>
      <c r="Q36" s="575">
        <v>1</v>
      </c>
      <c r="R36" s="570">
        <v>1</v>
      </c>
      <c r="S36" s="575">
        <v>1</v>
      </c>
      <c r="T36" s="574">
        <v>0.5</v>
      </c>
      <c r="U36" s="576">
        <v>1</v>
      </c>
    </row>
    <row r="37" spans="1:21" ht="14.45" customHeight="1" x14ac:dyDescent="0.2">
      <c r="A37" s="569">
        <v>28</v>
      </c>
      <c r="B37" s="570" t="s">
        <v>521</v>
      </c>
      <c r="C37" s="570" t="s">
        <v>524</v>
      </c>
      <c r="D37" s="571" t="s">
        <v>724</v>
      </c>
      <c r="E37" s="572" t="s">
        <v>535</v>
      </c>
      <c r="F37" s="570" t="s">
        <v>522</v>
      </c>
      <c r="G37" s="570" t="s">
        <v>636</v>
      </c>
      <c r="H37" s="570" t="s">
        <v>271</v>
      </c>
      <c r="I37" s="570" t="s">
        <v>637</v>
      </c>
      <c r="J37" s="570" t="s">
        <v>638</v>
      </c>
      <c r="K37" s="570" t="s">
        <v>639</v>
      </c>
      <c r="L37" s="573">
        <v>0</v>
      </c>
      <c r="M37" s="573">
        <v>0</v>
      </c>
      <c r="N37" s="570">
        <v>4</v>
      </c>
      <c r="O37" s="574">
        <v>3.5</v>
      </c>
      <c r="P37" s="573">
        <v>0</v>
      </c>
      <c r="Q37" s="575"/>
      <c r="R37" s="570">
        <v>4</v>
      </c>
      <c r="S37" s="575">
        <v>1</v>
      </c>
      <c r="T37" s="574">
        <v>3.5</v>
      </c>
      <c r="U37" s="576">
        <v>1</v>
      </c>
    </row>
    <row r="38" spans="1:21" ht="14.45" customHeight="1" x14ac:dyDescent="0.2">
      <c r="A38" s="569">
        <v>28</v>
      </c>
      <c r="B38" s="570" t="s">
        <v>521</v>
      </c>
      <c r="C38" s="570" t="s">
        <v>524</v>
      </c>
      <c r="D38" s="571" t="s">
        <v>724</v>
      </c>
      <c r="E38" s="572" t="s">
        <v>535</v>
      </c>
      <c r="F38" s="570" t="s">
        <v>522</v>
      </c>
      <c r="G38" s="570" t="s">
        <v>640</v>
      </c>
      <c r="H38" s="570" t="s">
        <v>271</v>
      </c>
      <c r="I38" s="570" t="s">
        <v>641</v>
      </c>
      <c r="J38" s="570" t="s">
        <v>642</v>
      </c>
      <c r="K38" s="570" t="s">
        <v>643</v>
      </c>
      <c r="L38" s="573">
        <v>121.92</v>
      </c>
      <c r="M38" s="573">
        <v>4145.28</v>
      </c>
      <c r="N38" s="570">
        <v>34</v>
      </c>
      <c r="O38" s="574">
        <v>7.5</v>
      </c>
      <c r="P38" s="573">
        <v>4145.28</v>
      </c>
      <c r="Q38" s="575">
        <v>1</v>
      </c>
      <c r="R38" s="570">
        <v>34</v>
      </c>
      <c r="S38" s="575">
        <v>1</v>
      </c>
      <c r="T38" s="574">
        <v>7.5</v>
      </c>
      <c r="U38" s="576">
        <v>1</v>
      </c>
    </row>
    <row r="39" spans="1:21" ht="14.45" customHeight="1" x14ac:dyDescent="0.2">
      <c r="A39" s="569">
        <v>28</v>
      </c>
      <c r="B39" s="570" t="s">
        <v>521</v>
      </c>
      <c r="C39" s="570" t="s">
        <v>524</v>
      </c>
      <c r="D39" s="571" t="s">
        <v>724</v>
      </c>
      <c r="E39" s="572" t="s">
        <v>535</v>
      </c>
      <c r="F39" s="570" t="s">
        <v>522</v>
      </c>
      <c r="G39" s="570" t="s">
        <v>640</v>
      </c>
      <c r="H39" s="570" t="s">
        <v>271</v>
      </c>
      <c r="I39" s="570" t="s">
        <v>641</v>
      </c>
      <c r="J39" s="570" t="s">
        <v>642</v>
      </c>
      <c r="K39" s="570" t="s">
        <v>643</v>
      </c>
      <c r="L39" s="573">
        <v>107.27</v>
      </c>
      <c r="M39" s="573">
        <v>214.54</v>
      </c>
      <c r="N39" s="570">
        <v>2</v>
      </c>
      <c r="O39" s="574">
        <v>1</v>
      </c>
      <c r="P39" s="573">
        <v>214.54</v>
      </c>
      <c r="Q39" s="575">
        <v>1</v>
      </c>
      <c r="R39" s="570">
        <v>2</v>
      </c>
      <c r="S39" s="575">
        <v>1</v>
      </c>
      <c r="T39" s="574">
        <v>1</v>
      </c>
      <c r="U39" s="576">
        <v>1</v>
      </c>
    </row>
    <row r="40" spans="1:21" ht="14.45" customHeight="1" x14ac:dyDescent="0.2">
      <c r="A40" s="569">
        <v>28</v>
      </c>
      <c r="B40" s="570" t="s">
        <v>521</v>
      </c>
      <c r="C40" s="570" t="s">
        <v>524</v>
      </c>
      <c r="D40" s="571" t="s">
        <v>724</v>
      </c>
      <c r="E40" s="572" t="s">
        <v>530</v>
      </c>
      <c r="F40" s="570" t="s">
        <v>522</v>
      </c>
      <c r="G40" s="570" t="s">
        <v>590</v>
      </c>
      <c r="H40" s="570" t="s">
        <v>271</v>
      </c>
      <c r="I40" s="570" t="s">
        <v>591</v>
      </c>
      <c r="J40" s="570" t="s">
        <v>592</v>
      </c>
      <c r="K40" s="570" t="s">
        <v>593</v>
      </c>
      <c r="L40" s="573">
        <v>94.7</v>
      </c>
      <c r="M40" s="573">
        <v>94.7</v>
      </c>
      <c r="N40" s="570">
        <v>1</v>
      </c>
      <c r="O40" s="574">
        <v>1</v>
      </c>
      <c r="P40" s="573">
        <v>94.7</v>
      </c>
      <c r="Q40" s="575">
        <v>1</v>
      </c>
      <c r="R40" s="570">
        <v>1</v>
      </c>
      <c r="S40" s="575">
        <v>1</v>
      </c>
      <c r="T40" s="574">
        <v>1</v>
      </c>
      <c r="U40" s="576">
        <v>1</v>
      </c>
    </row>
    <row r="41" spans="1:21" ht="14.45" customHeight="1" x14ac:dyDescent="0.2">
      <c r="A41" s="569">
        <v>28</v>
      </c>
      <c r="B41" s="570" t="s">
        <v>521</v>
      </c>
      <c r="C41" s="570" t="s">
        <v>524</v>
      </c>
      <c r="D41" s="571" t="s">
        <v>724</v>
      </c>
      <c r="E41" s="572" t="s">
        <v>530</v>
      </c>
      <c r="F41" s="570" t="s">
        <v>522</v>
      </c>
      <c r="G41" s="570" t="s">
        <v>644</v>
      </c>
      <c r="H41" s="570" t="s">
        <v>271</v>
      </c>
      <c r="I41" s="570" t="s">
        <v>645</v>
      </c>
      <c r="J41" s="570" t="s">
        <v>646</v>
      </c>
      <c r="K41" s="570" t="s">
        <v>647</v>
      </c>
      <c r="L41" s="573">
        <v>132.97999999999999</v>
      </c>
      <c r="M41" s="573">
        <v>132.97999999999999</v>
      </c>
      <c r="N41" s="570">
        <v>1</v>
      </c>
      <c r="O41" s="574">
        <v>1</v>
      </c>
      <c r="P41" s="573">
        <v>132.97999999999999</v>
      </c>
      <c r="Q41" s="575">
        <v>1</v>
      </c>
      <c r="R41" s="570">
        <v>1</v>
      </c>
      <c r="S41" s="575">
        <v>1</v>
      </c>
      <c r="T41" s="574">
        <v>1</v>
      </c>
      <c r="U41" s="576">
        <v>1</v>
      </c>
    </row>
    <row r="42" spans="1:21" ht="14.45" customHeight="1" x14ac:dyDescent="0.2">
      <c r="A42" s="569">
        <v>28</v>
      </c>
      <c r="B42" s="570" t="s">
        <v>521</v>
      </c>
      <c r="C42" s="570" t="s">
        <v>524</v>
      </c>
      <c r="D42" s="571" t="s">
        <v>724</v>
      </c>
      <c r="E42" s="572" t="s">
        <v>530</v>
      </c>
      <c r="F42" s="570" t="s">
        <v>522</v>
      </c>
      <c r="G42" s="570" t="s">
        <v>648</v>
      </c>
      <c r="H42" s="570" t="s">
        <v>271</v>
      </c>
      <c r="I42" s="570" t="s">
        <v>649</v>
      </c>
      <c r="J42" s="570" t="s">
        <v>650</v>
      </c>
      <c r="K42" s="570" t="s">
        <v>651</v>
      </c>
      <c r="L42" s="573">
        <v>79.099999999999994</v>
      </c>
      <c r="M42" s="573">
        <v>158.19999999999999</v>
      </c>
      <c r="N42" s="570">
        <v>2</v>
      </c>
      <c r="O42" s="574">
        <v>1</v>
      </c>
      <c r="P42" s="573"/>
      <c r="Q42" s="575">
        <v>0</v>
      </c>
      <c r="R42" s="570"/>
      <c r="S42" s="575">
        <v>0</v>
      </c>
      <c r="T42" s="574"/>
      <c r="U42" s="576">
        <v>0</v>
      </c>
    </row>
    <row r="43" spans="1:21" ht="14.45" customHeight="1" x14ac:dyDescent="0.2">
      <c r="A43" s="569">
        <v>28</v>
      </c>
      <c r="B43" s="570" t="s">
        <v>521</v>
      </c>
      <c r="C43" s="570" t="s">
        <v>524</v>
      </c>
      <c r="D43" s="571" t="s">
        <v>724</v>
      </c>
      <c r="E43" s="572" t="s">
        <v>530</v>
      </c>
      <c r="F43" s="570" t="s">
        <v>522</v>
      </c>
      <c r="G43" s="570" t="s">
        <v>652</v>
      </c>
      <c r="H43" s="570" t="s">
        <v>725</v>
      </c>
      <c r="I43" s="570" t="s">
        <v>653</v>
      </c>
      <c r="J43" s="570" t="s">
        <v>654</v>
      </c>
      <c r="K43" s="570" t="s">
        <v>655</v>
      </c>
      <c r="L43" s="573">
        <v>0</v>
      </c>
      <c r="M43" s="573">
        <v>0</v>
      </c>
      <c r="N43" s="570">
        <v>1</v>
      </c>
      <c r="O43" s="574">
        <v>1</v>
      </c>
      <c r="P43" s="573">
        <v>0</v>
      </c>
      <c r="Q43" s="575"/>
      <c r="R43" s="570">
        <v>1</v>
      </c>
      <c r="S43" s="575">
        <v>1</v>
      </c>
      <c r="T43" s="574">
        <v>1</v>
      </c>
      <c r="U43" s="576">
        <v>1</v>
      </c>
    </row>
    <row r="44" spans="1:21" ht="14.45" customHeight="1" x14ac:dyDescent="0.2">
      <c r="A44" s="569">
        <v>28</v>
      </c>
      <c r="B44" s="570" t="s">
        <v>521</v>
      </c>
      <c r="C44" s="570" t="s">
        <v>524</v>
      </c>
      <c r="D44" s="571" t="s">
        <v>724</v>
      </c>
      <c r="E44" s="572" t="s">
        <v>534</v>
      </c>
      <c r="F44" s="570" t="s">
        <v>522</v>
      </c>
      <c r="G44" s="570" t="s">
        <v>656</v>
      </c>
      <c r="H44" s="570" t="s">
        <v>271</v>
      </c>
      <c r="I44" s="570" t="s">
        <v>657</v>
      </c>
      <c r="J44" s="570" t="s">
        <v>658</v>
      </c>
      <c r="K44" s="570" t="s">
        <v>659</v>
      </c>
      <c r="L44" s="573">
        <v>68.81</v>
      </c>
      <c r="M44" s="573">
        <v>68.81</v>
      </c>
      <c r="N44" s="570">
        <v>1</v>
      </c>
      <c r="O44" s="574">
        <v>1</v>
      </c>
      <c r="P44" s="573"/>
      <c r="Q44" s="575">
        <v>0</v>
      </c>
      <c r="R44" s="570"/>
      <c r="S44" s="575">
        <v>0</v>
      </c>
      <c r="T44" s="574"/>
      <c r="U44" s="576">
        <v>0</v>
      </c>
    </row>
    <row r="45" spans="1:21" ht="14.45" customHeight="1" x14ac:dyDescent="0.2">
      <c r="A45" s="569">
        <v>28</v>
      </c>
      <c r="B45" s="570" t="s">
        <v>521</v>
      </c>
      <c r="C45" s="570" t="s">
        <v>524</v>
      </c>
      <c r="D45" s="571" t="s">
        <v>724</v>
      </c>
      <c r="E45" s="572" t="s">
        <v>534</v>
      </c>
      <c r="F45" s="570" t="s">
        <v>522</v>
      </c>
      <c r="G45" s="570" t="s">
        <v>590</v>
      </c>
      <c r="H45" s="570" t="s">
        <v>271</v>
      </c>
      <c r="I45" s="570" t="s">
        <v>591</v>
      </c>
      <c r="J45" s="570" t="s">
        <v>592</v>
      </c>
      <c r="K45" s="570" t="s">
        <v>593</v>
      </c>
      <c r="L45" s="573">
        <v>94.7</v>
      </c>
      <c r="M45" s="573">
        <v>94.7</v>
      </c>
      <c r="N45" s="570">
        <v>1</v>
      </c>
      <c r="O45" s="574">
        <v>1</v>
      </c>
      <c r="P45" s="573">
        <v>94.7</v>
      </c>
      <c r="Q45" s="575">
        <v>1</v>
      </c>
      <c r="R45" s="570">
        <v>1</v>
      </c>
      <c r="S45" s="575">
        <v>1</v>
      </c>
      <c r="T45" s="574">
        <v>1</v>
      </c>
      <c r="U45" s="576">
        <v>1</v>
      </c>
    </row>
    <row r="46" spans="1:21" ht="14.45" customHeight="1" x14ac:dyDescent="0.2">
      <c r="A46" s="569">
        <v>28</v>
      </c>
      <c r="B46" s="570" t="s">
        <v>521</v>
      </c>
      <c r="C46" s="570" t="s">
        <v>524</v>
      </c>
      <c r="D46" s="571" t="s">
        <v>724</v>
      </c>
      <c r="E46" s="572" t="s">
        <v>534</v>
      </c>
      <c r="F46" s="570" t="s">
        <v>522</v>
      </c>
      <c r="G46" s="570" t="s">
        <v>603</v>
      </c>
      <c r="H46" s="570" t="s">
        <v>271</v>
      </c>
      <c r="I46" s="570" t="s">
        <v>660</v>
      </c>
      <c r="J46" s="570" t="s">
        <v>661</v>
      </c>
      <c r="K46" s="570" t="s">
        <v>662</v>
      </c>
      <c r="L46" s="573">
        <v>89.91</v>
      </c>
      <c r="M46" s="573">
        <v>179.82</v>
      </c>
      <c r="N46" s="570">
        <v>2</v>
      </c>
      <c r="O46" s="574">
        <v>1.5</v>
      </c>
      <c r="P46" s="573">
        <v>89.91</v>
      </c>
      <c r="Q46" s="575">
        <v>0.5</v>
      </c>
      <c r="R46" s="570">
        <v>1</v>
      </c>
      <c r="S46" s="575">
        <v>0.5</v>
      </c>
      <c r="T46" s="574">
        <v>1</v>
      </c>
      <c r="U46" s="576">
        <v>0.66666666666666663</v>
      </c>
    </row>
    <row r="47" spans="1:21" ht="14.45" customHeight="1" x14ac:dyDescent="0.2">
      <c r="A47" s="569">
        <v>28</v>
      </c>
      <c r="B47" s="570" t="s">
        <v>521</v>
      </c>
      <c r="C47" s="570" t="s">
        <v>524</v>
      </c>
      <c r="D47" s="571" t="s">
        <v>724</v>
      </c>
      <c r="E47" s="572" t="s">
        <v>534</v>
      </c>
      <c r="F47" s="570" t="s">
        <v>522</v>
      </c>
      <c r="G47" s="570" t="s">
        <v>663</v>
      </c>
      <c r="H47" s="570" t="s">
        <v>725</v>
      </c>
      <c r="I47" s="570" t="s">
        <v>664</v>
      </c>
      <c r="J47" s="570" t="s">
        <v>665</v>
      </c>
      <c r="K47" s="570" t="s">
        <v>666</v>
      </c>
      <c r="L47" s="573">
        <v>63.75</v>
      </c>
      <c r="M47" s="573">
        <v>127.5</v>
      </c>
      <c r="N47" s="570">
        <v>2</v>
      </c>
      <c r="O47" s="574">
        <v>1</v>
      </c>
      <c r="P47" s="573">
        <v>127.5</v>
      </c>
      <c r="Q47" s="575">
        <v>1</v>
      </c>
      <c r="R47" s="570">
        <v>2</v>
      </c>
      <c r="S47" s="575">
        <v>1</v>
      </c>
      <c r="T47" s="574">
        <v>1</v>
      </c>
      <c r="U47" s="576">
        <v>1</v>
      </c>
    </row>
    <row r="48" spans="1:21" ht="14.45" customHeight="1" x14ac:dyDescent="0.2">
      <c r="A48" s="569">
        <v>28</v>
      </c>
      <c r="B48" s="570" t="s">
        <v>521</v>
      </c>
      <c r="C48" s="570" t="s">
        <v>524</v>
      </c>
      <c r="D48" s="571" t="s">
        <v>724</v>
      </c>
      <c r="E48" s="572" t="s">
        <v>534</v>
      </c>
      <c r="F48" s="570" t="s">
        <v>522</v>
      </c>
      <c r="G48" s="570" t="s">
        <v>667</v>
      </c>
      <c r="H48" s="570" t="s">
        <v>725</v>
      </c>
      <c r="I48" s="570" t="s">
        <v>668</v>
      </c>
      <c r="J48" s="570" t="s">
        <v>669</v>
      </c>
      <c r="K48" s="570" t="s">
        <v>670</v>
      </c>
      <c r="L48" s="573">
        <v>154.36000000000001</v>
      </c>
      <c r="M48" s="573">
        <v>463.08000000000004</v>
      </c>
      <c r="N48" s="570">
        <v>3</v>
      </c>
      <c r="O48" s="574">
        <v>2.5</v>
      </c>
      <c r="P48" s="573">
        <v>154.36000000000001</v>
      </c>
      <c r="Q48" s="575">
        <v>0.33333333333333331</v>
      </c>
      <c r="R48" s="570">
        <v>1</v>
      </c>
      <c r="S48" s="575">
        <v>0.33333333333333331</v>
      </c>
      <c r="T48" s="574">
        <v>1</v>
      </c>
      <c r="U48" s="576">
        <v>0.4</v>
      </c>
    </row>
    <row r="49" spans="1:21" ht="14.45" customHeight="1" x14ac:dyDescent="0.2">
      <c r="A49" s="569">
        <v>28</v>
      </c>
      <c r="B49" s="570" t="s">
        <v>521</v>
      </c>
      <c r="C49" s="570" t="s">
        <v>524</v>
      </c>
      <c r="D49" s="571" t="s">
        <v>724</v>
      </c>
      <c r="E49" s="572" t="s">
        <v>534</v>
      </c>
      <c r="F49" s="570" t="s">
        <v>523</v>
      </c>
      <c r="G49" s="570" t="s">
        <v>671</v>
      </c>
      <c r="H49" s="570" t="s">
        <v>271</v>
      </c>
      <c r="I49" s="570" t="s">
        <v>672</v>
      </c>
      <c r="J49" s="570" t="s">
        <v>673</v>
      </c>
      <c r="K49" s="570"/>
      <c r="L49" s="573">
        <v>0</v>
      </c>
      <c r="M49" s="573">
        <v>0</v>
      </c>
      <c r="N49" s="570">
        <v>1</v>
      </c>
      <c r="O49" s="574">
        <v>1</v>
      </c>
      <c r="P49" s="573">
        <v>0</v>
      </c>
      <c r="Q49" s="575"/>
      <c r="R49" s="570">
        <v>1</v>
      </c>
      <c r="S49" s="575">
        <v>1</v>
      </c>
      <c r="T49" s="574">
        <v>1</v>
      </c>
      <c r="U49" s="576">
        <v>1</v>
      </c>
    </row>
    <row r="50" spans="1:21" ht="14.45" customHeight="1" x14ac:dyDescent="0.2">
      <c r="A50" s="569">
        <v>28</v>
      </c>
      <c r="B50" s="570" t="s">
        <v>521</v>
      </c>
      <c r="C50" s="570" t="s">
        <v>524</v>
      </c>
      <c r="D50" s="571" t="s">
        <v>724</v>
      </c>
      <c r="E50" s="572" t="s">
        <v>532</v>
      </c>
      <c r="F50" s="570" t="s">
        <v>522</v>
      </c>
      <c r="G50" s="570" t="s">
        <v>590</v>
      </c>
      <c r="H50" s="570" t="s">
        <v>271</v>
      </c>
      <c r="I50" s="570" t="s">
        <v>674</v>
      </c>
      <c r="J50" s="570" t="s">
        <v>592</v>
      </c>
      <c r="K50" s="570" t="s">
        <v>593</v>
      </c>
      <c r="L50" s="573">
        <v>94.7</v>
      </c>
      <c r="M50" s="573">
        <v>94.7</v>
      </c>
      <c r="N50" s="570">
        <v>1</v>
      </c>
      <c r="O50" s="574">
        <v>1</v>
      </c>
      <c r="P50" s="573"/>
      <c r="Q50" s="575">
        <v>0</v>
      </c>
      <c r="R50" s="570"/>
      <c r="S50" s="575">
        <v>0</v>
      </c>
      <c r="T50" s="574"/>
      <c r="U50" s="576">
        <v>0</v>
      </c>
    </row>
    <row r="51" spans="1:21" ht="14.45" customHeight="1" x14ac:dyDescent="0.2">
      <c r="A51" s="569">
        <v>28</v>
      </c>
      <c r="B51" s="570" t="s">
        <v>521</v>
      </c>
      <c r="C51" s="570" t="s">
        <v>524</v>
      </c>
      <c r="D51" s="571" t="s">
        <v>724</v>
      </c>
      <c r="E51" s="572" t="s">
        <v>532</v>
      </c>
      <c r="F51" s="570" t="s">
        <v>522</v>
      </c>
      <c r="G51" s="570" t="s">
        <v>607</v>
      </c>
      <c r="H51" s="570" t="s">
        <v>271</v>
      </c>
      <c r="I51" s="570" t="s">
        <v>675</v>
      </c>
      <c r="J51" s="570" t="s">
        <v>676</v>
      </c>
      <c r="K51" s="570" t="s">
        <v>677</v>
      </c>
      <c r="L51" s="573">
        <v>83.79</v>
      </c>
      <c r="M51" s="573">
        <v>167.58</v>
      </c>
      <c r="N51" s="570">
        <v>2</v>
      </c>
      <c r="O51" s="574">
        <v>2</v>
      </c>
      <c r="P51" s="573">
        <v>167.58</v>
      </c>
      <c r="Q51" s="575">
        <v>1</v>
      </c>
      <c r="R51" s="570">
        <v>2</v>
      </c>
      <c r="S51" s="575">
        <v>1</v>
      </c>
      <c r="T51" s="574">
        <v>2</v>
      </c>
      <c r="U51" s="576">
        <v>1</v>
      </c>
    </row>
    <row r="52" spans="1:21" ht="14.45" customHeight="1" x14ac:dyDescent="0.2">
      <c r="A52" s="569">
        <v>28</v>
      </c>
      <c r="B52" s="570" t="s">
        <v>521</v>
      </c>
      <c r="C52" s="570" t="s">
        <v>524</v>
      </c>
      <c r="D52" s="571" t="s">
        <v>724</v>
      </c>
      <c r="E52" s="572" t="s">
        <v>532</v>
      </c>
      <c r="F52" s="570" t="s">
        <v>522</v>
      </c>
      <c r="G52" s="570" t="s">
        <v>678</v>
      </c>
      <c r="H52" s="570" t="s">
        <v>271</v>
      </c>
      <c r="I52" s="570" t="s">
        <v>679</v>
      </c>
      <c r="J52" s="570" t="s">
        <v>680</v>
      </c>
      <c r="K52" s="570" t="s">
        <v>681</v>
      </c>
      <c r="L52" s="573">
        <v>61.97</v>
      </c>
      <c r="M52" s="573">
        <v>61.97</v>
      </c>
      <c r="N52" s="570">
        <v>1</v>
      </c>
      <c r="O52" s="574">
        <v>1</v>
      </c>
      <c r="P52" s="573"/>
      <c r="Q52" s="575">
        <v>0</v>
      </c>
      <c r="R52" s="570"/>
      <c r="S52" s="575">
        <v>0</v>
      </c>
      <c r="T52" s="574"/>
      <c r="U52" s="576">
        <v>0</v>
      </c>
    </row>
    <row r="53" spans="1:21" ht="14.45" customHeight="1" x14ac:dyDescent="0.2">
      <c r="A53" s="569">
        <v>28</v>
      </c>
      <c r="B53" s="570" t="s">
        <v>521</v>
      </c>
      <c r="C53" s="570" t="s">
        <v>524</v>
      </c>
      <c r="D53" s="571" t="s">
        <v>724</v>
      </c>
      <c r="E53" s="572" t="s">
        <v>532</v>
      </c>
      <c r="F53" s="570" t="s">
        <v>522</v>
      </c>
      <c r="G53" s="570" t="s">
        <v>652</v>
      </c>
      <c r="H53" s="570" t="s">
        <v>725</v>
      </c>
      <c r="I53" s="570" t="s">
        <v>682</v>
      </c>
      <c r="J53" s="570" t="s">
        <v>654</v>
      </c>
      <c r="K53" s="570" t="s">
        <v>683</v>
      </c>
      <c r="L53" s="573">
        <v>0</v>
      </c>
      <c r="M53" s="573">
        <v>0</v>
      </c>
      <c r="N53" s="570">
        <v>1</v>
      </c>
      <c r="O53" s="574">
        <v>1</v>
      </c>
      <c r="P53" s="573">
        <v>0</v>
      </c>
      <c r="Q53" s="575"/>
      <c r="R53" s="570">
        <v>1</v>
      </c>
      <c r="S53" s="575">
        <v>1</v>
      </c>
      <c r="T53" s="574">
        <v>1</v>
      </c>
      <c r="U53" s="576">
        <v>1</v>
      </c>
    </row>
    <row r="54" spans="1:21" ht="14.45" customHeight="1" x14ac:dyDescent="0.2">
      <c r="A54" s="569">
        <v>28</v>
      </c>
      <c r="B54" s="570" t="s">
        <v>521</v>
      </c>
      <c r="C54" s="570" t="s">
        <v>524</v>
      </c>
      <c r="D54" s="571" t="s">
        <v>724</v>
      </c>
      <c r="E54" s="572" t="s">
        <v>531</v>
      </c>
      <c r="F54" s="570" t="s">
        <v>522</v>
      </c>
      <c r="G54" s="570" t="s">
        <v>603</v>
      </c>
      <c r="H54" s="570" t="s">
        <v>271</v>
      </c>
      <c r="I54" s="570" t="s">
        <v>684</v>
      </c>
      <c r="J54" s="570" t="s">
        <v>605</v>
      </c>
      <c r="K54" s="570" t="s">
        <v>685</v>
      </c>
      <c r="L54" s="573">
        <v>64.36</v>
      </c>
      <c r="M54" s="573">
        <v>128.72</v>
      </c>
      <c r="N54" s="570">
        <v>2</v>
      </c>
      <c r="O54" s="574">
        <v>0.5</v>
      </c>
      <c r="P54" s="573">
        <v>128.72</v>
      </c>
      <c r="Q54" s="575">
        <v>1</v>
      </c>
      <c r="R54" s="570">
        <v>2</v>
      </c>
      <c r="S54" s="575">
        <v>1</v>
      </c>
      <c r="T54" s="574">
        <v>0.5</v>
      </c>
      <c r="U54" s="576">
        <v>1</v>
      </c>
    </row>
    <row r="55" spans="1:21" ht="14.45" customHeight="1" x14ac:dyDescent="0.2">
      <c r="A55" s="569">
        <v>28</v>
      </c>
      <c r="B55" s="570" t="s">
        <v>521</v>
      </c>
      <c r="C55" s="570" t="s">
        <v>524</v>
      </c>
      <c r="D55" s="571" t="s">
        <v>724</v>
      </c>
      <c r="E55" s="572" t="s">
        <v>531</v>
      </c>
      <c r="F55" s="570" t="s">
        <v>522</v>
      </c>
      <c r="G55" s="570" t="s">
        <v>603</v>
      </c>
      <c r="H55" s="570" t="s">
        <v>271</v>
      </c>
      <c r="I55" s="570" t="s">
        <v>686</v>
      </c>
      <c r="J55" s="570" t="s">
        <v>605</v>
      </c>
      <c r="K55" s="570" t="s">
        <v>687</v>
      </c>
      <c r="L55" s="573">
        <v>16.09</v>
      </c>
      <c r="M55" s="573">
        <v>32.18</v>
      </c>
      <c r="N55" s="570">
        <v>2</v>
      </c>
      <c r="O55" s="574">
        <v>0.5</v>
      </c>
      <c r="P55" s="573"/>
      <c r="Q55" s="575">
        <v>0</v>
      </c>
      <c r="R55" s="570"/>
      <c r="S55" s="575">
        <v>0</v>
      </c>
      <c r="T55" s="574"/>
      <c r="U55" s="576">
        <v>0</v>
      </c>
    </row>
    <row r="56" spans="1:21" ht="14.45" customHeight="1" x14ac:dyDescent="0.2">
      <c r="A56" s="569">
        <v>28</v>
      </c>
      <c r="B56" s="570" t="s">
        <v>521</v>
      </c>
      <c r="C56" s="570" t="s">
        <v>524</v>
      </c>
      <c r="D56" s="571" t="s">
        <v>724</v>
      </c>
      <c r="E56" s="572" t="s">
        <v>531</v>
      </c>
      <c r="F56" s="570" t="s">
        <v>522</v>
      </c>
      <c r="G56" s="570" t="s">
        <v>688</v>
      </c>
      <c r="H56" s="570" t="s">
        <v>271</v>
      </c>
      <c r="I56" s="570" t="s">
        <v>689</v>
      </c>
      <c r="J56" s="570" t="s">
        <v>690</v>
      </c>
      <c r="K56" s="570" t="s">
        <v>691</v>
      </c>
      <c r="L56" s="573">
        <v>69.59</v>
      </c>
      <c r="M56" s="573">
        <v>69.59</v>
      </c>
      <c r="N56" s="570">
        <v>1</v>
      </c>
      <c r="O56" s="574">
        <v>0.5</v>
      </c>
      <c r="P56" s="573"/>
      <c r="Q56" s="575">
        <v>0</v>
      </c>
      <c r="R56" s="570"/>
      <c r="S56" s="575">
        <v>0</v>
      </c>
      <c r="T56" s="574"/>
      <c r="U56" s="576">
        <v>0</v>
      </c>
    </row>
    <row r="57" spans="1:21" ht="14.45" customHeight="1" x14ac:dyDescent="0.2">
      <c r="A57" s="569">
        <v>28</v>
      </c>
      <c r="B57" s="570" t="s">
        <v>521</v>
      </c>
      <c r="C57" s="570" t="s">
        <v>524</v>
      </c>
      <c r="D57" s="571" t="s">
        <v>724</v>
      </c>
      <c r="E57" s="572" t="s">
        <v>531</v>
      </c>
      <c r="F57" s="570" t="s">
        <v>522</v>
      </c>
      <c r="G57" s="570" t="s">
        <v>688</v>
      </c>
      <c r="H57" s="570" t="s">
        <v>271</v>
      </c>
      <c r="I57" s="570" t="s">
        <v>692</v>
      </c>
      <c r="J57" s="570" t="s">
        <v>690</v>
      </c>
      <c r="K57" s="570" t="s">
        <v>691</v>
      </c>
      <c r="L57" s="573">
        <v>69.59</v>
      </c>
      <c r="M57" s="573">
        <v>69.59</v>
      </c>
      <c r="N57" s="570">
        <v>1</v>
      </c>
      <c r="O57" s="574">
        <v>0.5</v>
      </c>
      <c r="P57" s="573">
        <v>69.59</v>
      </c>
      <c r="Q57" s="575">
        <v>1</v>
      </c>
      <c r="R57" s="570">
        <v>1</v>
      </c>
      <c r="S57" s="575">
        <v>1</v>
      </c>
      <c r="T57" s="574">
        <v>0.5</v>
      </c>
      <c r="U57" s="576">
        <v>1</v>
      </c>
    </row>
    <row r="58" spans="1:21" ht="14.45" customHeight="1" x14ac:dyDescent="0.2">
      <c r="A58" s="569">
        <v>28</v>
      </c>
      <c r="B58" s="570" t="s">
        <v>521</v>
      </c>
      <c r="C58" s="570" t="s">
        <v>524</v>
      </c>
      <c r="D58" s="571" t="s">
        <v>724</v>
      </c>
      <c r="E58" s="572" t="s">
        <v>531</v>
      </c>
      <c r="F58" s="570" t="s">
        <v>522</v>
      </c>
      <c r="G58" s="570" t="s">
        <v>693</v>
      </c>
      <c r="H58" s="570" t="s">
        <v>271</v>
      </c>
      <c r="I58" s="570" t="s">
        <v>694</v>
      </c>
      <c r="J58" s="570" t="s">
        <v>695</v>
      </c>
      <c r="K58" s="570" t="s">
        <v>696</v>
      </c>
      <c r="L58" s="573">
        <v>195.19</v>
      </c>
      <c r="M58" s="573">
        <v>195.19</v>
      </c>
      <c r="N58" s="570">
        <v>1</v>
      </c>
      <c r="O58" s="574">
        <v>1</v>
      </c>
      <c r="P58" s="573">
        <v>195.19</v>
      </c>
      <c r="Q58" s="575">
        <v>1</v>
      </c>
      <c r="R58" s="570">
        <v>1</v>
      </c>
      <c r="S58" s="575">
        <v>1</v>
      </c>
      <c r="T58" s="574">
        <v>1</v>
      </c>
      <c r="U58" s="576">
        <v>1</v>
      </c>
    </row>
    <row r="59" spans="1:21" ht="14.45" customHeight="1" x14ac:dyDescent="0.2">
      <c r="A59" s="569">
        <v>28</v>
      </c>
      <c r="B59" s="570" t="s">
        <v>521</v>
      </c>
      <c r="C59" s="570" t="s">
        <v>524</v>
      </c>
      <c r="D59" s="571" t="s">
        <v>724</v>
      </c>
      <c r="E59" s="572" t="s">
        <v>531</v>
      </c>
      <c r="F59" s="570" t="s">
        <v>522</v>
      </c>
      <c r="G59" s="570" t="s">
        <v>697</v>
      </c>
      <c r="H59" s="570" t="s">
        <v>271</v>
      </c>
      <c r="I59" s="570" t="s">
        <v>698</v>
      </c>
      <c r="J59" s="570" t="s">
        <v>699</v>
      </c>
      <c r="K59" s="570" t="s">
        <v>700</v>
      </c>
      <c r="L59" s="573">
        <v>2666.78</v>
      </c>
      <c r="M59" s="573">
        <v>5333.56</v>
      </c>
      <c r="N59" s="570">
        <v>2</v>
      </c>
      <c r="O59" s="574">
        <v>1</v>
      </c>
      <c r="P59" s="573">
        <v>5333.56</v>
      </c>
      <c r="Q59" s="575">
        <v>1</v>
      </c>
      <c r="R59" s="570">
        <v>2</v>
      </c>
      <c r="S59" s="575">
        <v>1</v>
      </c>
      <c r="T59" s="574">
        <v>1</v>
      </c>
      <c r="U59" s="576">
        <v>1</v>
      </c>
    </row>
    <row r="60" spans="1:21" ht="14.45" customHeight="1" x14ac:dyDescent="0.2">
      <c r="A60" s="569">
        <v>28</v>
      </c>
      <c r="B60" s="570" t="s">
        <v>521</v>
      </c>
      <c r="C60" s="570" t="s">
        <v>524</v>
      </c>
      <c r="D60" s="571" t="s">
        <v>724</v>
      </c>
      <c r="E60" s="572" t="s">
        <v>531</v>
      </c>
      <c r="F60" s="570" t="s">
        <v>522</v>
      </c>
      <c r="G60" s="570" t="s">
        <v>701</v>
      </c>
      <c r="H60" s="570" t="s">
        <v>271</v>
      </c>
      <c r="I60" s="570" t="s">
        <v>702</v>
      </c>
      <c r="J60" s="570" t="s">
        <v>703</v>
      </c>
      <c r="K60" s="570" t="s">
        <v>704</v>
      </c>
      <c r="L60" s="573">
        <v>68.819999999999993</v>
      </c>
      <c r="M60" s="573">
        <v>137.63999999999999</v>
      </c>
      <c r="N60" s="570">
        <v>2</v>
      </c>
      <c r="O60" s="574">
        <v>1</v>
      </c>
      <c r="P60" s="573">
        <v>137.63999999999999</v>
      </c>
      <c r="Q60" s="575">
        <v>1</v>
      </c>
      <c r="R60" s="570">
        <v>2</v>
      </c>
      <c r="S60" s="575">
        <v>1</v>
      </c>
      <c r="T60" s="574">
        <v>1</v>
      </c>
      <c r="U60" s="576">
        <v>1</v>
      </c>
    </row>
    <row r="61" spans="1:21" ht="14.45" customHeight="1" x14ac:dyDescent="0.2">
      <c r="A61" s="569">
        <v>28</v>
      </c>
      <c r="B61" s="570" t="s">
        <v>521</v>
      </c>
      <c r="C61" s="570" t="s">
        <v>524</v>
      </c>
      <c r="D61" s="571" t="s">
        <v>724</v>
      </c>
      <c r="E61" s="572" t="s">
        <v>531</v>
      </c>
      <c r="F61" s="570" t="s">
        <v>522</v>
      </c>
      <c r="G61" s="570" t="s">
        <v>640</v>
      </c>
      <c r="H61" s="570" t="s">
        <v>271</v>
      </c>
      <c r="I61" s="570" t="s">
        <v>641</v>
      </c>
      <c r="J61" s="570" t="s">
        <v>642</v>
      </c>
      <c r="K61" s="570" t="s">
        <v>643</v>
      </c>
      <c r="L61" s="573">
        <v>121.92</v>
      </c>
      <c r="M61" s="573">
        <v>243.84</v>
      </c>
      <c r="N61" s="570">
        <v>2</v>
      </c>
      <c r="O61" s="574">
        <v>1</v>
      </c>
      <c r="P61" s="573">
        <v>243.84</v>
      </c>
      <c r="Q61" s="575">
        <v>1</v>
      </c>
      <c r="R61" s="570">
        <v>2</v>
      </c>
      <c r="S61" s="575">
        <v>1</v>
      </c>
      <c r="T61" s="574">
        <v>1</v>
      </c>
      <c r="U61" s="576">
        <v>1</v>
      </c>
    </row>
    <row r="62" spans="1:21" ht="14.45" customHeight="1" x14ac:dyDescent="0.2">
      <c r="A62" s="569">
        <v>28</v>
      </c>
      <c r="B62" s="570" t="s">
        <v>521</v>
      </c>
      <c r="C62" s="570" t="s">
        <v>524</v>
      </c>
      <c r="D62" s="571" t="s">
        <v>724</v>
      </c>
      <c r="E62" s="572" t="s">
        <v>529</v>
      </c>
      <c r="F62" s="570" t="s">
        <v>522</v>
      </c>
      <c r="G62" s="570" t="s">
        <v>705</v>
      </c>
      <c r="H62" s="570" t="s">
        <v>725</v>
      </c>
      <c r="I62" s="570" t="s">
        <v>706</v>
      </c>
      <c r="J62" s="570" t="s">
        <v>707</v>
      </c>
      <c r="K62" s="570" t="s">
        <v>708</v>
      </c>
      <c r="L62" s="573">
        <v>23.4</v>
      </c>
      <c r="M62" s="573">
        <v>23.4</v>
      </c>
      <c r="N62" s="570">
        <v>1</v>
      </c>
      <c r="O62" s="574">
        <v>1</v>
      </c>
      <c r="P62" s="573"/>
      <c r="Q62" s="575">
        <v>0</v>
      </c>
      <c r="R62" s="570"/>
      <c r="S62" s="575">
        <v>0</v>
      </c>
      <c r="T62" s="574"/>
      <c r="U62" s="576">
        <v>0</v>
      </c>
    </row>
    <row r="63" spans="1:21" ht="14.45" customHeight="1" x14ac:dyDescent="0.2">
      <c r="A63" s="569">
        <v>28</v>
      </c>
      <c r="B63" s="570" t="s">
        <v>521</v>
      </c>
      <c r="C63" s="570" t="s">
        <v>524</v>
      </c>
      <c r="D63" s="571" t="s">
        <v>724</v>
      </c>
      <c r="E63" s="572" t="s">
        <v>529</v>
      </c>
      <c r="F63" s="570" t="s">
        <v>522</v>
      </c>
      <c r="G63" s="570" t="s">
        <v>709</v>
      </c>
      <c r="H63" s="570" t="s">
        <v>271</v>
      </c>
      <c r="I63" s="570" t="s">
        <v>710</v>
      </c>
      <c r="J63" s="570" t="s">
        <v>711</v>
      </c>
      <c r="K63" s="570" t="s">
        <v>712</v>
      </c>
      <c r="L63" s="573">
        <v>62.04</v>
      </c>
      <c r="M63" s="573">
        <v>62.04</v>
      </c>
      <c r="N63" s="570">
        <v>1</v>
      </c>
      <c r="O63" s="574">
        <v>1</v>
      </c>
      <c r="P63" s="573">
        <v>62.04</v>
      </c>
      <c r="Q63" s="575">
        <v>1</v>
      </c>
      <c r="R63" s="570">
        <v>1</v>
      </c>
      <c r="S63" s="575">
        <v>1</v>
      </c>
      <c r="T63" s="574">
        <v>1</v>
      </c>
      <c r="U63" s="576">
        <v>1</v>
      </c>
    </row>
    <row r="64" spans="1:21" ht="14.45" customHeight="1" x14ac:dyDescent="0.2">
      <c r="A64" s="569">
        <v>28</v>
      </c>
      <c r="B64" s="570" t="s">
        <v>521</v>
      </c>
      <c r="C64" s="570" t="s">
        <v>524</v>
      </c>
      <c r="D64" s="571" t="s">
        <v>724</v>
      </c>
      <c r="E64" s="572" t="s">
        <v>529</v>
      </c>
      <c r="F64" s="570" t="s">
        <v>522</v>
      </c>
      <c r="G64" s="570" t="s">
        <v>713</v>
      </c>
      <c r="H64" s="570" t="s">
        <v>271</v>
      </c>
      <c r="I64" s="570" t="s">
        <v>714</v>
      </c>
      <c r="J64" s="570" t="s">
        <v>715</v>
      </c>
      <c r="K64" s="570" t="s">
        <v>716</v>
      </c>
      <c r="L64" s="573">
        <v>159.16999999999999</v>
      </c>
      <c r="M64" s="573">
        <v>159.16999999999999</v>
      </c>
      <c r="N64" s="570">
        <v>1</v>
      </c>
      <c r="O64" s="574">
        <v>1</v>
      </c>
      <c r="P64" s="573"/>
      <c r="Q64" s="575">
        <v>0</v>
      </c>
      <c r="R64" s="570"/>
      <c r="S64" s="575">
        <v>0</v>
      </c>
      <c r="T64" s="574"/>
      <c r="U64" s="576">
        <v>0</v>
      </c>
    </row>
    <row r="65" spans="1:21" ht="14.45" customHeight="1" x14ac:dyDescent="0.2">
      <c r="A65" s="569">
        <v>28</v>
      </c>
      <c r="B65" s="570" t="s">
        <v>521</v>
      </c>
      <c r="C65" s="570" t="s">
        <v>524</v>
      </c>
      <c r="D65" s="571" t="s">
        <v>724</v>
      </c>
      <c r="E65" s="572" t="s">
        <v>529</v>
      </c>
      <c r="F65" s="570" t="s">
        <v>522</v>
      </c>
      <c r="G65" s="570" t="s">
        <v>590</v>
      </c>
      <c r="H65" s="570" t="s">
        <v>271</v>
      </c>
      <c r="I65" s="570" t="s">
        <v>591</v>
      </c>
      <c r="J65" s="570" t="s">
        <v>592</v>
      </c>
      <c r="K65" s="570" t="s">
        <v>593</v>
      </c>
      <c r="L65" s="573">
        <v>49.04</v>
      </c>
      <c r="M65" s="573">
        <v>49.04</v>
      </c>
      <c r="N65" s="570">
        <v>1</v>
      </c>
      <c r="O65" s="574">
        <v>1</v>
      </c>
      <c r="P65" s="573"/>
      <c r="Q65" s="575">
        <v>0</v>
      </c>
      <c r="R65" s="570"/>
      <c r="S65" s="575">
        <v>0</v>
      </c>
      <c r="T65" s="574"/>
      <c r="U65" s="576">
        <v>0</v>
      </c>
    </row>
    <row r="66" spans="1:21" ht="14.45" customHeight="1" x14ac:dyDescent="0.2">
      <c r="A66" s="569">
        <v>28</v>
      </c>
      <c r="B66" s="570" t="s">
        <v>521</v>
      </c>
      <c r="C66" s="570" t="s">
        <v>524</v>
      </c>
      <c r="D66" s="571" t="s">
        <v>724</v>
      </c>
      <c r="E66" s="572" t="s">
        <v>529</v>
      </c>
      <c r="F66" s="570" t="s">
        <v>522</v>
      </c>
      <c r="G66" s="570" t="s">
        <v>717</v>
      </c>
      <c r="H66" s="570" t="s">
        <v>725</v>
      </c>
      <c r="I66" s="570" t="s">
        <v>718</v>
      </c>
      <c r="J66" s="570" t="s">
        <v>719</v>
      </c>
      <c r="K66" s="570" t="s">
        <v>720</v>
      </c>
      <c r="L66" s="573">
        <v>773.45</v>
      </c>
      <c r="M66" s="573">
        <v>1546.9</v>
      </c>
      <c r="N66" s="570">
        <v>2</v>
      </c>
      <c r="O66" s="574">
        <v>1</v>
      </c>
      <c r="P66" s="573"/>
      <c r="Q66" s="575">
        <v>0</v>
      </c>
      <c r="R66" s="570"/>
      <c r="S66" s="575">
        <v>0</v>
      </c>
      <c r="T66" s="574"/>
      <c r="U66" s="576">
        <v>0</v>
      </c>
    </row>
    <row r="67" spans="1:21" ht="14.45" customHeight="1" x14ac:dyDescent="0.2">
      <c r="A67" s="569">
        <v>28</v>
      </c>
      <c r="B67" s="570" t="s">
        <v>521</v>
      </c>
      <c r="C67" s="570" t="s">
        <v>524</v>
      </c>
      <c r="D67" s="571" t="s">
        <v>724</v>
      </c>
      <c r="E67" s="572" t="s">
        <v>529</v>
      </c>
      <c r="F67" s="570" t="s">
        <v>522</v>
      </c>
      <c r="G67" s="570" t="s">
        <v>621</v>
      </c>
      <c r="H67" s="570" t="s">
        <v>725</v>
      </c>
      <c r="I67" s="570" t="s">
        <v>622</v>
      </c>
      <c r="J67" s="570" t="s">
        <v>623</v>
      </c>
      <c r="K67" s="570" t="s">
        <v>624</v>
      </c>
      <c r="L67" s="573">
        <v>141.25</v>
      </c>
      <c r="M67" s="573">
        <v>141.25</v>
      </c>
      <c r="N67" s="570">
        <v>1</v>
      </c>
      <c r="O67" s="574">
        <v>1</v>
      </c>
      <c r="P67" s="573"/>
      <c r="Q67" s="575">
        <v>0</v>
      </c>
      <c r="R67" s="570"/>
      <c r="S67" s="575">
        <v>0</v>
      </c>
      <c r="T67" s="574"/>
      <c r="U67" s="576">
        <v>0</v>
      </c>
    </row>
    <row r="68" spans="1:21" ht="14.45" customHeight="1" x14ac:dyDescent="0.2">
      <c r="A68" s="569">
        <v>28</v>
      </c>
      <c r="B68" s="570" t="s">
        <v>521</v>
      </c>
      <c r="C68" s="570" t="s">
        <v>524</v>
      </c>
      <c r="D68" s="571" t="s">
        <v>724</v>
      </c>
      <c r="E68" s="572" t="s">
        <v>529</v>
      </c>
      <c r="F68" s="570" t="s">
        <v>522</v>
      </c>
      <c r="G68" s="570" t="s">
        <v>636</v>
      </c>
      <c r="H68" s="570" t="s">
        <v>271</v>
      </c>
      <c r="I68" s="570" t="s">
        <v>637</v>
      </c>
      <c r="J68" s="570" t="s">
        <v>638</v>
      </c>
      <c r="K68" s="570" t="s">
        <v>639</v>
      </c>
      <c r="L68" s="573">
        <v>0</v>
      </c>
      <c r="M68" s="573">
        <v>0</v>
      </c>
      <c r="N68" s="570">
        <v>2</v>
      </c>
      <c r="O68" s="574">
        <v>2</v>
      </c>
      <c r="P68" s="573">
        <v>0</v>
      </c>
      <c r="Q68" s="575"/>
      <c r="R68" s="570">
        <v>1</v>
      </c>
      <c r="S68" s="575">
        <v>0.5</v>
      </c>
      <c r="T68" s="574">
        <v>1</v>
      </c>
      <c r="U68" s="576">
        <v>0.5</v>
      </c>
    </row>
    <row r="69" spans="1:21" ht="14.45" customHeight="1" x14ac:dyDescent="0.2">
      <c r="A69" s="569">
        <v>28</v>
      </c>
      <c r="B69" s="570" t="s">
        <v>521</v>
      </c>
      <c r="C69" s="570" t="s">
        <v>524</v>
      </c>
      <c r="D69" s="571" t="s">
        <v>724</v>
      </c>
      <c r="E69" s="572" t="s">
        <v>529</v>
      </c>
      <c r="F69" s="570" t="s">
        <v>522</v>
      </c>
      <c r="G69" s="570" t="s">
        <v>652</v>
      </c>
      <c r="H69" s="570" t="s">
        <v>725</v>
      </c>
      <c r="I69" s="570" t="s">
        <v>682</v>
      </c>
      <c r="J69" s="570" t="s">
        <v>654</v>
      </c>
      <c r="K69" s="570" t="s">
        <v>683</v>
      </c>
      <c r="L69" s="573">
        <v>0</v>
      </c>
      <c r="M69" s="573">
        <v>0</v>
      </c>
      <c r="N69" s="570">
        <v>1</v>
      </c>
      <c r="O69" s="574">
        <v>1</v>
      </c>
      <c r="P69" s="573">
        <v>0</v>
      </c>
      <c r="Q69" s="575"/>
      <c r="R69" s="570">
        <v>1</v>
      </c>
      <c r="S69" s="575">
        <v>1</v>
      </c>
      <c r="T69" s="574">
        <v>1</v>
      </c>
      <c r="U69" s="576">
        <v>1</v>
      </c>
    </row>
    <row r="70" spans="1:21" ht="14.45" customHeight="1" x14ac:dyDescent="0.2">
      <c r="A70" s="569">
        <v>28</v>
      </c>
      <c r="B70" s="570" t="s">
        <v>521</v>
      </c>
      <c r="C70" s="570" t="s">
        <v>524</v>
      </c>
      <c r="D70" s="571" t="s">
        <v>724</v>
      </c>
      <c r="E70" s="572" t="s">
        <v>529</v>
      </c>
      <c r="F70" s="570" t="s">
        <v>522</v>
      </c>
      <c r="G70" s="570" t="s">
        <v>652</v>
      </c>
      <c r="H70" s="570" t="s">
        <v>725</v>
      </c>
      <c r="I70" s="570" t="s">
        <v>653</v>
      </c>
      <c r="J70" s="570" t="s">
        <v>654</v>
      </c>
      <c r="K70" s="570" t="s">
        <v>655</v>
      </c>
      <c r="L70" s="573">
        <v>0</v>
      </c>
      <c r="M70" s="573">
        <v>0</v>
      </c>
      <c r="N70" s="570">
        <v>2</v>
      </c>
      <c r="O70" s="574">
        <v>2</v>
      </c>
      <c r="P70" s="573">
        <v>0</v>
      </c>
      <c r="Q70" s="575"/>
      <c r="R70" s="570">
        <v>1</v>
      </c>
      <c r="S70" s="575">
        <v>0.5</v>
      </c>
      <c r="T70" s="574">
        <v>1</v>
      </c>
      <c r="U70" s="576">
        <v>0.5</v>
      </c>
    </row>
    <row r="71" spans="1:21" ht="14.45" customHeight="1" x14ac:dyDescent="0.2">
      <c r="A71" s="569">
        <v>28</v>
      </c>
      <c r="B71" s="570" t="s">
        <v>521</v>
      </c>
      <c r="C71" s="570" t="s">
        <v>524</v>
      </c>
      <c r="D71" s="571" t="s">
        <v>724</v>
      </c>
      <c r="E71" s="572" t="s">
        <v>529</v>
      </c>
      <c r="F71" s="570" t="s">
        <v>522</v>
      </c>
      <c r="G71" s="570" t="s">
        <v>667</v>
      </c>
      <c r="H71" s="570" t="s">
        <v>725</v>
      </c>
      <c r="I71" s="570" t="s">
        <v>721</v>
      </c>
      <c r="J71" s="570" t="s">
        <v>722</v>
      </c>
      <c r="K71" s="570" t="s">
        <v>723</v>
      </c>
      <c r="L71" s="573">
        <v>149.52000000000001</v>
      </c>
      <c r="M71" s="573">
        <v>149.52000000000001</v>
      </c>
      <c r="N71" s="570">
        <v>1</v>
      </c>
      <c r="O71" s="574">
        <v>1</v>
      </c>
      <c r="P71" s="573"/>
      <c r="Q71" s="575">
        <v>0</v>
      </c>
      <c r="R71" s="570"/>
      <c r="S71" s="575">
        <v>0</v>
      </c>
      <c r="T71" s="574"/>
      <c r="U71" s="576">
        <v>0</v>
      </c>
    </row>
    <row r="72" spans="1:21" ht="14.45" customHeight="1" thickBot="1" x14ac:dyDescent="0.25">
      <c r="A72" s="577">
        <v>28</v>
      </c>
      <c r="B72" s="578" t="s">
        <v>521</v>
      </c>
      <c r="C72" s="578" t="s">
        <v>524</v>
      </c>
      <c r="D72" s="579" t="s">
        <v>724</v>
      </c>
      <c r="E72" s="580" t="s">
        <v>536</v>
      </c>
      <c r="F72" s="578" t="s">
        <v>522</v>
      </c>
      <c r="G72" s="578" t="s">
        <v>545</v>
      </c>
      <c r="H72" s="578" t="s">
        <v>725</v>
      </c>
      <c r="I72" s="578" t="s">
        <v>546</v>
      </c>
      <c r="J72" s="578" t="s">
        <v>547</v>
      </c>
      <c r="K72" s="578" t="s">
        <v>548</v>
      </c>
      <c r="L72" s="581">
        <v>56.06</v>
      </c>
      <c r="M72" s="581">
        <v>112.12</v>
      </c>
      <c r="N72" s="578">
        <v>2</v>
      </c>
      <c r="O72" s="582">
        <v>1</v>
      </c>
      <c r="P72" s="581">
        <v>112.12</v>
      </c>
      <c r="Q72" s="583">
        <v>1</v>
      </c>
      <c r="R72" s="578">
        <v>2</v>
      </c>
      <c r="S72" s="583">
        <v>1</v>
      </c>
      <c r="T72" s="582">
        <v>1</v>
      </c>
      <c r="U72" s="584">
        <v>1</v>
      </c>
    </row>
  </sheetData>
  <autoFilter ref="A6:U6" xr:uid="{00000000-0009-0000-0000-000012000000}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 xr:uid="{EE9EBF34-5B5B-488F-A5F3-E6FCD7D1C5CA}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List28">
    <tabColor theme="0" tint="-0.249977111117893"/>
    <pageSetUpPr fitToPage="1"/>
  </sheetPr>
  <dimension ref="A1:F25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" style="207" customWidth="1"/>
    <col min="5" max="5" width="5.5703125" style="210" customWidth="1"/>
    <col min="6" max="6" width="10" style="207" customWidth="1"/>
    <col min="7" max="7" width="8.85546875" style="129" customWidth="1"/>
    <col min="8" max="16384" width="8.85546875" style="129"/>
  </cols>
  <sheetData>
    <row r="1" spans="1:6" ht="37.9" customHeight="1" thickBot="1" x14ac:dyDescent="0.35">
      <c r="A1" s="367" t="s">
        <v>727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585" t="s">
        <v>165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x14ac:dyDescent="0.2">
      <c r="A5" s="594" t="s">
        <v>530</v>
      </c>
      <c r="B5" s="116">
        <v>158.19999999999999</v>
      </c>
      <c r="C5" s="568">
        <v>1</v>
      </c>
      <c r="D5" s="116">
        <v>0</v>
      </c>
      <c r="E5" s="568">
        <v>0</v>
      </c>
      <c r="F5" s="586">
        <v>158.19999999999999</v>
      </c>
    </row>
    <row r="6" spans="1:6" ht="14.45" customHeight="1" x14ac:dyDescent="0.2">
      <c r="A6" s="595" t="s">
        <v>529</v>
      </c>
      <c r="B6" s="587"/>
      <c r="C6" s="575">
        <v>0</v>
      </c>
      <c r="D6" s="587">
        <v>1861.0700000000002</v>
      </c>
      <c r="E6" s="575">
        <v>1</v>
      </c>
      <c r="F6" s="588">
        <v>1861.0700000000002</v>
      </c>
    </row>
    <row r="7" spans="1:6" ht="14.45" customHeight="1" x14ac:dyDescent="0.2">
      <c r="A7" s="595" t="s">
        <v>532</v>
      </c>
      <c r="B7" s="587"/>
      <c r="C7" s="575"/>
      <c r="D7" s="587">
        <v>0</v>
      </c>
      <c r="E7" s="575"/>
      <c r="F7" s="588">
        <v>0</v>
      </c>
    </row>
    <row r="8" spans="1:6" ht="14.45" customHeight="1" x14ac:dyDescent="0.2">
      <c r="A8" s="595" t="s">
        <v>536</v>
      </c>
      <c r="B8" s="587"/>
      <c r="C8" s="575">
        <v>0</v>
      </c>
      <c r="D8" s="587">
        <v>112.12</v>
      </c>
      <c r="E8" s="575">
        <v>1</v>
      </c>
      <c r="F8" s="588">
        <v>112.12</v>
      </c>
    </row>
    <row r="9" spans="1:6" ht="14.45" customHeight="1" x14ac:dyDescent="0.2">
      <c r="A9" s="595" t="s">
        <v>535</v>
      </c>
      <c r="B9" s="587"/>
      <c r="C9" s="575">
        <v>0</v>
      </c>
      <c r="D9" s="587">
        <v>1333.1000000000001</v>
      </c>
      <c r="E9" s="575">
        <v>1</v>
      </c>
      <c r="F9" s="588">
        <v>1333.1000000000001</v>
      </c>
    </row>
    <row r="10" spans="1:6" ht="14.45" customHeight="1" thickBot="1" x14ac:dyDescent="0.25">
      <c r="A10" s="596" t="s">
        <v>534</v>
      </c>
      <c r="B10" s="591"/>
      <c r="C10" s="592">
        <v>0</v>
      </c>
      <c r="D10" s="591">
        <v>590.58000000000004</v>
      </c>
      <c r="E10" s="592">
        <v>1</v>
      </c>
      <c r="F10" s="593">
        <v>590.58000000000004</v>
      </c>
    </row>
    <row r="11" spans="1:6" ht="14.45" customHeight="1" thickBot="1" x14ac:dyDescent="0.25">
      <c r="A11" s="509" t="s">
        <v>3</v>
      </c>
      <c r="B11" s="510">
        <v>158.19999999999999</v>
      </c>
      <c r="C11" s="511">
        <v>3.9012890036423532E-2</v>
      </c>
      <c r="D11" s="510">
        <v>3896.8700000000003</v>
      </c>
      <c r="E11" s="511">
        <v>0.9609871099635765</v>
      </c>
      <c r="F11" s="512">
        <v>4055.07</v>
      </c>
    </row>
    <row r="12" spans="1:6" ht="14.45" customHeight="1" thickBot="1" x14ac:dyDescent="0.25"/>
    <row r="13" spans="1:6" ht="14.45" customHeight="1" x14ac:dyDescent="0.2">
      <c r="A13" s="594" t="s">
        <v>728</v>
      </c>
      <c r="B13" s="116">
        <v>158.19999999999999</v>
      </c>
      <c r="C13" s="568">
        <v>1</v>
      </c>
      <c r="D13" s="116"/>
      <c r="E13" s="568">
        <v>0</v>
      </c>
      <c r="F13" s="586">
        <v>158.19999999999999</v>
      </c>
    </row>
    <row r="14" spans="1:6" ht="14.45" customHeight="1" x14ac:dyDescent="0.2">
      <c r="A14" s="595" t="s">
        <v>729</v>
      </c>
      <c r="B14" s="587"/>
      <c r="C14" s="575">
        <v>0</v>
      </c>
      <c r="D14" s="587">
        <v>127.5</v>
      </c>
      <c r="E14" s="575">
        <v>1</v>
      </c>
      <c r="F14" s="588">
        <v>127.5</v>
      </c>
    </row>
    <row r="15" spans="1:6" ht="14.45" customHeight="1" x14ac:dyDescent="0.2">
      <c r="A15" s="595" t="s">
        <v>730</v>
      </c>
      <c r="B15" s="587"/>
      <c r="C15" s="575"/>
      <c r="D15" s="587">
        <v>0</v>
      </c>
      <c r="E15" s="575"/>
      <c r="F15" s="588">
        <v>0</v>
      </c>
    </row>
    <row r="16" spans="1:6" ht="14.45" customHeight="1" x14ac:dyDescent="0.2">
      <c r="A16" s="595" t="s">
        <v>731</v>
      </c>
      <c r="B16" s="587"/>
      <c r="C16" s="575">
        <v>0</v>
      </c>
      <c r="D16" s="587">
        <v>612.6</v>
      </c>
      <c r="E16" s="575">
        <v>1</v>
      </c>
      <c r="F16" s="588">
        <v>612.6</v>
      </c>
    </row>
    <row r="17" spans="1:6" ht="14.45" customHeight="1" x14ac:dyDescent="0.2">
      <c r="A17" s="595" t="s">
        <v>732</v>
      </c>
      <c r="B17" s="587"/>
      <c r="C17" s="575">
        <v>0</v>
      </c>
      <c r="D17" s="587">
        <v>23.4</v>
      </c>
      <c r="E17" s="575">
        <v>1</v>
      </c>
      <c r="F17" s="588">
        <v>23.4</v>
      </c>
    </row>
    <row r="18" spans="1:6" ht="14.45" customHeight="1" x14ac:dyDescent="0.2">
      <c r="A18" s="595" t="s">
        <v>733</v>
      </c>
      <c r="B18" s="587"/>
      <c r="C18" s="575">
        <v>0</v>
      </c>
      <c r="D18" s="587">
        <v>336.82</v>
      </c>
      <c r="E18" s="575">
        <v>1</v>
      </c>
      <c r="F18" s="588">
        <v>336.82</v>
      </c>
    </row>
    <row r="19" spans="1:6" ht="14.45" customHeight="1" x14ac:dyDescent="0.2">
      <c r="A19" s="595" t="s">
        <v>734</v>
      </c>
      <c r="B19" s="587"/>
      <c r="C19" s="575">
        <v>0</v>
      </c>
      <c r="D19" s="587">
        <v>282.5</v>
      </c>
      <c r="E19" s="575">
        <v>1</v>
      </c>
      <c r="F19" s="588">
        <v>282.5</v>
      </c>
    </row>
    <row r="20" spans="1:6" ht="14.45" customHeight="1" x14ac:dyDescent="0.2">
      <c r="A20" s="595" t="s">
        <v>735</v>
      </c>
      <c r="B20" s="587"/>
      <c r="C20" s="575">
        <v>0</v>
      </c>
      <c r="D20" s="587">
        <v>224.24</v>
      </c>
      <c r="E20" s="575">
        <v>1</v>
      </c>
      <c r="F20" s="588">
        <v>224.24</v>
      </c>
    </row>
    <row r="21" spans="1:6" ht="14.45" customHeight="1" x14ac:dyDescent="0.2">
      <c r="A21" s="595" t="s">
        <v>736</v>
      </c>
      <c r="B21" s="587"/>
      <c r="C21" s="575">
        <v>0</v>
      </c>
      <c r="D21" s="587">
        <v>176.32</v>
      </c>
      <c r="E21" s="575">
        <v>1</v>
      </c>
      <c r="F21" s="588">
        <v>176.32</v>
      </c>
    </row>
    <row r="22" spans="1:6" ht="14.45" customHeight="1" x14ac:dyDescent="0.2">
      <c r="A22" s="595" t="s">
        <v>737</v>
      </c>
      <c r="B22" s="587"/>
      <c r="C22" s="575">
        <v>0</v>
      </c>
      <c r="D22" s="587">
        <v>346.24</v>
      </c>
      <c r="E22" s="575">
        <v>1</v>
      </c>
      <c r="F22" s="588">
        <v>346.24</v>
      </c>
    </row>
    <row r="23" spans="1:6" ht="14.45" customHeight="1" x14ac:dyDescent="0.2">
      <c r="A23" s="595" t="s">
        <v>738</v>
      </c>
      <c r="B23" s="587"/>
      <c r="C23" s="575">
        <v>0</v>
      </c>
      <c r="D23" s="587">
        <v>220.35000000000002</v>
      </c>
      <c r="E23" s="575">
        <v>1</v>
      </c>
      <c r="F23" s="588">
        <v>220.35000000000002</v>
      </c>
    </row>
    <row r="24" spans="1:6" ht="14.45" customHeight="1" thickBot="1" x14ac:dyDescent="0.25">
      <c r="A24" s="596" t="s">
        <v>739</v>
      </c>
      <c r="B24" s="591"/>
      <c r="C24" s="592">
        <v>0</v>
      </c>
      <c r="D24" s="591">
        <v>1546.9</v>
      </c>
      <c r="E24" s="592">
        <v>1</v>
      </c>
      <c r="F24" s="593">
        <v>1546.9</v>
      </c>
    </row>
    <row r="25" spans="1:6" ht="14.45" customHeight="1" thickBot="1" x14ac:dyDescent="0.25">
      <c r="A25" s="509" t="s">
        <v>3</v>
      </c>
      <c r="B25" s="510">
        <v>158.19999999999999</v>
      </c>
      <c r="C25" s="511">
        <v>3.9012890036423532E-2</v>
      </c>
      <c r="D25" s="510">
        <v>3896.8700000000003</v>
      </c>
      <c r="E25" s="511">
        <v>0.9609871099635765</v>
      </c>
      <c r="F25" s="512">
        <v>4055.07</v>
      </c>
    </row>
  </sheetData>
  <mergeCells count="3">
    <mergeCell ref="A1:F1"/>
    <mergeCell ref="B3:C3"/>
    <mergeCell ref="D3:E3"/>
  </mergeCells>
  <conditionalFormatting sqref="C5:C1048576">
    <cfRule type="cellIs" dxfId="21" priority="12" stopIfTrue="1" operator="greaterThan">
      <formula>0.2</formula>
    </cfRule>
  </conditionalFormatting>
  <conditionalFormatting sqref="F5:F10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{06136CB8-412B-450E-807F-E3476E117F13}</x14:id>
        </ext>
      </extLst>
    </cfRule>
  </conditionalFormatting>
  <conditionalFormatting sqref="F13:F24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{CD3F35C8-8925-4454-A734-D5D25FBB1CBF}</x14:id>
        </ext>
      </extLst>
    </cfRule>
  </conditionalFormatting>
  <hyperlinks>
    <hyperlink ref="A2" location="Obsah!A1" display="Zpět na Obsah  KL 01  1.-4.měsíc" xr:uid="{726B5FA9-D50E-49A4-8BB2-1725884AA507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6136CB8-412B-450E-807F-E3476E117F1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F5:F10</xm:sqref>
        </x14:conditionalFormatting>
        <x14:conditionalFormatting xmlns:xm="http://schemas.microsoft.com/office/excel/2006/main">
          <x14:cfRule type="dataBar" id="{CD3F35C8-8925-4454-A734-D5D25FBB1CB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F13:F24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List31">
    <tabColor theme="0" tint="-0.249977111117893"/>
    <pageSetUpPr fitToPage="1"/>
  </sheetPr>
  <dimension ref="A1:M2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ColWidth="8.85546875" defaultRowHeight="14.45" customHeight="1" x14ac:dyDescent="0.2"/>
  <cols>
    <col min="1" max="1" width="22.28515625" style="129" customWidth="1"/>
    <col min="2" max="2" width="8.85546875" style="129" bestFit="1" customWidth="1"/>
    <col min="3" max="3" width="7" style="129" bestFit="1" customWidth="1"/>
    <col min="4" max="5" width="22.28515625" style="129" customWidth="1"/>
    <col min="6" max="6" width="6.7109375" style="207" customWidth="1"/>
    <col min="7" max="7" width="10" style="207" customWidth="1"/>
    <col min="8" max="8" width="6.7109375" style="210" customWidth="1"/>
    <col min="9" max="9" width="6.7109375" style="207" customWidth="1"/>
    <col min="10" max="10" width="10" style="207" customWidth="1"/>
    <col min="11" max="11" width="6.7109375" style="210" customWidth="1"/>
    <col min="12" max="12" width="6.7109375" style="207" customWidth="1"/>
    <col min="13" max="13" width="10" style="207" customWidth="1"/>
    <col min="14" max="16384" width="8.85546875" style="129"/>
  </cols>
  <sheetData>
    <row r="1" spans="1:13" ht="18.600000000000001" customHeight="1" thickBot="1" x14ac:dyDescent="0.35">
      <c r="A1" s="368" t="s">
        <v>752</v>
      </c>
      <c r="B1" s="368"/>
      <c r="C1" s="368"/>
      <c r="D1" s="368"/>
      <c r="E1" s="368"/>
      <c r="F1" s="368"/>
      <c r="G1" s="368"/>
      <c r="H1" s="368"/>
      <c r="I1" s="368"/>
      <c r="J1" s="368"/>
      <c r="K1" s="368"/>
      <c r="L1" s="329"/>
      <c r="M1" s="329"/>
    </row>
    <row r="2" spans="1:13" ht="14.45" customHeight="1" thickBot="1" x14ac:dyDescent="0.25">
      <c r="A2" s="232" t="s">
        <v>270</v>
      </c>
      <c r="B2" s="206"/>
      <c r="C2" s="206"/>
      <c r="D2" s="206"/>
      <c r="E2" s="206"/>
      <c r="F2" s="214"/>
      <c r="G2" s="214"/>
      <c r="H2" s="215"/>
      <c r="I2" s="214"/>
      <c r="J2" s="214"/>
      <c r="K2" s="215"/>
      <c r="L2" s="214"/>
    </row>
    <row r="3" spans="1:13" ht="14.45" customHeight="1" thickBot="1" x14ac:dyDescent="0.25">
      <c r="E3" s="79" t="s">
        <v>127</v>
      </c>
      <c r="F3" s="43">
        <f>SUBTOTAL(9,F6:F1048576)</f>
        <v>2</v>
      </c>
      <c r="G3" s="43">
        <f>SUBTOTAL(9,G6:G1048576)</f>
        <v>158.19999999999999</v>
      </c>
      <c r="H3" s="44">
        <f>IF(M3=0,0,G3/M3)</f>
        <v>3.9012890036423532E-2</v>
      </c>
      <c r="I3" s="43">
        <f>SUBTOTAL(9,I6:I1048576)</f>
        <v>28</v>
      </c>
      <c r="J3" s="43">
        <f>SUBTOTAL(9,J6:J1048576)</f>
        <v>3896.8700000000003</v>
      </c>
      <c r="K3" s="44">
        <f>IF(M3=0,0,J3/M3)</f>
        <v>0.9609871099635765</v>
      </c>
      <c r="L3" s="43">
        <f>SUBTOTAL(9,L6:L1048576)</f>
        <v>30</v>
      </c>
      <c r="M3" s="45">
        <f>SUBTOTAL(9,M6:M1048576)</f>
        <v>4055.07</v>
      </c>
    </row>
    <row r="4" spans="1:13" ht="14.45" customHeight="1" thickBot="1" x14ac:dyDescent="0.25">
      <c r="A4" s="41"/>
      <c r="B4" s="41"/>
      <c r="C4" s="41"/>
      <c r="D4" s="41"/>
      <c r="E4" s="42"/>
      <c r="F4" s="372" t="s">
        <v>129</v>
      </c>
      <c r="G4" s="373"/>
      <c r="H4" s="374"/>
      <c r="I4" s="375" t="s">
        <v>128</v>
      </c>
      <c r="J4" s="373"/>
      <c r="K4" s="374"/>
      <c r="L4" s="376" t="s">
        <v>3</v>
      </c>
      <c r="M4" s="377"/>
    </row>
    <row r="5" spans="1:13" ht="14.45" customHeight="1" thickBot="1" x14ac:dyDescent="0.25">
      <c r="A5" s="585" t="s">
        <v>135</v>
      </c>
      <c r="B5" s="597" t="s">
        <v>131</v>
      </c>
      <c r="C5" s="597" t="s">
        <v>70</v>
      </c>
      <c r="D5" s="597" t="s">
        <v>132</v>
      </c>
      <c r="E5" s="597" t="s">
        <v>133</v>
      </c>
      <c r="F5" s="516" t="s">
        <v>28</v>
      </c>
      <c r="G5" s="516" t="s">
        <v>14</v>
      </c>
      <c r="H5" s="501" t="s">
        <v>134</v>
      </c>
      <c r="I5" s="500" t="s">
        <v>28</v>
      </c>
      <c r="J5" s="516" t="s">
        <v>14</v>
      </c>
      <c r="K5" s="501" t="s">
        <v>134</v>
      </c>
      <c r="L5" s="500" t="s">
        <v>28</v>
      </c>
      <c r="M5" s="517" t="s">
        <v>14</v>
      </c>
    </row>
    <row r="6" spans="1:13" ht="14.45" customHeight="1" x14ac:dyDescent="0.2">
      <c r="A6" s="562" t="s">
        <v>529</v>
      </c>
      <c r="B6" s="563" t="s">
        <v>740</v>
      </c>
      <c r="C6" s="563" t="s">
        <v>721</v>
      </c>
      <c r="D6" s="563" t="s">
        <v>722</v>
      </c>
      <c r="E6" s="563" t="s">
        <v>723</v>
      </c>
      <c r="F6" s="116"/>
      <c r="G6" s="116"/>
      <c r="H6" s="568">
        <v>0</v>
      </c>
      <c r="I6" s="116">
        <v>1</v>
      </c>
      <c r="J6" s="116">
        <v>149.52000000000001</v>
      </c>
      <c r="K6" s="568">
        <v>1</v>
      </c>
      <c r="L6" s="116">
        <v>1</v>
      </c>
      <c r="M6" s="586">
        <v>149.52000000000001</v>
      </c>
    </row>
    <row r="7" spans="1:13" ht="14.45" customHeight="1" x14ac:dyDescent="0.2">
      <c r="A7" s="569" t="s">
        <v>529</v>
      </c>
      <c r="B7" s="570" t="s">
        <v>741</v>
      </c>
      <c r="C7" s="570" t="s">
        <v>718</v>
      </c>
      <c r="D7" s="570" t="s">
        <v>719</v>
      </c>
      <c r="E7" s="570" t="s">
        <v>720</v>
      </c>
      <c r="F7" s="587"/>
      <c r="G7" s="587"/>
      <c r="H7" s="575">
        <v>0</v>
      </c>
      <c r="I7" s="587">
        <v>2</v>
      </c>
      <c r="J7" s="587">
        <v>1546.9</v>
      </c>
      <c r="K7" s="575">
        <v>1</v>
      </c>
      <c r="L7" s="587">
        <v>2</v>
      </c>
      <c r="M7" s="588">
        <v>1546.9</v>
      </c>
    </row>
    <row r="8" spans="1:13" ht="14.45" customHeight="1" x14ac:dyDescent="0.2">
      <c r="A8" s="569" t="s">
        <v>529</v>
      </c>
      <c r="B8" s="570" t="s">
        <v>742</v>
      </c>
      <c r="C8" s="570" t="s">
        <v>706</v>
      </c>
      <c r="D8" s="570" t="s">
        <v>707</v>
      </c>
      <c r="E8" s="570" t="s">
        <v>708</v>
      </c>
      <c r="F8" s="587"/>
      <c r="G8" s="587"/>
      <c r="H8" s="575">
        <v>0</v>
      </c>
      <c r="I8" s="587">
        <v>1</v>
      </c>
      <c r="J8" s="587">
        <v>23.4</v>
      </c>
      <c r="K8" s="575">
        <v>1</v>
      </c>
      <c r="L8" s="587">
        <v>1</v>
      </c>
      <c r="M8" s="588">
        <v>23.4</v>
      </c>
    </row>
    <row r="9" spans="1:13" ht="14.45" customHeight="1" x14ac:dyDescent="0.2">
      <c r="A9" s="569" t="s">
        <v>529</v>
      </c>
      <c r="B9" s="570" t="s">
        <v>743</v>
      </c>
      <c r="C9" s="570" t="s">
        <v>682</v>
      </c>
      <c r="D9" s="570" t="s">
        <v>654</v>
      </c>
      <c r="E9" s="570" t="s">
        <v>683</v>
      </c>
      <c r="F9" s="587"/>
      <c r="G9" s="587"/>
      <c r="H9" s="575"/>
      <c r="I9" s="587">
        <v>1</v>
      </c>
      <c r="J9" s="587">
        <v>0</v>
      </c>
      <c r="K9" s="575"/>
      <c r="L9" s="587">
        <v>1</v>
      </c>
      <c r="M9" s="588">
        <v>0</v>
      </c>
    </row>
    <row r="10" spans="1:13" ht="14.45" customHeight="1" x14ac:dyDescent="0.2">
      <c r="A10" s="569" t="s">
        <v>529</v>
      </c>
      <c r="B10" s="570" t="s">
        <v>743</v>
      </c>
      <c r="C10" s="570" t="s">
        <v>653</v>
      </c>
      <c r="D10" s="570" t="s">
        <v>654</v>
      </c>
      <c r="E10" s="570" t="s">
        <v>655</v>
      </c>
      <c r="F10" s="587"/>
      <c r="G10" s="587"/>
      <c r="H10" s="575"/>
      <c r="I10" s="587">
        <v>2</v>
      </c>
      <c r="J10" s="587">
        <v>0</v>
      </c>
      <c r="K10" s="575"/>
      <c r="L10" s="587">
        <v>2</v>
      </c>
      <c r="M10" s="588">
        <v>0</v>
      </c>
    </row>
    <row r="11" spans="1:13" ht="14.45" customHeight="1" x14ac:dyDescent="0.2">
      <c r="A11" s="569" t="s">
        <v>529</v>
      </c>
      <c r="B11" s="570" t="s">
        <v>744</v>
      </c>
      <c r="C11" s="570" t="s">
        <v>622</v>
      </c>
      <c r="D11" s="570" t="s">
        <v>623</v>
      </c>
      <c r="E11" s="570" t="s">
        <v>624</v>
      </c>
      <c r="F11" s="587"/>
      <c r="G11" s="587"/>
      <c r="H11" s="575">
        <v>0</v>
      </c>
      <c r="I11" s="587">
        <v>1</v>
      </c>
      <c r="J11" s="587">
        <v>141.25</v>
      </c>
      <c r="K11" s="575">
        <v>1</v>
      </c>
      <c r="L11" s="587">
        <v>1</v>
      </c>
      <c r="M11" s="588">
        <v>141.25</v>
      </c>
    </row>
    <row r="12" spans="1:13" ht="14.45" customHeight="1" x14ac:dyDescent="0.2">
      <c r="A12" s="569" t="s">
        <v>530</v>
      </c>
      <c r="B12" s="570" t="s">
        <v>745</v>
      </c>
      <c r="C12" s="570" t="s">
        <v>649</v>
      </c>
      <c r="D12" s="570" t="s">
        <v>650</v>
      </c>
      <c r="E12" s="570" t="s">
        <v>651</v>
      </c>
      <c r="F12" s="587">
        <v>2</v>
      </c>
      <c r="G12" s="587">
        <v>158.19999999999999</v>
      </c>
      <c r="H12" s="575">
        <v>1</v>
      </c>
      <c r="I12" s="587"/>
      <c r="J12" s="587"/>
      <c r="K12" s="575">
        <v>0</v>
      </c>
      <c r="L12" s="587">
        <v>2</v>
      </c>
      <c r="M12" s="588">
        <v>158.19999999999999</v>
      </c>
    </row>
    <row r="13" spans="1:13" ht="14.45" customHeight="1" x14ac:dyDescent="0.2">
      <c r="A13" s="569" t="s">
        <v>530</v>
      </c>
      <c r="B13" s="570" t="s">
        <v>743</v>
      </c>
      <c r="C13" s="570" t="s">
        <v>653</v>
      </c>
      <c r="D13" s="570" t="s">
        <v>654</v>
      </c>
      <c r="E13" s="570" t="s">
        <v>655</v>
      </c>
      <c r="F13" s="587"/>
      <c r="G13" s="587"/>
      <c r="H13" s="575"/>
      <c r="I13" s="587">
        <v>1</v>
      </c>
      <c r="J13" s="587">
        <v>0</v>
      </c>
      <c r="K13" s="575"/>
      <c r="L13" s="587">
        <v>1</v>
      </c>
      <c r="M13" s="588">
        <v>0</v>
      </c>
    </row>
    <row r="14" spans="1:13" ht="14.45" customHeight="1" x14ac:dyDescent="0.2">
      <c r="A14" s="569" t="s">
        <v>532</v>
      </c>
      <c r="B14" s="570" t="s">
        <v>743</v>
      </c>
      <c r="C14" s="570" t="s">
        <v>682</v>
      </c>
      <c r="D14" s="570" t="s">
        <v>654</v>
      </c>
      <c r="E14" s="570" t="s">
        <v>683</v>
      </c>
      <c r="F14" s="587"/>
      <c r="G14" s="587"/>
      <c r="H14" s="575"/>
      <c r="I14" s="587">
        <v>1</v>
      </c>
      <c r="J14" s="587">
        <v>0</v>
      </c>
      <c r="K14" s="575"/>
      <c r="L14" s="587">
        <v>1</v>
      </c>
      <c r="M14" s="588">
        <v>0</v>
      </c>
    </row>
    <row r="15" spans="1:13" ht="14.45" customHeight="1" x14ac:dyDescent="0.2">
      <c r="A15" s="569" t="s">
        <v>534</v>
      </c>
      <c r="B15" s="570" t="s">
        <v>740</v>
      </c>
      <c r="C15" s="570" t="s">
        <v>668</v>
      </c>
      <c r="D15" s="570" t="s">
        <v>669</v>
      </c>
      <c r="E15" s="570" t="s">
        <v>670</v>
      </c>
      <c r="F15" s="587"/>
      <c r="G15" s="587"/>
      <c r="H15" s="575">
        <v>0</v>
      </c>
      <c r="I15" s="587">
        <v>3</v>
      </c>
      <c r="J15" s="587">
        <v>463.08000000000004</v>
      </c>
      <c r="K15" s="575">
        <v>1</v>
      </c>
      <c r="L15" s="587">
        <v>3</v>
      </c>
      <c r="M15" s="588">
        <v>463.08000000000004</v>
      </c>
    </row>
    <row r="16" spans="1:13" ht="14.45" customHeight="1" x14ac:dyDescent="0.2">
      <c r="A16" s="569" t="s">
        <v>534</v>
      </c>
      <c r="B16" s="570" t="s">
        <v>746</v>
      </c>
      <c r="C16" s="570" t="s">
        <v>664</v>
      </c>
      <c r="D16" s="570" t="s">
        <v>665</v>
      </c>
      <c r="E16" s="570" t="s">
        <v>666</v>
      </c>
      <c r="F16" s="587"/>
      <c r="G16" s="587"/>
      <c r="H16" s="575">
        <v>0</v>
      </c>
      <c r="I16" s="587">
        <v>2</v>
      </c>
      <c r="J16" s="587">
        <v>127.5</v>
      </c>
      <c r="K16" s="575">
        <v>1</v>
      </c>
      <c r="L16" s="587">
        <v>2</v>
      </c>
      <c r="M16" s="588">
        <v>127.5</v>
      </c>
    </row>
    <row r="17" spans="1:13" ht="14.45" customHeight="1" x14ac:dyDescent="0.2">
      <c r="A17" s="569" t="s">
        <v>535</v>
      </c>
      <c r="B17" s="570" t="s">
        <v>747</v>
      </c>
      <c r="C17" s="570" t="s">
        <v>618</v>
      </c>
      <c r="D17" s="570" t="s">
        <v>619</v>
      </c>
      <c r="E17" s="570" t="s">
        <v>620</v>
      </c>
      <c r="F17" s="587"/>
      <c r="G17" s="587"/>
      <c r="H17" s="575">
        <v>0</v>
      </c>
      <c r="I17" s="587">
        <v>3</v>
      </c>
      <c r="J17" s="587">
        <v>220.35000000000002</v>
      </c>
      <c r="K17" s="575">
        <v>1</v>
      </c>
      <c r="L17" s="587">
        <v>3</v>
      </c>
      <c r="M17" s="588">
        <v>220.35000000000002</v>
      </c>
    </row>
    <row r="18" spans="1:13" ht="14.45" customHeight="1" x14ac:dyDescent="0.2">
      <c r="A18" s="569" t="s">
        <v>535</v>
      </c>
      <c r="B18" s="570" t="s">
        <v>748</v>
      </c>
      <c r="C18" s="570" t="s">
        <v>554</v>
      </c>
      <c r="D18" s="570" t="s">
        <v>555</v>
      </c>
      <c r="E18" s="570" t="s">
        <v>556</v>
      </c>
      <c r="F18" s="587"/>
      <c r="G18" s="587"/>
      <c r="H18" s="575">
        <v>0</v>
      </c>
      <c r="I18" s="587">
        <v>2</v>
      </c>
      <c r="J18" s="587">
        <v>336.82</v>
      </c>
      <c r="K18" s="575">
        <v>1</v>
      </c>
      <c r="L18" s="587">
        <v>2</v>
      </c>
      <c r="M18" s="588">
        <v>336.82</v>
      </c>
    </row>
    <row r="19" spans="1:13" ht="14.45" customHeight="1" x14ac:dyDescent="0.2">
      <c r="A19" s="569" t="s">
        <v>535</v>
      </c>
      <c r="B19" s="570" t="s">
        <v>749</v>
      </c>
      <c r="C19" s="570" t="s">
        <v>546</v>
      </c>
      <c r="D19" s="570" t="s">
        <v>547</v>
      </c>
      <c r="E19" s="570" t="s">
        <v>548</v>
      </c>
      <c r="F19" s="587"/>
      <c r="G19" s="587"/>
      <c r="H19" s="575">
        <v>0</v>
      </c>
      <c r="I19" s="587">
        <v>2</v>
      </c>
      <c r="J19" s="587">
        <v>112.12</v>
      </c>
      <c r="K19" s="575">
        <v>1</v>
      </c>
      <c r="L19" s="587">
        <v>2</v>
      </c>
      <c r="M19" s="588">
        <v>112.12</v>
      </c>
    </row>
    <row r="20" spans="1:13" ht="14.45" customHeight="1" x14ac:dyDescent="0.2">
      <c r="A20" s="569" t="s">
        <v>535</v>
      </c>
      <c r="B20" s="570" t="s">
        <v>750</v>
      </c>
      <c r="C20" s="570" t="s">
        <v>583</v>
      </c>
      <c r="D20" s="570" t="s">
        <v>584</v>
      </c>
      <c r="E20" s="570" t="s">
        <v>585</v>
      </c>
      <c r="F20" s="587"/>
      <c r="G20" s="587"/>
      <c r="H20" s="575">
        <v>0</v>
      </c>
      <c r="I20" s="587">
        <v>2</v>
      </c>
      <c r="J20" s="587">
        <v>346.24</v>
      </c>
      <c r="K20" s="575">
        <v>1</v>
      </c>
      <c r="L20" s="587">
        <v>2</v>
      </c>
      <c r="M20" s="588">
        <v>346.24</v>
      </c>
    </row>
    <row r="21" spans="1:13" ht="14.45" customHeight="1" x14ac:dyDescent="0.2">
      <c r="A21" s="569" t="s">
        <v>535</v>
      </c>
      <c r="B21" s="570" t="s">
        <v>744</v>
      </c>
      <c r="C21" s="570" t="s">
        <v>622</v>
      </c>
      <c r="D21" s="570" t="s">
        <v>623</v>
      </c>
      <c r="E21" s="570" t="s">
        <v>624</v>
      </c>
      <c r="F21" s="587"/>
      <c r="G21" s="587"/>
      <c r="H21" s="575">
        <v>0</v>
      </c>
      <c r="I21" s="587">
        <v>1</v>
      </c>
      <c r="J21" s="587">
        <v>141.25</v>
      </c>
      <c r="K21" s="575">
        <v>1</v>
      </c>
      <c r="L21" s="587">
        <v>1</v>
      </c>
      <c r="M21" s="588">
        <v>141.25</v>
      </c>
    </row>
    <row r="22" spans="1:13" ht="14.45" customHeight="1" x14ac:dyDescent="0.2">
      <c r="A22" s="569" t="s">
        <v>535</v>
      </c>
      <c r="B22" s="570" t="s">
        <v>751</v>
      </c>
      <c r="C22" s="570" t="s">
        <v>558</v>
      </c>
      <c r="D22" s="570" t="s">
        <v>559</v>
      </c>
      <c r="E22" s="570" t="s">
        <v>560</v>
      </c>
      <c r="F22" s="587"/>
      <c r="G22" s="587"/>
      <c r="H22" s="575">
        <v>0</v>
      </c>
      <c r="I22" s="587">
        <v>1</v>
      </c>
      <c r="J22" s="587">
        <v>176.32</v>
      </c>
      <c r="K22" s="575">
        <v>1</v>
      </c>
      <c r="L22" s="587">
        <v>1</v>
      </c>
      <c r="M22" s="588">
        <v>176.32</v>
      </c>
    </row>
    <row r="23" spans="1:13" ht="14.45" customHeight="1" thickBot="1" x14ac:dyDescent="0.25">
      <c r="A23" s="577" t="s">
        <v>536</v>
      </c>
      <c r="B23" s="578" t="s">
        <v>749</v>
      </c>
      <c r="C23" s="578" t="s">
        <v>546</v>
      </c>
      <c r="D23" s="578" t="s">
        <v>547</v>
      </c>
      <c r="E23" s="578" t="s">
        <v>548</v>
      </c>
      <c r="F23" s="589"/>
      <c r="G23" s="589"/>
      <c r="H23" s="583">
        <v>0</v>
      </c>
      <c r="I23" s="589">
        <v>2</v>
      </c>
      <c r="J23" s="589">
        <v>112.12</v>
      </c>
      <c r="K23" s="583">
        <v>1</v>
      </c>
      <c r="L23" s="589">
        <v>2</v>
      </c>
      <c r="M23" s="590">
        <v>112.12</v>
      </c>
    </row>
  </sheetData>
  <autoFilter ref="A5:M1005" xr:uid="{00000000-0009-0000-0000-000016000000}"/>
  <mergeCells count="4">
    <mergeCell ref="A1:M1"/>
    <mergeCell ref="F4:H4"/>
    <mergeCell ref="I4:K4"/>
    <mergeCell ref="L4:M4"/>
  </mergeCells>
  <hyperlinks>
    <hyperlink ref="A2" location="Obsah!A1" display="Zpět na Obsah  KL 01  1.-4.měsíc" xr:uid="{CDE711D5-B8AA-4FE9-AB4A-6426A92EFCE3}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List51">
    <tabColor theme="3" tint="0.39997558519241921"/>
    <pageSetUpPr fitToPage="1"/>
  </sheetPr>
  <dimension ref="A1:J35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hidden="1" customWidth="1" outlineLevel="1"/>
    <col min="4" max="4" width="9.5703125" style="209" customWidth="1" collapsed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139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38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477</v>
      </c>
      <c r="B5" s="466" t="s">
        <v>478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477</v>
      </c>
      <c r="B6" s="466" t="s">
        <v>753</v>
      </c>
      <c r="C6" s="467">
        <v>4386.0187200000009</v>
      </c>
      <c r="D6" s="467">
        <v>3092.3704499999994</v>
      </c>
      <c r="E6" s="467"/>
      <c r="F6" s="467">
        <v>4733.8287100000016</v>
      </c>
      <c r="G6" s="467">
        <v>0</v>
      </c>
      <c r="H6" s="467">
        <v>4733.8287100000016</v>
      </c>
      <c r="I6" s="468" t="s">
        <v>271</v>
      </c>
      <c r="J6" s="469" t="s">
        <v>1</v>
      </c>
    </row>
    <row r="7" spans="1:10" ht="14.45" customHeight="1" x14ac:dyDescent="0.2">
      <c r="A7" s="465" t="s">
        <v>477</v>
      </c>
      <c r="B7" s="466" t="s">
        <v>754</v>
      </c>
      <c r="C7" s="467">
        <v>254.07305999999994</v>
      </c>
      <c r="D7" s="467">
        <v>213.06486999999993</v>
      </c>
      <c r="E7" s="467"/>
      <c r="F7" s="467">
        <v>248.30538000000007</v>
      </c>
      <c r="G7" s="467">
        <v>0</v>
      </c>
      <c r="H7" s="467">
        <v>248.30538000000007</v>
      </c>
      <c r="I7" s="468" t="s">
        <v>271</v>
      </c>
      <c r="J7" s="469" t="s">
        <v>1</v>
      </c>
    </row>
    <row r="8" spans="1:10" ht="14.45" customHeight="1" x14ac:dyDescent="0.2">
      <c r="A8" s="465" t="s">
        <v>477</v>
      </c>
      <c r="B8" s="466" t="s">
        <v>755</v>
      </c>
      <c r="C8" s="467">
        <v>8.2284700000000015</v>
      </c>
      <c r="D8" s="467">
        <v>7.5468200000000003</v>
      </c>
      <c r="E8" s="467"/>
      <c r="F8" s="467">
        <v>5.0323700000000002</v>
      </c>
      <c r="G8" s="467">
        <v>0</v>
      </c>
      <c r="H8" s="467">
        <v>5.0323700000000002</v>
      </c>
      <c r="I8" s="468" t="s">
        <v>271</v>
      </c>
      <c r="J8" s="469" t="s">
        <v>1</v>
      </c>
    </row>
    <row r="9" spans="1:10" ht="14.45" customHeight="1" x14ac:dyDescent="0.2">
      <c r="A9" s="465" t="s">
        <v>477</v>
      </c>
      <c r="B9" s="466" t="s">
        <v>756</v>
      </c>
      <c r="C9" s="467">
        <v>148.39417000000003</v>
      </c>
      <c r="D9" s="467">
        <v>97.367499999999993</v>
      </c>
      <c r="E9" s="467"/>
      <c r="F9" s="467">
        <v>41.536200000000008</v>
      </c>
      <c r="G9" s="467">
        <v>0</v>
      </c>
      <c r="H9" s="467">
        <v>41.536200000000008</v>
      </c>
      <c r="I9" s="468" t="s">
        <v>271</v>
      </c>
      <c r="J9" s="469" t="s">
        <v>1</v>
      </c>
    </row>
    <row r="10" spans="1:10" ht="14.45" customHeight="1" x14ac:dyDescent="0.2">
      <c r="A10" s="465" t="s">
        <v>477</v>
      </c>
      <c r="B10" s="466" t="s">
        <v>757</v>
      </c>
      <c r="C10" s="467">
        <v>0</v>
      </c>
      <c r="D10" s="467">
        <v>0</v>
      </c>
      <c r="E10" s="467"/>
      <c r="F10" s="467">
        <v>0.41494999999999999</v>
      </c>
      <c r="G10" s="467">
        <v>0</v>
      </c>
      <c r="H10" s="467">
        <v>0.41494999999999999</v>
      </c>
      <c r="I10" s="468" t="s">
        <v>271</v>
      </c>
      <c r="J10" s="469" t="s">
        <v>1</v>
      </c>
    </row>
    <row r="11" spans="1:10" ht="14.45" customHeight="1" x14ac:dyDescent="0.2">
      <c r="A11" s="465" t="s">
        <v>477</v>
      </c>
      <c r="B11" s="466" t="s">
        <v>758</v>
      </c>
      <c r="C11" s="467">
        <v>3.1909999999999998</v>
      </c>
      <c r="D11" s="467">
        <v>3.5680000000000001</v>
      </c>
      <c r="E11" s="467"/>
      <c r="F11" s="467">
        <v>3.7904</v>
      </c>
      <c r="G11" s="467">
        <v>0</v>
      </c>
      <c r="H11" s="467">
        <v>3.7904</v>
      </c>
      <c r="I11" s="468" t="s">
        <v>271</v>
      </c>
      <c r="J11" s="469" t="s">
        <v>1</v>
      </c>
    </row>
    <row r="12" spans="1:10" ht="14.45" customHeight="1" x14ac:dyDescent="0.2">
      <c r="A12" s="465" t="s">
        <v>477</v>
      </c>
      <c r="B12" s="466" t="s">
        <v>759</v>
      </c>
      <c r="C12" s="467">
        <v>18.904980000000002</v>
      </c>
      <c r="D12" s="467">
        <v>15.04715</v>
      </c>
      <c r="E12" s="467"/>
      <c r="F12" s="467">
        <v>28.67942</v>
      </c>
      <c r="G12" s="467">
        <v>0</v>
      </c>
      <c r="H12" s="467">
        <v>28.67942</v>
      </c>
      <c r="I12" s="468" t="s">
        <v>271</v>
      </c>
      <c r="J12" s="469" t="s">
        <v>1</v>
      </c>
    </row>
    <row r="13" spans="1:10" ht="14.45" customHeight="1" x14ac:dyDescent="0.2">
      <c r="A13" s="465" t="s">
        <v>477</v>
      </c>
      <c r="B13" s="466" t="s">
        <v>480</v>
      </c>
      <c r="C13" s="467">
        <v>4818.8104000000003</v>
      </c>
      <c r="D13" s="467">
        <v>3428.9647899999995</v>
      </c>
      <c r="E13" s="467"/>
      <c r="F13" s="467">
        <v>5061.5874300000014</v>
      </c>
      <c r="G13" s="467">
        <v>0</v>
      </c>
      <c r="H13" s="467">
        <v>5061.5874300000014</v>
      </c>
      <c r="I13" s="468" t="s">
        <v>271</v>
      </c>
      <c r="J13" s="469" t="s">
        <v>481</v>
      </c>
    </row>
    <row r="15" spans="1:10" ht="14.45" customHeight="1" x14ac:dyDescent="0.2">
      <c r="A15" s="465" t="s">
        <v>477</v>
      </c>
      <c r="B15" s="466" t="s">
        <v>478</v>
      </c>
      <c r="C15" s="467" t="s">
        <v>271</v>
      </c>
      <c r="D15" s="467" t="s">
        <v>271</v>
      </c>
      <c r="E15" s="467"/>
      <c r="F15" s="467" t="s">
        <v>271</v>
      </c>
      <c r="G15" s="467" t="s">
        <v>271</v>
      </c>
      <c r="H15" s="467" t="s">
        <v>271</v>
      </c>
      <c r="I15" s="468" t="s">
        <v>271</v>
      </c>
      <c r="J15" s="469" t="s">
        <v>68</v>
      </c>
    </row>
    <row r="16" spans="1:10" ht="14.45" customHeight="1" x14ac:dyDescent="0.2">
      <c r="A16" s="465" t="s">
        <v>482</v>
      </c>
      <c r="B16" s="466" t="s">
        <v>483</v>
      </c>
      <c r="C16" s="467" t="s">
        <v>271</v>
      </c>
      <c r="D16" s="467" t="s">
        <v>271</v>
      </c>
      <c r="E16" s="467"/>
      <c r="F16" s="467" t="s">
        <v>271</v>
      </c>
      <c r="G16" s="467" t="s">
        <v>271</v>
      </c>
      <c r="H16" s="467" t="s">
        <v>271</v>
      </c>
      <c r="I16" s="468" t="s">
        <v>271</v>
      </c>
      <c r="J16" s="469" t="s">
        <v>0</v>
      </c>
    </row>
    <row r="17" spans="1:10" ht="14.45" customHeight="1" x14ac:dyDescent="0.2">
      <c r="A17" s="465" t="s">
        <v>482</v>
      </c>
      <c r="B17" s="466" t="s">
        <v>753</v>
      </c>
      <c r="C17" s="467">
        <v>0.65405999999999997</v>
      </c>
      <c r="D17" s="467">
        <v>0</v>
      </c>
      <c r="E17" s="467"/>
      <c r="F17" s="467">
        <v>1.94269</v>
      </c>
      <c r="G17" s="467">
        <v>0</v>
      </c>
      <c r="H17" s="467">
        <v>1.94269</v>
      </c>
      <c r="I17" s="468" t="s">
        <v>271</v>
      </c>
      <c r="J17" s="469" t="s">
        <v>1</v>
      </c>
    </row>
    <row r="18" spans="1:10" ht="14.45" customHeight="1" x14ac:dyDescent="0.2">
      <c r="A18" s="465" t="s">
        <v>482</v>
      </c>
      <c r="B18" s="466" t="s">
        <v>754</v>
      </c>
      <c r="C18" s="467">
        <v>0</v>
      </c>
      <c r="D18" s="467">
        <v>1.5812299999999999</v>
      </c>
      <c r="E18" s="467"/>
      <c r="F18" s="467">
        <v>4.2664600000000004</v>
      </c>
      <c r="G18" s="467">
        <v>0</v>
      </c>
      <c r="H18" s="467">
        <v>4.2664600000000004</v>
      </c>
      <c r="I18" s="468" t="s">
        <v>271</v>
      </c>
      <c r="J18" s="469" t="s">
        <v>1</v>
      </c>
    </row>
    <row r="19" spans="1:10" ht="14.45" customHeight="1" x14ac:dyDescent="0.2">
      <c r="A19" s="465" t="s">
        <v>482</v>
      </c>
      <c r="B19" s="466" t="s">
        <v>755</v>
      </c>
      <c r="C19" s="467">
        <v>5.9966400000000011</v>
      </c>
      <c r="D19" s="467">
        <v>5.0690700000000009</v>
      </c>
      <c r="E19" s="467"/>
      <c r="F19" s="467">
        <v>3.11843</v>
      </c>
      <c r="G19" s="467">
        <v>0</v>
      </c>
      <c r="H19" s="467">
        <v>3.11843</v>
      </c>
      <c r="I19" s="468" t="s">
        <v>271</v>
      </c>
      <c r="J19" s="469" t="s">
        <v>1</v>
      </c>
    </row>
    <row r="20" spans="1:10" ht="14.45" customHeight="1" x14ac:dyDescent="0.2">
      <c r="A20" s="465" t="s">
        <v>482</v>
      </c>
      <c r="B20" s="466" t="s">
        <v>756</v>
      </c>
      <c r="C20" s="467">
        <v>19.26942</v>
      </c>
      <c r="D20" s="467">
        <v>20.921470000000003</v>
      </c>
      <c r="E20" s="467"/>
      <c r="F20" s="467">
        <v>13.322930000000003</v>
      </c>
      <c r="G20" s="467">
        <v>0</v>
      </c>
      <c r="H20" s="467">
        <v>13.322930000000003</v>
      </c>
      <c r="I20" s="468" t="s">
        <v>271</v>
      </c>
      <c r="J20" s="469" t="s">
        <v>1</v>
      </c>
    </row>
    <row r="21" spans="1:10" ht="14.45" customHeight="1" x14ac:dyDescent="0.2">
      <c r="A21" s="465" t="s">
        <v>482</v>
      </c>
      <c r="B21" s="466" t="s">
        <v>757</v>
      </c>
      <c r="C21" s="467">
        <v>0</v>
      </c>
      <c r="D21" s="467">
        <v>0</v>
      </c>
      <c r="E21" s="467"/>
      <c r="F21" s="467">
        <v>0.41494999999999999</v>
      </c>
      <c r="G21" s="467">
        <v>0</v>
      </c>
      <c r="H21" s="467">
        <v>0.41494999999999999</v>
      </c>
      <c r="I21" s="468" t="s">
        <v>271</v>
      </c>
      <c r="J21" s="469" t="s">
        <v>1</v>
      </c>
    </row>
    <row r="22" spans="1:10" ht="14.45" customHeight="1" x14ac:dyDescent="0.2">
      <c r="A22" s="465" t="s">
        <v>482</v>
      </c>
      <c r="B22" s="466" t="s">
        <v>758</v>
      </c>
      <c r="C22" s="467">
        <v>2.6179999999999999</v>
      </c>
      <c r="D22" s="467">
        <v>3.1379999999999999</v>
      </c>
      <c r="E22" s="467"/>
      <c r="F22" s="467">
        <v>3.3740000000000001</v>
      </c>
      <c r="G22" s="467">
        <v>0</v>
      </c>
      <c r="H22" s="467">
        <v>3.3740000000000001</v>
      </c>
      <c r="I22" s="468" t="s">
        <v>271</v>
      </c>
      <c r="J22" s="469" t="s">
        <v>1</v>
      </c>
    </row>
    <row r="23" spans="1:10" ht="14.45" customHeight="1" x14ac:dyDescent="0.2">
      <c r="A23" s="465" t="s">
        <v>482</v>
      </c>
      <c r="B23" s="466" t="s">
        <v>759</v>
      </c>
      <c r="C23" s="467">
        <v>6.6588200000000004</v>
      </c>
      <c r="D23" s="467">
        <v>6.7366700000000002</v>
      </c>
      <c r="E23" s="467"/>
      <c r="F23" s="467">
        <v>11.406619999999998</v>
      </c>
      <c r="G23" s="467">
        <v>0</v>
      </c>
      <c r="H23" s="467">
        <v>11.406619999999998</v>
      </c>
      <c r="I23" s="468" t="s">
        <v>271</v>
      </c>
      <c r="J23" s="469" t="s">
        <v>1</v>
      </c>
    </row>
    <row r="24" spans="1:10" ht="14.45" customHeight="1" x14ac:dyDescent="0.2">
      <c r="A24" s="465" t="s">
        <v>482</v>
      </c>
      <c r="B24" s="466" t="s">
        <v>484</v>
      </c>
      <c r="C24" s="467">
        <v>35.196939999999998</v>
      </c>
      <c r="D24" s="467">
        <v>37.44644000000001</v>
      </c>
      <c r="E24" s="467"/>
      <c r="F24" s="467">
        <v>37.846080000000001</v>
      </c>
      <c r="G24" s="467">
        <v>0</v>
      </c>
      <c r="H24" s="467">
        <v>37.846080000000001</v>
      </c>
      <c r="I24" s="468" t="s">
        <v>271</v>
      </c>
      <c r="J24" s="469" t="s">
        <v>485</v>
      </c>
    </row>
    <row r="25" spans="1:10" ht="14.45" customHeight="1" x14ac:dyDescent="0.2">
      <c r="A25" s="465" t="s">
        <v>271</v>
      </c>
      <c r="B25" s="466" t="s">
        <v>271</v>
      </c>
      <c r="C25" s="467" t="s">
        <v>271</v>
      </c>
      <c r="D25" s="467" t="s">
        <v>271</v>
      </c>
      <c r="E25" s="467"/>
      <c r="F25" s="467" t="s">
        <v>271</v>
      </c>
      <c r="G25" s="467" t="s">
        <v>271</v>
      </c>
      <c r="H25" s="467" t="s">
        <v>271</v>
      </c>
      <c r="I25" s="468" t="s">
        <v>271</v>
      </c>
      <c r="J25" s="469" t="s">
        <v>486</v>
      </c>
    </row>
    <row r="26" spans="1:10" ht="14.45" customHeight="1" x14ac:dyDescent="0.2">
      <c r="A26" s="465" t="s">
        <v>487</v>
      </c>
      <c r="B26" s="466" t="s">
        <v>488</v>
      </c>
      <c r="C26" s="467" t="s">
        <v>271</v>
      </c>
      <c r="D26" s="467" t="s">
        <v>271</v>
      </c>
      <c r="E26" s="467"/>
      <c r="F26" s="467" t="s">
        <v>271</v>
      </c>
      <c r="G26" s="467" t="s">
        <v>271</v>
      </c>
      <c r="H26" s="467" t="s">
        <v>271</v>
      </c>
      <c r="I26" s="468" t="s">
        <v>271</v>
      </c>
      <c r="J26" s="469" t="s">
        <v>0</v>
      </c>
    </row>
    <row r="27" spans="1:10" ht="14.45" customHeight="1" x14ac:dyDescent="0.2">
      <c r="A27" s="465" t="s">
        <v>487</v>
      </c>
      <c r="B27" s="466" t="s">
        <v>753</v>
      </c>
      <c r="C27" s="467">
        <v>4385.3646600000011</v>
      </c>
      <c r="D27" s="467">
        <v>3092.3704499999994</v>
      </c>
      <c r="E27" s="467"/>
      <c r="F27" s="467">
        <v>4731.8860200000017</v>
      </c>
      <c r="G27" s="467">
        <v>0</v>
      </c>
      <c r="H27" s="467">
        <v>4731.8860200000017</v>
      </c>
      <c r="I27" s="468" t="s">
        <v>271</v>
      </c>
      <c r="J27" s="469" t="s">
        <v>1</v>
      </c>
    </row>
    <row r="28" spans="1:10" ht="14.45" customHeight="1" x14ac:dyDescent="0.2">
      <c r="A28" s="465" t="s">
        <v>487</v>
      </c>
      <c r="B28" s="466" t="s">
        <v>754</v>
      </c>
      <c r="C28" s="467">
        <v>254.07305999999994</v>
      </c>
      <c r="D28" s="467">
        <v>211.48363999999992</v>
      </c>
      <c r="E28" s="467"/>
      <c r="F28" s="467">
        <v>244.03892000000008</v>
      </c>
      <c r="G28" s="467">
        <v>0</v>
      </c>
      <c r="H28" s="467">
        <v>244.03892000000008</v>
      </c>
      <c r="I28" s="468" t="s">
        <v>271</v>
      </c>
      <c r="J28" s="469" t="s">
        <v>1</v>
      </c>
    </row>
    <row r="29" spans="1:10" ht="14.45" customHeight="1" x14ac:dyDescent="0.2">
      <c r="A29" s="465" t="s">
        <v>487</v>
      </c>
      <c r="B29" s="466" t="s">
        <v>755</v>
      </c>
      <c r="C29" s="467">
        <v>2.23183</v>
      </c>
      <c r="D29" s="467">
        <v>2.4777499999999999</v>
      </c>
      <c r="E29" s="467"/>
      <c r="F29" s="467">
        <v>1.91394</v>
      </c>
      <c r="G29" s="467">
        <v>0</v>
      </c>
      <c r="H29" s="467">
        <v>1.91394</v>
      </c>
      <c r="I29" s="468" t="s">
        <v>271</v>
      </c>
      <c r="J29" s="469" t="s">
        <v>1</v>
      </c>
    </row>
    <row r="30" spans="1:10" ht="14.45" customHeight="1" x14ac:dyDescent="0.2">
      <c r="A30" s="465" t="s">
        <v>487</v>
      </c>
      <c r="B30" s="466" t="s">
        <v>756</v>
      </c>
      <c r="C30" s="467">
        <v>129.12475000000003</v>
      </c>
      <c r="D30" s="467">
        <v>76.446029999999993</v>
      </c>
      <c r="E30" s="467"/>
      <c r="F30" s="467">
        <v>28.213270000000001</v>
      </c>
      <c r="G30" s="467">
        <v>0</v>
      </c>
      <c r="H30" s="467">
        <v>28.213270000000001</v>
      </c>
      <c r="I30" s="468" t="s">
        <v>271</v>
      </c>
      <c r="J30" s="469" t="s">
        <v>1</v>
      </c>
    </row>
    <row r="31" spans="1:10" ht="14.45" customHeight="1" x14ac:dyDescent="0.2">
      <c r="A31" s="465" t="s">
        <v>487</v>
      </c>
      <c r="B31" s="466" t="s">
        <v>758</v>
      </c>
      <c r="C31" s="467">
        <v>0.57299999999999995</v>
      </c>
      <c r="D31" s="467">
        <v>0.43</v>
      </c>
      <c r="E31" s="467"/>
      <c r="F31" s="467">
        <v>0.41639999999999999</v>
      </c>
      <c r="G31" s="467">
        <v>0</v>
      </c>
      <c r="H31" s="467">
        <v>0.41639999999999999</v>
      </c>
      <c r="I31" s="468" t="s">
        <v>271</v>
      </c>
      <c r="J31" s="469" t="s">
        <v>1</v>
      </c>
    </row>
    <row r="32" spans="1:10" ht="14.45" customHeight="1" x14ac:dyDescent="0.2">
      <c r="A32" s="465" t="s">
        <v>487</v>
      </c>
      <c r="B32" s="466" t="s">
        <v>759</v>
      </c>
      <c r="C32" s="467">
        <v>12.24616</v>
      </c>
      <c r="D32" s="467">
        <v>8.3104800000000001</v>
      </c>
      <c r="E32" s="467"/>
      <c r="F32" s="467">
        <v>17.2728</v>
      </c>
      <c r="G32" s="467">
        <v>0</v>
      </c>
      <c r="H32" s="467">
        <v>17.2728</v>
      </c>
      <c r="I32" s="468" t="s">
        <v>271</v>
      </c>
      <c r="J32" s="469" t="s">
        <v>1</v>
      </c>
    </row>
    <row r="33" spans="1:10" ht="14.45" customHeight="1" x14ac:dyDescent="0.2">
      <c r="A33" s="465" t="s">
        <v>487</v>
      </c>
      <c r="B33" s="466" t="s">
        <v>489</v>
      </c>
      <c r="C33" s="467">
        <v>4783.6134600000005</v>
      </c>
      <c r="D33" s="467">
        <v>3391.5183499999994</v>
      </c>
      <c r="E33" s="467"/>
      <c r="F33" s="467">
        <v>5023.7413500000021</v>
      </c>
      <c r="G33" s="467">
        <v>0</v>
      </c>
      <c r="H33" s="467">
        <v>5023.7413500000021</v>
      </c>
      <c r="I33" s="468" t="s">
        <v>271</v>
      </c>
      <c r="J33" s="469" t="s">
        <v>485</v>
      </c>
    </row>
    <row r="34" spans="1:10" ht="14.45" customHeight="1" x14ac:dyDescent="0.2">
      <c r="A34" s="465" t="s">
        <v>271</v>
      </c>
      <c r="B34" s="466" t="s">
        <v>271</v>
      </c>
      <c r="C34" s="467" t="s">
        <v>271</v>
      </c>
      <c r="D34" s="467" t="s">
        <v>271</v>
      </c>
      <c r="E34" s="467"/>
      <c r="F34" s="467" t="s">
        <v>271</v>
      </c>
      <c r="G34" s="467" t="s">
        <v>271</v>
      </c>
      <c r="H34" s="467" t="s">
        <v>271</v>
      </c>
      <c r="I34" s="468" t="s">
        <v>271</v>
      </c>
      <c r="J34" s="469" t="s">
        <v>486</v>
      </c>
    </row>
    <row r="35" spans="1:10" ht="14.45" customHeight="1" x14ac:dyDescent="0.2">
      <c r="A35" s="465" t="s">
        <v>477</v>
      </c>
      <c r="B35" s="466" t="s">
        <v>480</v>
      </c>
      <c r="C35" s="467">
        <v>4818.8104000000003</v>
      </c>
      <c r="D35" s="467">
        <v>3428.9647899999995</v>
      </c>
      <c r="E35" s="467"/>
      <c r="F35" s="467">
        <v>5061.5874300000023</v>
      </c>
      <c r="G35" s="467">
        <v>0</v>
      </c>
      <c r="H35" s="467">
        <v>5061.5874300000023</v>
      </c>
      <c r="I35" s="468" t="s">
        <v>271</v>
      </c>
      <c r="J35" s="469" t="s">
        <v>481</v>
      </c>
    </row>
  </sheetData>
  <mergeCells count="3">
    <mergeCell ref="A1:I1"/>
    <mergeCell ref="F3:I3"/>
    <mergeCell ref="C4:D4"/>
  </mergeCells>
  <conditionalFormatting sqref="F14 F36:F65537">
    <cfRule type="cellIs" dxfId="20" priority="18" stopIfTrue="1" operator="greaterThan">
      <formula>1</formula>
    </cfRule>
  </conditionalFormatting>
  <conditionalFormatting sqref="H5:H13">
    <cfRule type="expression" dxfId="19" priority="14">
      <formula>$H5&gt;0</formula>
    </cfRule>
  </conditionalFormatting>
  <conditionalFormatting sqref="I5:I13">
    <cfRule type="expression" dxfId="18" priority="15">
      <formula>$I5&gt;1</formula>
    </cfRule>
  </conditionalFormatting>
  <conditionalFormatting sqref="B5:B13">
    <cfRule type="expression" dxfId="17" priority="11">
      <formula>OR($J5="NS",$J5="SumaNS",$J5="Účet")</formula>
    </cfRule>
  </conditionalFormatting>
  <conditionalFormatting sqref="F5:I13 B5:D13">
    <cfRule type="expression" dxfId="16" priority="17">
      <formula>AND($J5&lt;&gt;"",$J5&lt;&gt;"mezeraKL")</formula>
    </cfRule>
  </conditionalFormatting>
  <conditionalFormatting sqref="B5:D13 F5:I13">
    <cfRule type="expression" dxfId="15" priority="12">
      <formula>OR($J5="KL",$J5="SumaKL")</formula>
    </cfRule>
    <cfRule type="expression" priority="16" stopIfTrue="1">
      <formula>OR($J5="mezeraNS",$J5="mezeraKL")</formula>
    </cfRule>
  </conditionalFormatting>
  <conditionalFormatting sqref="B5:D13 F5:I13">
    <cfRule type="expression" dxfId="14" priority="13">
      <formula>OR($J5="SumaNS",$J5="NS")</formula>
    </cfRule>
  </conditionalFormatting>
  <conditionalFormatting sqref="A5:A13">
    <cfRule type="expression" dxfId="13" priority="9">
      <formula>AND($J5&lt;&gt;"mezeraKL",$J5&lt;&gt;"")</formula>
    </cfRule>
  </conditionalFormatting>
  <conditionalFormatting sqref="A5:A13">
    <cfRule type="expression" dxfId="12" priority="10">
      <formula>AND($J5&lt;&gt;"",$J5&lt;&gt;"mezeraKL")</formula>
    </cfRule>
  </conditionalFormatting>
  <conditionalFormatting sqref="H15:H35">
    <cfRule type="expression" dxfId="11" priority="6">
      <formula>$H15&gt;0</formula>
    </cfRule>
  </conditionalFormatting>
  <conditionalFormatting sqref="A15:A35">
    <cfRule type="expression" dxfId="10" priority="5">
      <formula>AND($J15&lt;&gt;"mezeraKL",$J15&lt;&gt;"")</formula>
    </cfRule>
  </conditionalFormatting>
  <conditionalFormatting sqref="I15:I35">
    <cfRule type="expression" dxfId="9" priority="7">
      <formula>$I15&gt;1</formula>
    </cfRule>
  </conditionalFormatting>
  <conditionalFormatting sqref="B15:B35">
    <cfRule type="expression" dxfId="8" priority="4">
      <formula>OR($J15="NS",$J15="SumaNS",$J15="Účet")</formula>
    </cfRule>
  </conditionalFormatting>
  <conditionalFormatting sqref="A15:D35 F15:I35">
    <cfRule type="expression" dxfId="7" priority="8">
      <formula>AND($J15&lt;&gt;"",$J15&lt;&gt;"mezeraKL")</formula>
    </cfRule>
  </conditionalFormatting>
  <conditionalFormatting sqref="B15:D35 F15:I35">
    <cfRule type="expression" dxfId="6" priority="1">
      <formula>OR($J15="KL",$J15="SumaKL")</formula>
    </cfRule>
    <cfRule type="expression" priority="3" stopIfTrue="1">
      <formula>OR($J15="mezeraNS",$J15="mezeraKL")</formula>
    </cfRule>
  </conditionalFormatting>
  <conditionalFormatting sqref="B15:D35 F15:I35">
    <cfRule type="expression" dxfId="5" priority="2">
      <formula>OR($J15="SumaNS",$J15="NS")</formula>
    </cfRule>
  </conditionalFormatting>
  <hyperlinks>
    <hyperlink ref="A2" location="Obsah!A1" display="Zpět na Obsah  KL 01  1.-4.měsíc" xr:uid="{901F173A-4FE4-4A7C-AC23-8CB9065E9AF3}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List141">
    <tabColor theme="0" tint="-0.249977111117893"/>
    <pageSetUpPr fitToPage="1"/>
  </sheetPr>
  <dimension ref="A1:K227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09" bestFit="1" customWidth="1"/>
    <col min="6" max="6" width="18.7109375" style="213" customWidth="1"/>
    <col min="7" max="7" width="12.42578125" style="209" hidden="1" customWidth="1" outlineLevel="1"/>
    <col min="8" max="8" width="25.7109375" style="209" customWidth="1" collapsed="1"/>
    <col min="9" max="9" width="7.7109375" style="207" customWidth="1"/>
    <col min="10" max="10" width="10" style="207" customWidth="1"/>
    <col min="11" max="11" width="11.140625" style="207" customWidth="1"/>
    <col min="12" max="16384" width="8.85546875" style="129"/>
  </cols>
  <sheetData>
    <row r="1" spans="1:11" ht="18.600000000000001" customHeight="1" thickBot="1" x14ac:dyDescent="0.35">
      <c r="A1" s="366" t="s">
        <v>1191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4.45" customHeight="1" thickBot="1" x14ac:dyDescent="0.25">
      <c r="A2" s="232" t="s">
        <v>270</v>
      </c>
      <c r="B2" s="62"/>
      <c r="C2" s="211"/>
      <c r="D2" s="211"/>
      <c r="E2" s="211"/>
      <c r="F2" s="211"/>
      <c r="G2" s="211"/>
      <c r="H2" s="211"/>
      <c r="I2" s="212"/>
      <c r="J2" s="212"/>
      <c r="K2" s="212"/>
    </row>
    <row r="3" spans="1:11" ht="14.45" customHeight="1" thickBot="1" x14ac:dyDescent="0.25">
      <c r="A3" s="62"/>
      <c r="B3" s="62"/>
      <c r="C3" s="362"/>
      <c r="D3" s="363"/>
      <c r="E3" s="363"/>
      <c r="F3" s="363"/>
      <c r="G3" s="363"/>
      <c r="H3" s="141" t="s">
        <v>127</v>
      </c>
      <c r="I3" s="98">
        <f>IF(J3&lt;&gt;0,K3/J3,0)</f>
        <v>28.540980954682627</v>
      </c>
      <c r="J3" s="98">
        <f>SUBTOTAL(9,J5:J1048576)</f>
        <v>178099</v>
      </c>
      <c r="K3" s="99">
        <f>SUBTOTAL(9,K5:K1048576)</f>
        <v>5083120.1670480212</v>
      </c>
    </row>
    <row r="4" spans="1:11" s="208" customFormat="1" ht="14.45" customHeight="1" thickBot="1" x14ac:dyDescent="0.25">
      <c r="A4" s="598" t="s">
        <v>4</v>
      </c>
      <c r="B4" s="599" t="s">
        <v>5</v>
      </c>
      <c r="C4" s="599" t="s">
        <v>0</v>
      </c>
      <c r="D4" s="599" t="s">
        <v>6</v>
      </c>
      <c r="E4" s="599" t="s">
        <v>7</v>
      </c>
      <c r="F4" s="599" t="s">
        <v>1</v>
      </c>
      <c r="G4" s="599" t="s">
        <v>70</v>
      </c>
      <c r="H4" s="473" t="s">
        <v>11</v>
      </c>
      <c r="I4" s="474" t="s">
        <v>142</v>
      </c>
      <c r="J4" s="474" t="s">
        <v>13</v>
      </c>
      <c r="K4" s="475" t="s">
        <v>159</v>
      </c>
    </row>
    <row r="5" spans="1:11" ht="14.45" customHeight="1" x14ac:dyDescent="0.2">
      <c r="A5" s="562" t="s">
        <v>477</v>
      </c>
      <c r="B5" s="563" t="s">
        <v>478</v>
      </c>
      <c r="C5" s="566" t="s">
        <v>482</v>
      </c>
      <c r="D5" s="600" t="s">
        <v>483</v>
      </c>
      <c r="E5" s="566" t="s">
        <v>760</v>
      </c>
      <c r="F5" s="600" t="s">
        <v>761</v>
      </c>
      <c r="G5" s="566" t="s">
        <v>762</v>
      </c>
      <c r="H5" s="566" t="s">
        <v>763</v>
      </c>
      <c r="I5" s="116">
        <v>21.329999923706055</v>
      </c>
      <c r="J5" s="116">
        <v>200</v>
      </c>
      <c r="K5" s="586">
        <v>4266.4599609375</v>
      </c>
    </row>
    <row r="6" spans="1:11" ht="14.45" customHeight="1" x14ac:dyDescent="0.2">
      <c r="A6" s="569" t="s">
        <v>477</v>
      </c>
      <c r="B6" s="570" t="s">
        <v>478</v>
      </c>
      <c r="C6" s="573" t="s">
        <v>482</v>
      </c>
      <c r="D6" s="601" t="s">
        <v>483</v>
      </c>
      <c r="E6" s="573" t="s">
        <v>764</v>
      </c>
      <c r="F6" s="601" t="s">
        <v>765</v>
      </c>
      <c r="G6" s="573" t="s">
        <v>766</v>
      </c>
      <c r="H6" s="573" t="s">
        <v>767</v>
      </c>
      <c r="I6" s="587">
        <v>0.60000002384185791</v>
      </c>
      <c r="J6" s="587">
        <v>1000</v>
      </c>
      <c r="K6" s="588">
        <v>600</v>
      </c>
    </row>
    <row r="7" spans="1:11" ht="14.45" customHeight="1" x14ac:dyDescent="0.2">
      <c r="A7" s="569" t="s">
        <v>477</v>
      </c>
      <c r="B7" s="570" t="s">
        <v>478</v>
      </c>
      <c r="C7" s="573" t="s">
        <v>482</v>
      </c>
      <c r="D7" s="601" t="s">
        <v>483</v>
      </c>
      <c r="E7" s="573" t="s">
        <v>764</v>
      </c>
      <c r="F7" s="601" t="s">
        <v>765</v>
      </c>
      <c r="G7" s="573" t="s">
        <v>768</v>
      </c>
      <c r="H7" s="573" t="s">
        <v>769</v>
      </c>
      <c r="I7" s="587">
        <v>0.85000002384185791</v>
      </c>
      <c r="J7" s="587">
        <v>115</v>
      </c>
      <c r="K7" s="588">
        <v>97.75</v>
      </c>
    </row>
    <row r="8" spans="1:11" ht="14.45" customHeight="1" x14ac:dyDescent="0.2">
      <c r="A8" s="569" t="s">
        <v>477</v>
      </c>
      <c r="B8" s="570" t="s">
        <v>478</v>
      </c>
      <c r="C8" s="573" t="s">
        <v>482</v>
      </c>
      <c r="D8" s="601" t="s">
        <v>483</v>
      </c>
      <c r="E8" s="573" t="s">
        <v>764</v>
      </c>
      <c r="F8" s="601" t="s">
        <v>765</v>
      </c>
      <c r="G8" s="573" t="s">
        <v>770</v>
      </c>
      <c r="H8" s="573" t="s">
        <v>771</v>
      </c>
      <c r="I8" s="587">
        <v>1.5199999809265137</v>
      </c>
      <c r="J8" s="587">
        <v>100</v>
      </c>
      <c r="K8" s="588">
        <v>152</v>
      </c>
    </row>
    <row r="9" spans="1:11" ht="14.45" customHeight="1" x14ac:dyDescent="0.2">
      <c r="A9" s="569" t="s">
        <v>477</v>
      </c>
      <c r="B9" s="570" t="s">
        <v>478</v>
      </c>
      <c r="C9" s="573" t="s">
        <v>482</v>
      </c>
      <c r="D9" s="601" t="s">
        <v>483</v>
      </c>
      <c r="E9" s="573" t="s">
        <v>764</v>
      </c>
      <c r="F9" s="601" t="s">
        <v>765</v>
      </c>
      <c r="G9" s="573" t="s">
        <v>772</v>
      </c>
      <c r="H9" s="573" t="s">
        <v>773</v>
      </c>
      <c r="I9" s="587">
        <v>0.37909090518951416</v>
      </c>
      <c r="J9" s="587">
        <v>2036</v>
      </c>
      <c r="K9" s="588">
        <v>772.68000030517578</v>
      </c>
    </row>
    <row r="10" spans="1:11" ht="14.45" customHeight="1" x14ac:dyDescent="0.2">
      <c r="A10" s="569" t="s">
        <v>477</v>
      </c>
      <c r="B10" s="570" t="s">
        <v>478</v>
      </c>
      <c r="C10" s="573" t="s">
        <v>482</v>
      </c>
      <c r="D10" s="601" t="s">
        <v>483</v>
      </c>
      <c r="E10" s="573" t="s">
        <v>764</v>
      </c>
      <c r="F10" s="601" t="s">
        <v>765</v>
      </c>
      <c r="G10" s="573" t="s">
        <v>774</v>
      </c>
      <c r="H10" s="573" t="s">
        <v>775</v>
      </c>
      <c r="I10" s="587">
        <v>0.50999999046325684</v>
      </c>
      <c r="J10" s="587">
        <v>1500</v>
      </c>
      <c r="K10" s="588">
        <v>765</v>
      </c>
    </row>
    <row r="11" spans="1:11" ht="14.45" customHeight="1" x14ac:dyDescent="0.2">
      <c r="A11" s="569" t="s">
        <v>477</v>
      </c>
      <c r="B11" s="570" t="s">
        <v>478</v>
      </c>
      <c r="C11" s="573" t="s">
        <v>482</v>
      </c>
      <c r="D11" s="601" t="s">
        <v>483</v>
      </c>
      <c r="E11" s="573" t="s">
        <v>764</v>
      </c>
      <c r="F11" s="601" t="s">
        <v>765</v>
      </c>
      <c r="G11" s="573" t="s">
        <v>776</v>
      </c>
      <c r="H11" s="573" t="s">
        <v>777</v>
      </c>
      <c r="I11" s="587">
        <v>31.075000047683716</v>
      </c>
      <c r="J11" s="587">
        <v>8</v>
      </c>
      <c r="K11" s="588">
        <v>248.60000038146973</v>
      </c>
    </row>
    <row r="12" spans="1:11" ht="14.45" customHeight="1" x14ac:dyDescent="0.2">
      <c r="A12" s="569" t="s">
        <v>477</v>
      </c>
      <c r="B12" s="570" t="s">
        <v>478</v>
      </c>
      <c r="C12" s="573" t="s">
        <v>482</v>
      </c>
      <c r="D12" s="601" t="s">
        <v>483</v>
      </c>
      <c r="E12" s="573" t="s">
        <v>764</v>
      </c>
      <c r="F12" s="601" t="s">
        <v>765</v>
      </c>
      <c r="G12" s="573" t="s">
        <v>778</v>
      </c>
      <c r="H12" s="573" t="s">
        <v>779</v>
      </c>
      <c r="I12" s="587">
        <v>30.780000686645508</v>
      </c>
      <c r="J12" s="587">
        <v>15</v>
      </c>
      <c r="K12" s="588">
        <v>461.69998168945313</v>
      </c>
    </row>
    <row r="13" spans="1:11" ht="14.45" customHeight="1" x14ac:dyDescent="0.2">
      <c r="A13" s="569" t="s">
        <v>477</v>
      </c>
      <c r="B13" s="570" t="s">
        <v>478</v>
      </c>
      <c r="C13" s="573" t="s">
        <v>482</v>
      </c>
      <c r="D13" s="601" t="s">
        <v>483</v>
      </c>
      <c r="E13" s="573" t="s">
        <v>764</v>
      </c>
      <c r="F13" s="601" t="s">
        <v>765</v>
      </c>
      <c r="G13" s="573" t="s">
        <v>780</v>
      </c>
      <c r="H13" s="573" t="s">
        <v>781</v>
      </c>
      <c r="I13" s="587">
        <v>10.350000381469727</v>
      </c>
      <c r="J13" s="587">
        <v>2</v>
      </c>
      <c r="K13" s="588">
        <v>20.700000762939453</v>
      </c>
    </row>
    <row r="14" spans="1:11" ht="14.45" customHeight="1" x14ac:dyDescent="0.2">
      <c r="A14" s="569" t="s">
        <v>477</v>
      </c>
      <c r="B14" s="570" t="s">
        <v>478</v>
      </c>
      <c r="C14" s="573" t="s">
        <v>482</v>
      </c>
      <c r="D14" s="601" t="s">
        <v>483</v>
      </c>
      <c r="E14" s="573" t="s">
        <v>782</v>
      </c>
      <c r="F14" s="601" t="s">
        <v>783</v>
      </c>
      <c r="G14" s="573" t="s">
        <v>784</v>
      </c>
      <c r="H14" s="573" t="s">
        <v>785</v>
      </c>
      <c r="I14" s="587">
        <v>9.9999997764825821E-3</v>
      </c>
      <c r="J14" s="587">
        <v>200</v>
      </c>
      <c r="K14" s="588">
        <v>2</v>
      </c>
    </row>
    <row r="15" spans="1:11" ht="14.45" customHeight="1" x14ac:dyDescent="0.2">
      <c r="A15" s="569" t="s">
        <v>477</v>
      </c>
      <c r="B15" s="570" t="s">
        <v>478</v>
      </c>
      <c r="C15" s="573" t="s">
        <v>482</v>
      </c>
      <c r="D15" s="601" t="s">
        <v>483</v>
      </c>
      <c r="E15" s="573" t="s">
        <v>782</v>
      </c>
      <c r="F15" s="601" t="s">
        <v>783</v>
      </c>
      <c r="G15" s="573" t="s">
        <v>784</v>
      </c>
      <c r="H15" s="573" t="s">
        <v>786</v>
      </c>
      <c r="I15" s="587">
        <v>1.5555555207861794E-2</v>
      </c>
      <c r="J15" s="587">
        <v>1300</v>
      </c>
      <c r="K15" s="588">
        <v>21</v>
      </c>
    </row>
    <row r="16" spans="1:11" ht="14.45" customHeight="1" x14ac:dyDescent="0.2">
      <c r="A16" s="569" t="s">
        <v>477</v>
      </c>
      <c r="B16" s="570" t="s">
        <v>478</v>
      </c>
      <c r="C16" s="573" t="s">
        <v>482</v>
      </c>
      <c r="D16" s="601" t="s">
        <v>483</v>
      </c>
      <c r="E16" s="573" t="s">
        <v>782</v>
      </c>
      <c r="F16" s="601" t="s">
        <v>783</v>
      </c>
      <c r="G16" s="573" t="s">
        <v>787</v>
      </c>
      <c r="H16" s="573" t="s">
        <v>788</v>
      </c>
      <c r="I16" s="587">
        <v>8.2299995422363281</v>
      </c>
      <c r="J16" s="587">
        <v>10</v>
      </c>
      <c r="K16" s="588">
        <v>82.300003051757813</v>
      </c>
    </row>
    <row r="17" spans="1:11" ht="14.45" customHeight="1" x14ac:dyDescent="0.2">
      <c r="A17" s="569" t="s">
        <v>477</v>
      </c>
      <c r="B17" s="570" t="s">
        <v>478</v>
      </c>
      <c r="C17" s="573" t="s">
        <v>482</v>
      </c>
      <c r="D17" s="601" t="s">
        <v>483</v>
      </c>
      <c r="E17" s="573" t="s">
        <v>782</v>
      </c>
      <c r="F17" s="601" t="s">
        <v>783</v>
      </c>
      <c r="G17" s="573" t="s">
        <v>789</v>
      </c>
      <c r="H17" s="573" t="s">
        <v>790</v>
      </c>
      <c r="I17" s="587">
        <v>3.4900000095367432</v>
      </c>
      <c r="J17" s="587">
        <v>50</v>
      </c>
      <c r="K17" s="588">
        <v>174.5</v>
      </c>
    </row>
    <row r="18" spans="1:11" ht="14.45" customHeight="1" x14ac:dyDescent="0.2">
      <c r="A18" s="569" t="s">
        <v>477</v>
      </c>
      <c r="B18" s="570" t="s">
        <v>478</v>
      </c>
      <c r="C18" s="573" t="s">
        <v>482</v>
      </c>
      <c r="D18" s="601" t="s">
        <v>483</v>
      </c>
      <c r="E18" s="573" t="s">
        <v>782</v>
      </c>
      <c r="F18" s="601" t="s">
        <v>783</v>
      </c>
      <c r="G18" s="573" t="s">
        <v>791</v>
      </c>
      <c r="H18" s="573" t="s">
        <v>792</v>
      </c>
      <c r="I18" s="587">
        <v>17.979999542236328</v>
      </c>
      <c r="J18" s="587">
        <v>10</v>
      </c>
      <c r="K18" s="588">
        <v>179.80000305175781</v>
      </c>
    </row>
    <row r="19" spans="1:11" ht="14.45" customHeight="1" x14ac:dyDescent="0.2">
      <c r="A19" s="569" t="s">
        <v>477</v>
      </c>
      <c r="B19" s="570" t="s">
        <v>478</v>
      </c>
      <c r="C19" s="573" t="s">
        <v>482</v>
      </c>
      <c r="D19" s="601" t="s">
        <v>483</v>
      </c>
      <c r="E19" s="573" t="s">
        <v>782</v>
      </c>
      <c r="F19" s="601" t="s">
        <v>783</v>
      </c>
      <c r="G19" s="573" t="s">
        <v>793</v>
      </c>
      <c r="H19" s="573" t="s">
        <v>794</v>
      </c>
      <c r="I19" s="587">
        <v>17.979999542236328</v>
      </c>
      <c r="J19" s="587">
        <v>10</v>
      </c>
      <c r="K19" s="588">
        <v>179.80000305175781</v>
      </c>
    </row>
    <row r="20" spans="1:11" ht="14.45" customHeight="1" x14ac:dyDescent="0.2">
      <c r="A20" s="569" t="s">
        <v>477</v>
      </c>
      <c r="B20" s="570" t="s">
        <v>478</v>
      </c>
      <c r="C20" s="573" t="s">
        <v>482</v>
      </c>
      <c r="D20" s="601" t="s">
        <v>483</v>
      </c>
      <c r="E20" s="573" t="s">
        <v>782</v>
      </c>
      <c r="F20" s="601" t="s">
        <v>783</v>
      </c>
      <c r="G20" s="573" t="s">
        <v>795</v>
      </c>
      <c r="H20" s="573" t="s">
        <v>796</v>
      </c>
      <c r="I20" s="587">
        <v>9.4399995803833008</v>
      </c>
      <c r="J20" s="587">
        <v>200</v>
      </c>
      <c r="K20" s="588">
        <v>1888</v>
      </c>
    </row>
    <row r="21" spans="1:11" ht="14.45" customHeight="1" x14ac:dyDescent="0.2">
      <c r="A21" s="569" t="s">
        <v>477</v>
      </c>
      <c r="B21" s="570" t="s">
        <v>478</v>
      </c>
      <c r="C21" s="573" t="s">
        <v>482</v>
      </c>
      <c r="D21" s="601" t="s">
        <v>483</v>
      </c>
      <c r="E21" s="573" t="s">
        <v>782</v>
      </c>
      <c r="F21" s="601" t="s">
        <v>783</v>
      </c>
      <c r="G21" s="573" t="s">
        <v>797</v>
      </c>
      <c r="H21" s="573" t="s">
        <v>798</v>
      </c>
      <c r="I21" s="587">
        <v>1.059999942779541</v>
      </c>
      <c r="J21" s="587">
        <v>100</v>
      </c>
      <c r="K21" s="588">
        <v>106</v>
      </c>
    </row>
    <row r="22" spans="1:11" ht="14.45" customHeight="1" x14ac:dyDescent="0.2">
      <c r="A22" s="569" t="s">
        <v>477</v>
      </c>
      <c r="B22" s="570" t="s">
        <v>478</v>
      </c>
      <c r="C22" s="573" t="s">
        <v>482</v>
      </c>
      <c r="D22" s="601" t="s">
        <v>483</v>
      </c>
      <c r="E22" s="573" t="s">
        <v>782</v>
      </c>
      <c r="F22" s="601" t="s">
        <v>783</v>
      </c>
      <c r="G22" s="573" t="s">
        <v>799</v>
      </c>
      <c r="H22" s="573" t="s">
        <v>800</v>
      </c>
      <c r="I22" s="587">
        <v>11.738571166992188</v>
      </c>
      <c r="J22" s="587">
        <v>95</v>
      </c>
      <c r="K22" s="588">
        <v>1115.2000350952148</v>
      </c>
    </row>
    <row r="23" spans="1:11" ht="14.45" customHeight="1" x14ac:dyDescent="0.2">
      <c r="A23" s="569" t="s">
        <v>477</v>
      </c>
      <c r="B23" s="570" t="s">
        <v>478</v>
      </c>
      <c r="C23" s="573" t="s">
        <v>482</v>
      </c>
      <c r="D23" s="601" t="s">
        <v>483</v>
      </c>
      <c r="E23" s="573" t="s">
        <v>782</v>
      </c>
      <c r="F23" s="601" t="s">
        <v>783</v>
      </c>
      <c r="G23" s="573" t="s">
        <v>799</v>
      </c>
      <c r="H23" s="573" t="s">
        <v>801</v>
      </c>
      <c r="I23" s="587">
        <v>11.735999679565429</v>
      </c>
      <c r="J23" s="587">
        <v>90</v>
      </c>
      <c r="K23" s="588">
        <v>1056.2000274658203</v>
      </c>
    </row>
    <row r="24" spans="1:11" ht="14.45" customHeight="1" x14ac:dyDescent="0.2">
      <c r="A24" s="569" t="s">
        <v>477</v>
      </c>
      <c r="B24" s="570" t="s">
        <v>478</v>
      </c>
      <c r="C24" s="573" t="s">
        <v>482</v>
      </c>
      <c r="D24" s="601" t="s">
        <v>483</v>
      </c>
      <c r="E24" s="573" t="s">
        <v>782</v>
      </c>
      <c r="F24" s="601" t="s">
        <v>783</v>
      </c>
      <c r="G24" s="573" t="s">
        <v>802</v>
      </c>
      <c r="H24" s="573" t="s">
        <v>803</v>
      </c>
      <c r="I24" s="587">
        <v>13.310000419616699</v>
      </c>
      <c r="J24" s="587">
        <v>60</v>
      </c>
      <c r="K24" s="588">
        <v>798.60003662109375</v>
      </c>
    </row>
    <row r="25" spans="1:11" ht="14.45" customHeight="1" x14ac:dyDescent="0.2">
      <c r="A25" s="569" t="s">
        <v>477</v>
      </c>
      <c r="B25" s="570" t="s">
        <v>478</v>
      </c>
      <c r="C25" s="573" t="s">
        <v>482</v>
      </c>
      <c r="D25" s="601" t="s">
        <v>483</v>
      </c>
      <c r="E25" s="573" t="s">
        <v>782</v>
      </c>
      <c r="F25" s="601" t="s">
        <v>783</v>
      </c>
      <c r="G25" s="573" t="s">
        <v>804</v>
      </c>
      <c r="H25" s="573" t="s">
        <v>805</v>
      </c>
      <c r="I25" s="587">
        <v>14.149999618530273</v>
      </c>
      <c r="J25" s="587">
        <v>20</v>
      </c>
      <c r="K25" s="588">
        <v>283.04998779296875</v>
      </c>
    </row>
    <row r="26" spans="1:11" ht="14.45" customHeight="1" x14ac:dyDescent="0.2">
      <c r="A26" s="569" t="s">
        <v>477</v>
      </c>
      <c r="B26" s="570" t="s">
        <v>478</v>
      </c>
      <c r="C26" s="573" t="s">
        <v>482</v>
      </c>
      <c r="D26" s="601" t="s">
        <v>483</v>
      </c>
      <c r="E26" s="573" t="s">
        <v>782</v>
      </c>
      <c r="F26" s="601" t="s">
        <v>783</v>
      </c>
      <c r="G26" s="573" t="s">
        <v>806</v>
      </c>
      <c r="H26" s="573" t="s">
        <v>807</v>
      </c>
      <c r="I26" s="587">
        <v>0.82999998331069946</v>
      </c>
      <c r="J26" s="587">
        <v>100</v>
      </c>
      <c r="K26" s="588">
        <v>83</v>
      </c>
    </row>
    <row r="27" spans="1:11" ht="14.45" customHeight="1" x14ac:dyDescent="0.2">
      <c r="A27" s="569" t="s">
        <v>477</v>
      </c>
      <c r="B27" s="570" t="s">
        <v>478</v>
      </c>
      <c r="C27" s="573" t="s">
        <v>482</v>
      </c>
      <c r="D27" s="601" t="s">
        <v>483</v>
      </c>
      <c r="E27" s="573" t="s">
        <v>782</v>
      </c>
      <c r="F27" s="601" t="s">
        <v>783</v>
      </c>
      <c r="G27" s="573" t="s">
        <v>808</v>
      </c>
      <c r="H27" s="573" t="s">
        <v>809</v>
      </c>
      <c r="I27" s="587">
        <v>0.43000000715255737</v>
      </c>
      <c r="J27" s="587">
        <v>100</v>
      </c>
      <c r="K27" s="588">
        <v>43</v>
      </c>
    </row>
    <row r="28" spans="1:11" ht="14.45" customHeight="1" x14ac:dyDescent="0.2">
      <c r="A28" s="569" t="s">
        <v>477</v>
      </c>
      <c r="B28" s="570" t="s">
        <v>478</v>
      </c>
      <c r="C28" s="573" t="s">
        <v>482</v>
      </c>
      <c r="D28" s="601" t="s">
        <v>483</v>
      </c>
      <c r="E28" s="573" t="s">
        <v>782</v>
      </c>
      <c r="F28" s="601" t="s">
        <v>783</v>
      </c>
      <c r="G28" s="573" t="s">
        <v>810</v>
      </c>
      <c r="H28" s="573" t="s">
        <v>811</v>
      </c>
      <c r="I28" s="587">
        <v>0.57999998331069946</v>
      </c>
      <c r="J28" s="587">
        <v>100</v>
      </c>
      <c r="K28" s="588">
        <v>58</v>
      </c>
    </row>
    <row r="29" spans="1:11" ht="14.45" customHeight="1" x14ac:dyDescent="0.2">
      <c r="A29" s="569" t="s">
        <v>477</v>
      </c>
      <c r="B29" s="570" t="s">
        <v>478</v>
      </c>
      <c r="C29" s="573" t="s">
        <v>482</v>
      </c>
      <c r="D29" s="601" t="s">
        <v>483</v>
      </c>
      <c r="E29" s="573" t="s">
        <v>782</v>
      </c>
      <c r="F29" s="601" t="s">
        <v>783</v>
      </c>
      <c r="G29" s="573" t="s">
        <v>812</v>
      </c>
      <c r="H29" s="573" t="s">
        <v>813</v>
      </c>
      <c r="I29" s="587">
        <v>100.48000335693359</v>
      </c>
      <c r="J29" s="587">
        <v>1</v>
      </c>
      <c r="K29" s="588">
        <v>100.48000335693359</v>
      </c>
    </row>
    <row r="30" spans="1:11" ht="14.45" customHeight="1" x14ac:dyDescent="0.2">
      <c r="A30" s="569" t="s">
        <v>477</v>
      </c>
      <c r="B30" s="570" t="s">
        <v>478</v>
      </c>
      <c r="C30" s="573" t="s">
        <v>482</v>
      </c>
      <c r="D30" s="601" t="s">
        <v>483</v>
      </c>
      <c r="E30" s="573" t="s">
        <v>782</v>
      </c>
      <c r="F30" s="601" t="s">
        <v>783</v>
      </c>
      <c r="G30" s="573" t="s">
        <v>814</v>
      </c>
      <c r="H30" s="573" t="s">
        <v>815</v>
      </c>
      <c r="I30" s="587">
        <v>2.369999885559082</v>
      </c>
      <c r="J30" s="587">
        <v>100</v>
      </c>
      <c r="K30" s="588">
        <v>237</v>
      </c>
    </row>
    <row r="31" spans="1:11" ht="14.45" customHeight="1" x14ac:dyDescent="0.2">
      <c r="A31" s="569" t="s">
        <v>477</v>
      </c>
      <c r="B31" s="570" t="s">
        <v>478</v>
      </c>
      <c r="C31" s="573" t="s">
        <v>482</v>
      </c>
      <c r="D31" s="601" t="s">
        <v>483</v>
      </c>
      <c r="E31" s="573" t="s">
        <v>782</v>
      </c>
      <c r="F31" s="601" t="s">
        <v>783</v>
      </c>
      <c r="G31" s="573" t="s">
        <v>816</v>
      </c>
      <c r="H31" s="573" t="s">
        <v>817</v>
      </c>
      <c r="I31" s="587">
        <v>1.9900000095367432</v>
      </c>
      <c r="J31" s="587">
        <v>50</v>
      </c>
      <c r="K31" s="588">
        <v>99.5</v>
      </c>
    </row>
    <row r="32" spans="1:11" ht="14.45" customHeight="1" x14ac:dyDescent="0.2">
      <c r="A32" s="569" t="s">
        <v>477</v>
      </c>
      <c r="B32" s="570" t="s">
        <v>478</v>
      </c>
      <c r="C32" s="573" t="s">
        <v>482</v>
      </c>
      <c r="D32" s="601" t="s">
        <v>483</v>
      </c>
      <c r="E32" s="573" t="s">
        <v>782</v>
      </c>
      <c r="F32" s="601" t="s">
        <v>783</v>
      </c>
      <c r="G32" s="573" t="s">
        <v>818</v>
      </c>
      <c r="H32" s="573" t="s">
        <v>819</v>
      </c>
      <c r="I32" s="587">
        <v>2.0309090614318848</v>
      </c>
      <c r="J32" s="587">
        <v>1700</v>
      </c>
      <c r="K32" s="588">
        <v>3452</v>
      </c>
    </row>
    <row r="33" spans="1:11" ht="14.45" customHeight="1" x14ac:dyDescent="0.2">
      <c r="A33" s="569" t="s">
        <v>477</v>
      </c>
      <c r="B33" s="570" t="s">
        <v>478</v>
      </c>
      <c r="C33" s="573" t="s">
        <v>482</v>
      </c>
      <c r="D33" s="601" t="s">
        <v>483</v>
      </c>
      <c r="E33" s="573" t="s">
        <v>782</v>
      </c>
      <c r="F33" s="601" t="s">
        <v>783</v>
      </c>
      <c r="G33" s="573" t="s">
        <v>820</v>
      </c>
      <c r="H33" s="573" t="s">
        <v>821</v>
      </c>
      <c r="I33" s="587">
        <v>1.9299999475479126</v>
      </c>
      <c r="J33" s="587">
        <v>50</v>
      </c>
      <c r="K33" s="588">
        <v>96.5</v>
      </c>
    </row>
    <row r="34" spans="1:11" ht="14.45" customHeight="1" x14ac:dyDescent="0.2">
      <c r="A34" s="569" t="s">
        <v>477</v>
      </c>
      <c r="B34" s="570" t="s">
        <v>478</v>
      </c>
      <c r="C34" s="573" t="s">
        <v>482</v>
      </c>
      <c r="D34" s="601" t="s">
        <v>483</v>
      </c>
      <c r="E34" s="573" t="s">
        <v>782</v>
      </c>
      <c r="F34" s="601" t="s">
        <v>783</v>
      </c>
      <c r="G34" s="573" t="s">
        <v>822</v>
      </c>
      <c r="H34" s="573" t="s">
        <v>823</v>
      </c>
      <c r="I34" s="587">
        <v>3.0899999141693115</v>
      </c>
      <c r="J34" s="587">
        <v>50</v>
      </c>
      <c r="K34" s="588">
        <v>154.5</v>
      </c>
    </row>
    <row r="35" spans="1:11" ht="14.45" customHeight="1" x14ac:dyDescent="0.2">
      <c r="A35" s="569" t="s">
        <v>477</v>
      </c>
      <c r="B35" s="570" t="s">
        <v>478</v>
      </c>
      <c r="C35" s="573" t="s">
        <v>482</v>
      </c>
      <c r="D35" s="601" t="s">
        <v>483</v>
      </c>
      <c r="E35" s="573" t="s">
        <v>782</v>
      </c>
      <c r="F35" s="601" t="s">
        <v>783</v>
      </c>
      <c r="G35" s="573" t="s">
        <v>824</v>
      </c>
      <c r="H35" s="573" t="s">
        <v>825</v>
      </c>
      <c r="I35" s="587">
        <v>1.9299999475479126</v>
      </c>
      <c r="J35" s="587">
        <v>50</v>
      </c>
      <c r="K35" s="588">
        <v>96.5</v>
      </c>
    </row>
    <row r="36" spans="1:11" ht="14.45" customHeight="1" x14ac:dyDescent="0.2">
      <c r="A36" s="569" t="s">
        <v>477</v>
      </c>
      <c r="B36" s="570" t="s">
        <v>478</v>
      </c>
      <c r="C36" s="573" t="s">
        <v>482</v>
      </c>
      <c r="D36" s="601" t="s">
        <v>483</v>
      </c>
      <c r="E36" s="573" t="s">
        <v>782</v>
      </c>
      <c r="F36" s="601" t="s">
        <v>783</v>
      </c>
      <c r="G36" s="573" t="s">
        <v>826</v>
      </c>
      <c r="H36" s="573" t="s">
        <v>827</v>
      </c>
      <c r="I36" s="587">
        <v>2.1675000786781311</v>
      </c>
      <c r="J36" s="587">
        <v>200</v>
      </c>
      <c r="K36" s="588">
        <v>433.5</v>
      </c>
    </row>
    <row r="37" spans="1:11" ht="14.45" customHeight="1" x14ac:dyDescent="0.2">
      <c r="A37" s="569" t="s">
        <v>477</v>
      </c>
      <c r="B37" s="570" t="s">
        <v>478</v>
      </c>
      <c r="C37" s="573" t="s">
        <v>482</v>
      </c>
      <c r="D37" s="601" t="s">
        <v>483</v>
      </c>
      <c r="E37" s="573" t="s">
        <v>782</v>
      </c>
      <c r="F37" s="601" t="s">
        <v>783</v>
      </c>
      <c r="G37" s="573" t="s">
        <v>828</v>
      </c>
      <c r="H37" s="573" t="s">
        <v>829</v>
      </c>
      <c r="I37" s="587">
        <v>2</v>
      </c>
      <c r="J37" s="587">
        <v>100</v>
      </c>
      <c r="K37" s="588">
        <v>200</v>
      </c>
    </row>
    <row r="38" spans="1:11" ht="14.45" customHeight="1" x14ac:dyDescent="0.2">
      <c r="A38" s="569" t="s">
        <v>477</v>
      </c>
      <c r="B38" s="570" t="s">
        <v>478</v>
      </c>
      <c r="C38" s="573" t="s">
        <v>482</v>
      </c>
      <c r="D38" s="601" t="s">
        <v>483</v>
      </c>
      <c r="E38" s="573" t="s">
        <v>782</v>
      </c>
      <c r="F38" s="601" t="s">
        <v>783</v>
      </c>
      <c r="G38" s="573" t="s">
        <v>830</v>
      </c>
      <c r="H38" s="573" t="s">
        <v>831</v>
      </c>
      <c r="I38" s="587">
        <v>21.229999542236328</v>
      </c>
      <c r="J38" s="587">
        <v>20</v>
      </c>
      <c r="K38" s="588">
        <v>424.60000610351563</v>
      </c>
    </row>
    <row r="39" spans="1:11" ht="14.45" customHeight="1" x14ac:dyDescent="0.2">
      <c r="A39" s="569" t="s">
        <v>477</v>
      </c>
      <c r="B39" s="570" t="s">
        <v>478</v>
      </c>
      <c r="C39" s="573" t="s">
        <v>482</v>
      </c>
      <c r="D39" s="601" t="s">
        <v>483</v>
      </c>
      <c r="E39" s="573" t="s">
        <v>782</v>
      </c>
      <c r="F39" s="601" t="s">
        <v>783</v>
      </c>
      <c r="G39" s="573" t="s">
        <v>832</v>
      </c>
      <c r="H39" s="573" t="s">
        <v>833</v>
      </c>
      <c r="I39" s="587">
        <v>2.5199999809265137</v>
      </c>
      <c r="J39" s="587">
        <v>100</v>
      </c>
      <c r="K39" s="588">
        <v>252</v>
      </c>
    </row>
    <row r="40" spans="1:11" ht="14.45" customHeight="1" x14ac:dyDescent="0.2">
      <c r="A40" s="569" t="s">
        <v>477</v>
      </c>
      <c r="B40" s="570" t="s">
        <v>478</v>
      </c>
      <c r="C40" s="573" t="s">
        <v>482</v>
      </c>
      <c r="D40" s="601" t="s">
        <v>483</v>
      </c>
      <c r="E40" s="573" t="s">
        <v>782</v>
      </c>
      <c r="F40" s="601" t="s">
        <v>783</v>
      </c>
      <c r="G40" s="573" t="s">
        <v>834</v>
      </c>
      <c r="H40" s="573" t="s">
        <v>835</v>
      </c>
      <c r="I40" s="587">
        <v>2.7000000476837158</v>
      </c>
      <c r="J40" s="587">
        <v>50</v>
      </c>
      <c r="K40" s="588">
        <v>135</v>
      </c>
    </row>
    <row r="41" spans="1:11" ht="14.45" customHeight="1" x14ac:dyDescent="0.2">
      <c r="A41" s="569" t="s">
        <v>477</v>
      </c>
      <c r="B41" s="570" t="s">
        <v>478</v>
      </c>
      <c r="C41" s="573" t="s">
        <v>482</v>
      </c>
      <c r="D41" s="601" t="s">
        <v>483</v>
      </c>
      <c r="E41" s="573" t="s">
        <v>782</v>
      </c>
      <c r="F41" s="601" t="s">
        <v>783</v>
      </c>
      <c r="G41" s="573" t="s">
        <v>818</v>
      </c>
      <c r="H41" s="573" t="s">
        <v>836</v>
      </c>
      <c r="I41" s="587">
        <v>2.0399999618530273</v>
      </c>
      <c r="J41" s="587">
        <v>100</v>
      </c>
      <c r="K41" s="588">
        <v>204</v>
      </c>
    </row>
    <row r="42" spans="1:11" ht="14.45" customHeight="1" x14ac:dyDescent="0.2">
      <c r="A42" s="569" t="s">
        <v>477</v>
      </c>
      <c r="B42" s="570" t="s">
        <v>478</v>
      </c>
      <c r="C42" s="573" t="s">
        <v>482</v>
      </c>
      <c r="D42" s="601" t="s">
        <v>483</v>
      </c>
      <c r="E42" s="573" t="s">
        <v>782</v>
      </c>
      <c r="F42" s="601" t="s">
        <v>783</v>
      </c>
      <c r="G42" s="573" t="s">
        <v>837</v>
      </c>
      <c r="H42" s="573" t="s">
        <v>838</v>
      </c>
      <c r="I42" s="587">
        <v>2.5299999713897705</v>
      </c>
      <c r="J42" s="587">
        <v>50</v>
      </c>
      <c r="K42" s="588">
        <v>126.5</v>
      </c>
    </row>
    <row r="43" spans="1:11" ht="14.45" customHeight="1" x14ac:dyDescent="0.2">
      <c r="A43" s="569" t="s">
        <v>477</v>
      </c>
      <c r="B43" s="570" t="s">
        <v>478</v>
      </c>
      <c r="C43" s="573" t="s">
        <v>482</v>
      </c>
      <c r="D43" s="601" t="s">
        <v>483</v>
      </c>
      <c r="E43" s="573" t="s">
        <v>782</v>
      </c>
      <c r="F43" s="601" t="s">
        <v>783</v>
      </c>
      <c r="G43" s="573" t="s">
        <v>839</v>
      </c>
      <c r="H43" s="573" t="s">
        <v>840</v>
      </c>
      <c r="I43" s="587">
        <v>22.840000152587891</v>
      </c>
      <c r="J43" s="587">
        <v>10</v>
      </c>
      <c r="K43" s="588">
        <v>228.39999389648438</v>
      </c>
    </row>
    <row r="44" spans="1:11" ht="14.45" customHeight="1" x14ac:dyDescent="0.2">
      <c r="A44" s="569" t="s">
        <v>477</v>
      </c>
      <c r="B44" s="570" t="s">
        <v>478</v>
      </c>
      <c r="C44" s="573" t="s">
        <v>482</v>
      </c>
      <c r="D44" s="601" t="s">
        <v>483</v>
      </c>
      <c r="E44" s="573" t="s">
        <v>782</v>
      </c>
      <c r="F44" s="601" t="s">
        <v>783</v>
      </c>
      <c r="G44" s="573" t="s">
        <v>837</v>
      </c>
      <c r="H44" s="573" t="s">
        <v>841</v>
      </c>
      <c r="I44" s="587">
        <v>2.5299999713897705</v>
      </c>
      <c r="J44" s="587">
        <v>400</v>
      </c>
      <c r="K44" s="588">
        <v>1012</v>
      </c>
    </row>
    <row r="45" spans="1:11" ht="14.45" customHeight="1" x14ac:dyDescent="0.2">
      <c r="A45" s="569" t="s">
        <v>477</v>
      </c>
      <c r="B45" s="570" t="s">
        <v>478</v>
      </c>
      <c r="C45" s="573" t="s">
        <v>482</v>
      </c>
      <c r="D45" s="601" t="s">
        <v>483</v>
      </c>
      <c r="E45" s="573" t="s">
        <v>842</v>
      </c>
      <c r="F45" s="601" t="s">
        <v>843</v>
      </c>
      <c r="G45" s="573" t="s">
        <v>844</v>
      </c>
      <c r="H45" s="573" t="s">
        <v>845</v>
      </c>
      <c r="I45" s="587">
        <v>10.170000076293945</v>
      </c>
      <c r="J45" s="587">
        <v>10</v>
      </c>
      <c r="K45" s="588">
        <v>101.69999694824219</v>
      </c>
    </row>
    <row r="46" spans="1:11" ht="14.45" customHeight="1" x14ac:dyDescent="0.2">
      <c r="A46" s="569" t="s">
        <v>477</v>
      </c>
      <c r="B46" s="570" t="s">
        <v>478</v>
      </c>
      <c r="C46" s="573" t="s">
        <v>482</v>
      </c>
      <c r="D46" s="601" t="s">
        <v>483</v>
      </c>
      <c r="E46" s="573" t="s">
        <v>842</v>
      </c>
      <c r="F46" s="601" t="s">
        <v>843</v>
      </c>
      <c r="G46" s="573" t="s">
        <v>846</v>
      </c>
      <c r="H46" s="573" t="s">
        <v>847</v>
      </c>
      <c r="I46" s="587">
        <v>62.650001525878906</v>
      </c>
      <c r="J46" s="587">
        <v>5</v>
      </c>
      <c r="K46" s="588">
        <v>313.25</v>
      </c>
    </row>
    <row r="47" spans="1:11" ht="14.45" customHeight="1" x14ac:dyDescent="0.2">
      <c r="A47" s="569" t="s">
        <v>477</v>
      </c>
      <c r="B47" s="570" t="s">
        <v>478</v>
      </c>
      <c r="C47" s="573" t="s">
        <v>482</v>
      </c>
      <c r="D47" s="601" t="s">
        <v>483</v>
      </c>
      <c r="E47" s="573" t="s">
        <v>848</v>
      </c>
      <c r="F47" s="601" t="s">
        <v>849</v>
      </c>
      <c r="G47" s="573" t="s">
        <v>850</v>
      </c>
      <c r="H47" s="573" t="s">
        <v>851</v>
      </c>
      <c r="I47" s="587">
        <v>0.31000000238418579</v>
      </c>
      <c r="J47" s="587">
        <v>200</v>
      </c>
      <c r="K47" s="588">
        <v>62</v>
      </c>
    </row>
    <row r="48" spans="1:11" ht="14.45" customHeight="1" x14ac:dyDescent="0.2">
      <c r="A48" s="569" t="s">
        <v>477</v>
      </c>
      <c r="B48" s="570" t="s">
        <v>478</v>
      </c>
      <c r="C48" s="573" t="s">
        <v>482</v>
      </c>
      <c r="D48" s="601" t="s">
        <v>483</v>
      </c>
      <c r="E48" s="573" t="s">
        <v>848</v>
      </c>
      <c r="F48" s="601" t="s">
        <v>849</v>
      </c>
      <c r="G48" s="573" t="s">
        <v>852</v>
      </c>
      <c r="H48" s="573" t="s">
        <v>853</v>
      </c>
      <c r="I48" s="587">
        <v>0.33500000834465027</v>
      </c>
      <c r="J48" s="587">
        <v>200</v>
      </c>
      <c r="K48" s="588">
        <v>67</v>
      </c>
    </row>
    <row r="49" spans="1:11" ht="14.45" customHeight="1" x14ac:dyDescent="0.2">
      <c r="A49" s="569" t="s">
        <v>477</v>
      </c>
      <c r="B49" s="570" t="s">
        <v>478</v>
      </c>
      <c r="C49" s="573" t="s">
        <v>482</v>
      </c>
      <c r="D49" s="601" t="s">
        <v>483</v>
      </c>
      <c r="E49" s="573" t="s">
        <v>848</v>
      </c>
      <c r="F49" s="601" t="s">
        <v>849</v>
      </c>
      <c r="G49" s="573" t="s">
        <v>854</v>
      </c>
      <c r="H49" s="573" t="s">
        <v>855</v>
      </c>
      <c r="I49" s="587">
        <v>1.8033332824707031</v>
      </c>
      <c r="J49" s="587">
        <v>400</v>
      </c>
      <c r="K49" s="588">
        <v>721</v>
      </c>
    </row>
    <row r="50" spans="1:11" ht="14.45" customHeight="1" x14ac:dyDescent="0.2">
      <c r="A50" s="569" t="s">
        <v>477</v>
      </c>
      <c r="B50" s="570" t="s">
        <v>478</v>
      </c>
      <c r="C50" s="573" t="s">
        <v>482</v>
      </c>
      <c r="D50" s="601" t="s">
        <v>483</v>
      </c>
      <c r="E50" s="573" t="s">
        <v>848</v>
      </c>
      <c r="F50" s="601" t="s">
        <v>849</v>
      </c>
      <c r="G50" s="573" t="s">
        <v>856</v>
      </c>
      <c r="H50" s="573" t="s">
        <v>857</v>
      </c>
      <c r="I50" s="587">
        <v>1.8033332824707031</v>
      </c>
      <c r="J50" s="587">
        <v>1200</v>
      </c>
      <c r="K50" s="588">
        <v>2164</v>
      </c>
    </row>
    <row r="51" spans="1:11" ht="14.45" customHeight="1" x14ac:dyDescent="0.2">
      <c r="A51" s="569" t="s">
        <v>477</v>
      </c>
      <c r="B51" s="570" t="s">
        <v>478</v>
      </c>
      <c r="C51" s="573" t="s">
        <v>482</v>
      </c>
      <c r="D51" s="601" t="s">
        <v>483</v>
      </c>
      <c r="E51" s="573" t="s">
        <v>848</v>
      </c>
      <c r="F51" s="601" t="s">
        <v>849</v>
      </c>
      <c r="G51" s="573" t="s">
        <v>854</v>
      </c>
      <c r="H51" s="573" t="s">
        <v>858</v>
      </c>
      <c r="I51" s="587">
        <v>1.7999999523162842</v>
      </c>
      <c r="J51" s="587">
        <v>200</v>
      </c>
      <c r="K51" s="588">
        <v>360</v>
      </c>
    </row>
    <row r="52" spans="1:11" ht="14.45" customHeight="1" x14ac:dyDescent="0.2">
      <c r="A52" s="569" t="s">
        <v>477</v>
      </c>
      <c r="B52" s="570" t="s">
        <v>478</v>
      </c>
      <c r="C52" s="573" t="s">
        <v>482</v>
      </c>
      <c r="D52" s="601" t="s">
        <v>483</v>
      </c>
      <c r="E52" s="573" t="s">
        <v>859</v>
      </c>
      <c r="F52" s="601" t="s">
        <v>860</v>
      </c>
      <c r="G52" s="573" t="s">
        <v>861</v>
      </c>
      <c r="H52" s="573" t="s">
        <v>862</v>
      </c>
      <c r="I52" s="587">
        <v>0.67500000198682153</v>
      </c>
      <c r="J52" s="587">
        <v>1200</v>
      </c>
      <c r="K52" s="588">
        <v>810</v>
      </c>
    </row>
    <row r="53" spans="1:11" ht="14.45" customHeight="1" x14ac:dyDescent="0.2">
      <c r="A53" s="569" t="s">
        <v>477</v>
      </c>
      <c r="B53" s="570" t="s">
        <v>478</v>
      </c>
      <c r="C53" s="573" t="s">
        <v>482</v>
      </c>
      <c r="D53" s="601" t="s">
        <v>483</v>
      </c>
      <c r="E53" s="573" t="s">
        <v>859</v>
      </c>
      <c r="F53" s="601" t="s">
        <v>860</v>
      </c>
      <c r="G53" s="573" t="s">
        <v>863</v>
      </c>
      <c r="H53" s="573" t="s">
        <v>864</v>
      </c>
      <c r="I53" s="587">
        <v>0.70142857517514912</v>
      </c>
      <c r="J53" s="587">
        <v>3200</v>
      </c>
      <c r="K53" s="588">
        <v>2294</v>
      </c>
    </row>
    <row r="54" spans="1:11" ht="14.45" customHeight="1" x14ac:dyDescent="0.2">
      <c r="A54" s="569" t="s">
        <v>477</v>
      </c>
      <c r="B54" s="570" t="s">
        <v>478</v>
      </c>
      <c r="C54" s="573" t="s">
        <v>482</v>
      </c>
      <c r="D54" s="601" t="s">
        <v>483</v>
      </c>
      <c r="E54" s="573" t="s">
        <v>859</v>
      </c>
      <c r="F54" s="601" t="s">
        <v>860</v>
      </c>
      <c r="G54" s="573" t="s">
        <v>865</v>
      </c>
      <c r="H54" s="573" t="s">
        <v>866</v>
      </c>
      <c r="I54" s="587">
        <v>0.71499998867511749</v>
      </c>
      <c r="J54" s="587">
        <v>1200</v>
      </c>
      <c r="K54" s="588">
        <v>892</v>
      </c>
    </row>
    <row r="55" spans="1:11" ht="14.45" customHeight="1" x14ac:dyDescent="0.2">
      <c r="A55" s="569" t="s">
        <v>477</v>
      </c>
      <c r="B55" s="570" t="s">
        <v>478</v>
      </c>
      <c r="C55" s="573" t="s">
        <v>482</v>
      </c>
      <c r="D55" s="601" t="s">
        <v>483</v>
      </c>
      <c r="E55" s="573" t="s">
        <v>859</v>
      </c>
      <c r="F55" s="601" t="s">
        <v>860</v>
      </c>
      <c r="G55" s="573" t="s">
        <v>867</v>
      </c>
      <c r="H55" s="573" t="s">
        <v>868</v>
      </c>
      <c r="I55" s="587">
        <v>4.8299999237060547</v>
      </c>
      <c r="J55" s="587">
        <v>400</v>
      </c>
      <c r="K55" s="588">
        <v>1932</v>
      </c>
    </row>
    <row r="56" spans="1:11" ht="14.45" customHeight="1" x14ac:dyDescent="0.2">
      <c r="A56" s="569" t="s">
        <v>477</v>
      </c>
      <c r="B56" s="570" t="s">
        <v>478</v>
      </c>
      <c r="C56" s="573" t="s">
        <v>482</v>
      </c>
      <c r="D56" s="601" t="s">
        <v>483</v>
      </c>
      <c r="E56" s="573" t="s">
        <v>859</v>
      </c>
      <c r="F56" s="601" t="s">
        <v>860</v>
      </c>
      <c r="G56" s="573" t="s">
        <v>861</v>
      </c>
      <c r="H56" s="573" t="s">
        <v>869</v>
      </c>
      <c r="I56" s="587">
        <v>0.86499997973442078</v>
      </c>
      <c r="J56" s="587">
        <v>400</v>
      </c>
      <c r="K56" s="588">
        <v>346</v>
      </c>
    </row>
    <row r="57" spans="1:11" ht="14.45" customHeight="1" x14ac:dyDescent="0.2">
      <c r="A57" s="569" t="s">
        <v>477</v>
      </c>
      <c r="B57" s="570" t="s">
        <v>478</v>
      </c>
      <c r="C57" s="573" t="s">
        <v>482</v>
      </c>
      <c r="D57" s="601" t="s">
        <v>483</v>
      </c>
      <c r="E57" s="573" t="s">
        <v>859</v>
      </c>
      <c r="F57" s="601" t="s">
        <v>860</v>
      </c>
      <c r="G57" s="573" t="s">
        <v>863</v>
      </c>
      <c r="H57" s="573" t="s">
        <v>870</v>
      </c>
      <c r="I57" s="587">
        <v>1.1559999942779542</v>
      </c>
      <c r="J57" s="587">
        <v>2800</v>
      </c>
      <c r="K57" s="588">
        <v>3242</v>
      </c>
    </row>
    <row r="58" spans="1:11" ht="14.45" customHeight="1" x14ac:dyDescent="0.2">
      <c r="A58" s="569" t="s">
        <v>477</v>
      </c>
      <c r="B58" s="570" t="s">
        <v>478</v>
      </c>
      <c r="C58" s="573" t="s">
        <v>482</v>
      </c>
      <c r="D58" s="601" t="s">
        <v>483</v>
      </c>
      <c r="E58" s="573" t="s">
        <v>859</v>
      </c>
      <c r="F58" s="601" t="s">
        <v>860</v>
      </c>
      <c r="G58" s="573" t="s">
        <v>865</v>
      </c>
      <c r="H58" s="573" t="s">
        <v>871</v>
      </c>
      <c r="I58" s="587">
        <v>0.98500001430511475</v>
      </c>
      <c r="J58" s="587">
        <v>800</v>
      </c>
      <c r="K58" s="588">
        <v>788</v>
      </c>
    </row>
    <row r="59" spans="1:11" ht="14.45" customHeight="1" x14ac:dyDescent="0.2">
      <c r="A59" s="569" t="s">
        <v>477</v>
      </c>
      <c r="B59" s="570" t="s">
        <v>478</v>
      </c>
      <c r="C59" s="573" t="s">
        <v>482</v>
      </c>
      <c r="D59" s="601" t="s">
        <v>483</v>
      </c>
      <c r="E59" s="573" t="s">
        <v>859</v>
      </c>
      <c r="F59" s="601" t="s">
        <v>860</v>
      </c>
      <c r="G59" s="573" t="s">
        <v>872</v>
      </c>
      <c r="H59" s="573" t="s">
        <v>873</v>
      </c>
      <c r="I59" s="587">
        <v>4.3600001335144043</v>
      </c>
      <c r="J59" s="587">
        <v>200</v>
      </c>
      <c r="K59" s="588">
        <v>872</v>
      </c>
    </row>
    <row r="60" spans="1:11" ht="14.45" customHeight="1" x14ac:dyDescent="0.2">
      <c r="A60" s="569" t="s">
        <v>477</v>
      </c>
      <c r="B60" s="570" t="s">
        <v>478</v>
      </c>
      <c r="C60" s="573" t="s">
        <v>482</v>
      </c>
      <c r="D60" s="601" t="s">
        <v>483</v>
      </c>
      <c r="E60" s="573" t="s">
        <v>859</v>
      </c>
      <c r="F60" s="601" t="s">
        <v>860</v>
      </c>
      <c r="G60" s="573" t="s">
        <v>874</v>
      </c>
      <c r="H60" s="573" t="s">
        <v>875</v>
      </c>
      <c r="I60" s="587">
        <v>0.74000000953674316</v>
      </c>
      <c r="J60" s="587">
        <v>200</v>
      </c>
      <c r="K60" s="588">
        <v>147.6199951171875</v>
      </c>
    </row>
    <row r="61" spans="1:11" ht="14.45" customHeight="1" x14ac:dyDescent="0.2">
      <c r="A61" s="569" t="s">
        <v>477</v>
      </c>
      <c r="B61" s="570" t="s">
        <v>478</v>
      </c>
      <c r="C61" s="573" t="s">
        <v>482</v>
      </c>
      <c r="D61" s="601" t="s">
        <v>483</v>
      </c>
      <c r="E61" s="573" t="s">
        <v>859</v>
      </c>
      <c r="F61" s="601" t="s">
        <v>860</v>
      </c>
      <c r="G61" s="573" t="s">
        <v>876</v>
      </c>
      <c r="H61" s="573" t="s">
        <v>877</v>
      </c>
      <c r="I61" s="587">
        <v>0.82999998331069946</v>
      </c>
      <c r="J61" s="587">
        <v>100</v>
      </c>
      <c r="K61" s="588">
        <v>83</v>
      </c>
    </row>
    <row r="62" spans="1:11" ht="14.45" customHeight="1" x14ac:dyDescent="0.2">
      <c r="A62" s="569" t="s">
        <v>477</v>
      </c>
      <c r="B62" s="570" t="s">
        <v>478</v>
      </c>
      <c r="C62" s="573" t="s">
        <v>487</v>
      </c>
      <c r="D62" s="601" t="s">
        <v>488</v>
      </c>
      <c r="E62" s="573" t="s">
        <v>878</v>
      </c>
      <c r="F62" s="601" t="s">
        <v>879</v>
      </c>
      <c r="G62" s="573" t="s">
        <v>880</v>
      </c>
      <c r="H62" s="573" t="s">
        <v>881</v>
      </c>
      <c r="I62" s="587">
        <v>5215.10009765625</v>
      </c>
      <c r="J62" s="587">
        <v>1</v>
      </c>
      <c r="K62" s="588">
        <v>5215.10009765625</v>
      </c>
    </row>
    <row r="63" spans="1:11" ht="14.45" customHeight="1" x14ac:dyDescent="0.2">
      <c r="A63" s="569" t="s">
        <v>477</v>
      </c>
      <c r="B63" s="570" t="s">
        <v>478</v>
      </c>
      <c r="C63" s="573" t="s">
        <v>487</v>
      </c>
      <c r="D63" s="601" t="s">
        <v>488</v>
      </c>
      <c r="E63" s="573" t="s">
        <v>878</v>
      </c>
      <c r="F63" s="601" t="s">
        <v>879</v>
      </c>
      <c r="G63" s="573" t="s">
        <v>882</v>
      </c>
      <c r="H63" s="573" t="s">
        <v>883</v>
      </c>
      <c r="I63" s="587">
        <v>19299.5</v>
      </c>
      <c r="J63" s="587">
        <v>1</v>
      </c>
      <c r="K63" s="588">
        <v>19299.5</v>
      </c>
    </row>
    <row r="64" spans="1:11" ht="14.45" customHeight="1" x14ac:dyDescent="0.2">
      <c r="A64" s="569" t="s">
        <v>477</v>
      </c>
      <c r="B64" s="570" t="s">
        <v>478</v>
      </c>
      <c r="C64" s="573" t="s">
        <v>487</v>
      </c>
      <c r="D64" s="601" t="s">
        <v>488</v>
      </c>
      <c r="E64" s="573" t="s">
        <v>878</v>
      </c>
      <c r="F64" s="601" t="s">
        <v>879</v>
      </c>
      <c r="G64" s="573" t="s">
        <v>884</v>
      </c>
      <c r="H64" s="573" t="s">
        <v>885</v>
      </c>
      <c r="I64" s="587">
        <v>1306.7999790736608</v>
      </c>
      <c r="J64" s="587">
        <v>70</v>
      </c>
      <c r="K64" s="588">
        <v>91476</v>
      </c>
    </row>
    <row r="65" spans="1:11" ht="14.45" customHeight="1" x14ac:dyDescent="0.2">
      <c r="A65" s="569" t="s">
        <v>477</v>
      </c>
      <c r="B65" s="570" t="s">
        <v>478</v>
      </c>
      <c r="C65" s="573" t="s">
        <v>487</v>
      </c>
      <c r="D65" s="601" t="s">
        <v>488</v>
      </c>
      <c r="E65" s="573" t="s">
        <v>878</v>
      </c>
      <c r="F65" s="601" t="s">
        <v>879</v>
      </c>
      <c r="G65" s="573" t="s">
        <v>886</v>
      </c>
      <c r="H65" s="573" t="s">
        <v>887</v>
      </c>
      <c r="I65" s="587">
        <v>30020.41015625</v>
      </c>
      <c r="J65" s="587">
        <v>1</v>
      </c>
      <c r="K65" s="588">
        <v>30020.41015625</v>
      </c>
    </row>
    <row r="66" spans="1:11" ht="14.45" customHeight="1" x14ac:dyDescent="0.2">
      <c r="A66" s="569" t="s">
        <v>477</v>
      </c>
      <c r="B66" s="570" t="s">
        <v>478</v>
      </c>
      <c r="C66" s="573" t="s">
        <v>487</v>
      </c>
      <c r="D66" s="601" t="s">
        <v>488</v>
      </c>
      <c r="E66" s="573" t="s">
        <v>878</v>
      </c>
      <c r="F66" s="601" t="s">
        <v>879</v>
      </c>
      <c r="G66" s="573" t="s">
        <v>888</v>
      </c>
      <c r="H66" s="573" t="s">
        <v>889</v>
      </c>
      <c r="I66" s="587">
        <v>6823.919921875</v>
      </c>
      <c r="J66" s="587">
        <v>1</v>
      </c>
      <c r="K66" s="588">
        <v>6823.919921875</v>
      </c>
    </row>
    <row r="67" spans="1:11" ht="14.45" customHeight="1" x14ac:dyDescent="0.2">
      <c r="A67" s="569" t="s">
        <v>477</v>
      </c>
      <c r="B67" s="570" t="s">
        <v>478</v>
      </c>
      <c r="C67" s="573" t="s">
        <v>487</v>
      </c>
      <c r="D67" s="601" t="s">
        <v>488</v>
      </c>
      <c r="E67" s="573" t="s">
        <v>878</v>
      </c>
      <c r="F67" s="601" t="s">
        <v>879</v>
      </c>
      <c r="G67" s="573" t="s">
        <v>890</v>
      </c>
      <c r="H67" s="573" t="s">
        <v>891</v>
      </c>
      <c r="I67" s="587">
        <v>46149.3984375</v>
      </c>
      <c r="J67" s="587">
        <v>1</v>
      </c>
      <c r="K67" s="588">
        <v>46149.3984375</v>
      </c>
    </row>
    <row r="68" spans="1:11" ht="14.45" customHeight="1" x14ac:dyDescent="0.2">
      <c r="A68" s="569" t="s">
        <v>477</v>
      </c>
      <c r="B68" s="570" t="s">
        <v>478</v>
      </c>
      <c r="C68" s="573" t="s">
        <v>487</v>
      </c>
      <c r="D68" s="601" t="s">
        <v>488</v>
      </c>
      <c r="E68" s="573" t="s">
        <v>878</v>
      </c>
      <c r="F68" s="601" t="s">
        <v>879</v>
      </c>
      <c r="G68" s="573" t="s">
        <v>892</v>
      </c>
      <c r="H68" s="573" t="s">
        <v>893</v>
      </c>
      <c r="I68" s="587">
        <v>46149.3984375</v>
      </c>
      <c r="J68" s="587">
        <v>2</v>
      </c>
      <c r="K68" s="588">
        <v>92298.796875</v>
      </c>
    </row>
    <row r="69" spans="1:11" ht="14.45" customHeight="1" x14ac:dyDescent="0.2">
      <c r="A69" s="569" t="s">
        <v>477</v>
      </c>
      <c r="B69" s="570" t="s">
        <v>478</v>
      </c>
      <c r="C69" s="573" t="s">
        <v>487</v>
      </c>
      <c r="D69" s="601" t="s">
        <v>488</v>
      </c>
      <c r="E69" s="573" t="s">
        <v>878</v>
      </c>
      <c r="F69" s="601" t="s">
        <v>879</v>
      </c>
      <c r="G69" s="573" t="s">
        <v>894</v>
      </c>
      <c r="H69" s="573" t="s">
        <v>895</v>
      </c>
      <c r="I69" s="587">
        <v>18634</v>
      </c>
      <c r="J69" s="587">
        <v>1</v>
      </c>
      <c r="K69" s="588">
        <v>18634</v>
      </c>
    </row>
    <row r="70" spans="1:11" ht="14.45" customHeight="1" x14ac:dyDescent="0.2">
      <c r="A70" s="569" t="s">
        <v>477</v>
      </c>
      <c r="B70" s="570" t="s">
        <v>478</v>
      </c>
      <c r="C70" s="573" t="s">
        <v>487</v>
      </c>
      <c r="D70" s="601" t="s">
        <v>488</v>
      </c>
      <c r="E70" s="573" t="s">
        <v>878</v>
      </c>
      <c r="F70" s="601" t="s">
        <v>879</v>
      </c>
      <c r="G70" s="573" t="s">
        <v>896</v>
      </c>
      <c r="H70" s="573" t="s">
        <v>897</v>
      </c>
      <c r="I70" s="587">
        <v>7260</v>
      </c>
      <c r="J70" s="587">
        <v>2</v>
      </c>
      <c r="K70" s="588">
        <v>14520</v>
      </c>
    </row>
    <row r="71" spans="1:11" ht="14.45" customHeight="1" x14ac:dyDescent="0.2">
      <c r="A71" s="569" t="s">
        <v>477</v>
      </c>
      <c r="B71" s="570" t="s">
        <v>478</v>
      </c>
      <c r="C71" s="573" t="s">
        <v>487</v>
      </c>
      <c r="D71" s="601" t="s">
        <v>488</v>
      </c>
      <c r="E71" s="573" t="s">
        <v>878</v>
      </c>
      <c r="F71" s="601" t="s">
        <v>879</v>
      </c>
      <c r="G71" s="573" t="s">
        <v>898</v>
      </c>
      <c r="H71" s="573" t="s">
        <v>899</v>
      </c>
      <c r="I71" s="587">
        <v>209.93500518798828</v>
      </c>
      <c r="J71" s="587">
        <v>2</v>
      </c>
      <c r="K71" s="588">
        <v>419.87001037597656</v>
      </c>
    </row>
    <row r="72" spans="1:11" ht="14.45" customHeight="1" x14ac:dyDescent="0.2">
      <c r="A72" s="569" t="s">
        <v>477</v>
      </c>
      <c r="B72" s="570" t="s">
        <v>478</v>
      </c>
      <c r="C72" s="573" t="s">
        <v>487</v>
      </c>
      <c r="D72" s="601" t="s">
        <v>488</v>
      </c>
      <c r="E72" s="573" t="s">
        <v>878</v>
      </c>
      <c r="F72" s="601" t="s">
        <v>879</v>
      </c>
      <c r="G72" s="573" t="s">
        <v>900</v>
      </c>
      <c r="H72" s="573" t="s">
        <v>901</v>
      </c>
      <c r="I72" s="587">
        <v>57438.69921875</v>
      </c>
      <c r="J72" s="587">
        <v>1</v>
      </c>
      <c r="K72" s="588">
        <v>57438.69921875</v>
      </c>
    </row>
    <row r="73" spans="1:11" ht="14.45" customHeight="1" x14ac:dyDescent="0.2">
      <c r="A73" s="569" t="s">
        <v>477</v>
      </c>
      <c r="B73" s="570" t="s">
        <v>478</v>
      </c>
      <c r="C73" s="573" t="s">
        <v>487</v>
      </c>
      <c r="D73" s="601" t="s">
        <v>488</v>
      </c>
      <c r="E73" s="573" t="s">
        <v>878</v>
      </c>
      <c r="F73" s="601" t="s">
        <v>879</v>
      </c>
      <c r="G73" s="573" t="s">
        <v>902</v>
      </c>
      <c r="H73" s="573" t="s">
        <v>903</v>
      </c>
      <c r="I73" s="587">
        <v>4247.760009765625</v>
      </c>
      <c r="J73" s="587">
        <v>2</v>
      </c>
      <c r="K73" s="588">
        <v>8495.52001953125</v>
      </c>
    </row>
    <row r="74" spans="1:11" ht="14.45" customHeight="1" x14ac:dyDescent="0.2">
      <c r="A74" s="569" t="s">
        <v>477</v>
      </c>
      <c r="B74" s="570" t="s">
        <v>478</v>
      </c>
      <c r="C74" s="573" t="s">
        <v>487</v>
      </c>
      <c r="D74" s="601" t="s">
        <v>488</v>
      </c>
      <c r="E74" s="573" t="s">
        <v>878</v>
      </c>
      <c r="F74" s="601" t="s">
        <v>879</v>
      </c>
      <c r="G74" s="573" t="s">
        <v>904</v>
      </c>
      <c r="H74" s="573" t="s">
        <v>905</v>
      </c>
      <c r="I74" s="587">
        <v>9486.400390625</v>
      </c>
      <c r="J74" s="587">
        <v>2</v>
      </c>
      <c r="K74" s="588">
        <v>18972.80078125</v>
      </c>
    </row>
    <row r="75" spans="1:11" ht="14.45" customHeight="1" x14ac:dyDescent="0.2">
      <c r="A75" s="569" t="s">
        <v>477</v>
      </c>
      <c r="B75" s="570" t="s">
        <v>478</v>
      </c>
      <c r="C75" s="573" t="s">
        <v>487</v>
      </c>
      <c r="D75" s="601" t="s">
        <v>488</v>
      </c>
      <c r="E75" s="573" t="s">
        <v>878</v>
      </c>
      <c r="F75" s="601" t="s">
        <v>879</v>
      </c>
      <c r="G75" s="573" t="s">
        <v>906</v>
      </c>
      <c r="H75" s="573" t="s">
        <v>907</v>
      </c>
      <c r="I75" s="587">
        <v>7929.52978515625</v>
      </c>
      <c r="J75" s="587">
        <v>3</v>
      </c>
      <c r="K75" s="588">
        <v>23788.58935546875</v>
      </c>
    </row>
    <row r="76" spans="1:11" ht="14.45" customHeight="1" x14ac:dyDescent="0.2">
      <c r="A76" s="569" t="s">
        <v>477</v>
      </c>
      <c r="B76" s="570" t="s">
        <v>478</v>
      </c>
      <c r="C76" s="573" t="s">
        <v>487</v>
      </c>
      <c r="D76" s="601" t="s">
        <v>488</v>
      </c>
      <c r="E76" s="573" t="s">
        <v>878</v>
      </c>
      <c r="F76" s="601" t="s">
        <v>879</v>
      </c>
      <c r="G76" s="573" t="s">
        <v>908</v>
      </c>
      <c r="H76" s="573" t="s">
        <v>909</v>
      </c>
      <c r="I76" s="587">
        <v>30021.5908203125</v>
      </c>
      <c r="J76" s="587">
        <v>2</v>
      </c>
      <c r="K76" s="588">
        <v>60043.181640625</v>
      </c>
    </row>
    <row r="77" spans="1:11" ht="14.45" customHeight="1" x14ac:dyDescent="0.2">
      <c r="A77" s="569" t="s">
        <v>477</v>
      </c>
      <c r="B77" s="570" t="s">
        <v>478</v>
      </c>
      <c r="C77" s="573" t="s">
        <v>487</v>
      </c>
      <c r="D77" s="601" t="s">
        <v>488</v>
      </c>
      <c r="E77" s="573" t="s">
        <v>878</v>
      </c>
      <c r="F77" s="601" t="s">
        <v>879</v>
      </c>
      <c r="G77" s="573" t="s">
        <v>910</v>
      </c>
      <c r="H77" s="573" t="s">
        <v>911</v>
      </c>
      <c r="I77" s="587">
        <v>50493.30078125</v>
      </c>
      <c r="J77" s="587">
        <v>1</v>
      </c>
      <c r="K77" s="588">
        <v>50493.30078125</v>
      </c>
    </row>
    <row r="78" spans="1:11" ht="14.45" customHeight="1" x14ac:dyDescent="0.2">
      <c r="A78" s="569" t="s">
        <v>477</v>
      </c>
      <c r="B78" s="570" t="s">
        <v>478</v>
      </c>
      <c r="C78" s="573" t="s">
        <v>487</v>
      </c>
      <c r="D78" s="601" t="s">
        <v>488</v>
      </c>
      <c r="E78" s="573" t="s">
        <v>878</v>
      </c>
      <c r="F78" s="601" t="s">
        <v>879</v>
      </c>
      <c r="G78" s="573" t="s">
        <v>912</v>
      </c>
      <c r="H78" s="573" t="s">
        <v>913</v>
      </c>
      <c r="I78" s="587">
        <v>1969.9000244140625</v>
      </c>
      <c r="J78" s="587">
        <v>1</v>
      </c>
      <c r="K78" s="588">
        <v>1969.9000244140625</v>
      </c>
    </row>
    <row r="79" spans="1:11" ht="14.45" customHeight="1" x14ac:dyDescent="0.2">
      <c r="A79" s="569" t="s">
        <v>477</v>
      </c>
      <c r="B79" s="570" t="s">
        <v>478</v>
      </c>
      <c r="C79" s="573" t="s">
        <v>487</v>
      </c>
      <c r="D79" s="601" t="s">
        <v>488</v>
      </c>
      <c r="E79" s="573" t="s">
        <v>878</v>
      </c>
      <c r="F79" s="601" t="s">
        <v>879</v>
      </c>
      <c r="G79" s="573" t="s">
        <v>914</v>
      </c>
      <c r="H79" s="573" t="s">
        <v>915</v>
      </c>
      <c r="I79" s="587">
        <v>48000</v>
      </c>
      <c r="J79" s="587">
        <v>6</v>
      </c>
      <c r="K79" s="588">
        <v>288000</v>
      </c>
    </row>
    <row r="80" spans="1:11" ht="14.45" customHeight="1" x14ac:dyDescent="0.2">
      <c r="A80" s="569" t="s">
        <v>477</v>
      </c>
      <c r="B80" s="570" t="s">
        <v>478</v>
      </c>
      <c r="C80" s="573" t="s">
        <v>487</v>
      </c>
      <c r="D80" s="601" t="s">
        <v>488</v>
      </c>
      <c r="E80" s="573" t="s">
        <v>878</v>
      </c>
      <c r="F80" s="601" t="s">
        <v>879</v>
      </c>
      <c r="G80" s="573" t="s">
        <v>916</v>
      </c>
      <c r="H80" s="573" t="s">
        <v>917</v>
      </c>
      <c r="I80" s="587">
        <v>250.29192867434989</v>
      </c>
      <c r="J80" s="587">
        <v>8</v>
      </c>
      <c r="K80" s="588">
        <v>2002.3354293947991</v>
      </c>
    </row>
    <row r="81" spans="1:11" ht="14.45" customHeight="1" x14ac:dyDescent="0.2">
      <c r="A81" s="569" t="s">
        <v>477</v>
      </c>
      <c r="B81" s="570" t="s">
        <v>478</v>
      </c>
      <c r="C81" s="573" t="s">
        <v>487</v>
      </c>
      <c r="D81" s="601" t="s">
        <v>488</v>
      </c>
      <c r="E81" s="573" t="s">
        <v>878</v>
      </c>
      <c r="F81" s="601" t="s">
        <v>879</v>
      </c>
      <c r="G81" s="573" t="s">
        <v>918</v>
      </c>
      <c r="H81" s="573" t="s">
        <v>919</v>
      </c>
      <c r="I81" s="587">
        <v>3502.949951171875</v>
      </c>
      <c r="J81" s="587">
        <v>1</v>
      </c>
      <c r="K81" s="588">
        <v>3502.949951171875</v>
      </c>
    </row>
    <row r="82" spans="1:11" ht="14.45" customHeight="1" x14ac:dyDescent="0.2">
      <c r="A82" s="569" t="s">
        <v>477</v>
      </c>
      <c r="B82" s="570" t="s">
        <v>478</v>
      </c>
      <c r="C82" s="573" t="s">
        <v>487</v>
      </c>
      <c r="D82" s="601" t="s">
        <v>488</v>
      </c>
      <c r="E82" s="573" t="s">
        <v>878</v>
      </c>
      <c r="F82" s="601" t="s">
        <v>879</v>
      </c>
      <c r="G82" s="573" t="s">
        <v>920</v>
      </c>
      <c r="H82" s="573" t="s">
        <v>921</v>
      </c>
      <c r="I82" s="587">
        <v>547.44324328448317</v>
      </c>
      <c r="J82" s="587">
        <v>37</v>
      </c>
      <c r="K82" s="588">
        <v>20255.400001525879</v>
      </c>
    </row>
    <row r="83" spans="1:11" ht="14.45" customHeight="1" x14ac:dyDescent="0.2">
      <c r="A83" s="569" t="s">
        <v>477</v>
      </c>
      <c r="B83" s="570" t="s">
        <v>478</v>
      </c>
      <c r="C83" s="573" t="s">
        <v>487</v>
      </c>
      <c r="D83" s="601" t="s">
        <v>488</v>
      </c>
      <c r="E83" s="573" t="s">
        <v>878</v>
      </c>
      <c r="F83" s="601" t="s">
        <v>879</v>
      </c>
      <c r="G83" s="573" t="s">
        <v>922</v>
      </c>
      <c r="H83" s="573" t="s">
        <v>923</v>
      </c>
      <c r="I83" s="587">
        <v>757.62601318359373</v>
      </c>
      <c r="J83" s="587">
        <v>7</v>
      </c>
      <c r="K83" s="588">
        <v>5560.590087890625</v>
      </c>
    </row>
    <row r="84" spans="1:11" ht="14.45" customHeight="1" x14ac:dyDescent="0.2">
      <c r="A84" s="569" t="s">
        <v>477</v>
      </c>
      <c r="B84" s="570" t="s">
        <v>478</v>
      </c>
      <c r="C84" s="573" t="s">
        <v>487</v>
      </c>
      <c r="D84" s="601" t="s">
        <v>488</v>
      </c>
      <c r="E84" s="573" t="s">
        <v>878</v>
      </c>
      <c r="F84" s="601" t="s">
        <v>879</v>
      </c>
      <c r="G84" s="573" t="s">
        <v>924</v>
      </c>
      <c r="H84" s="573" t="s">
        <v>925</v>
      </c>
      <c r="I84" s="587">
        <v>2680.1499511718748</v>
      </c>
      <c r="J84" s="587">
        <v>10</v>
      </c>
      <c r="K84" s="588">
        <v>26771.249755859375</v>
      </c>
    </row>
    <row r="85" spans="1:11" ht="14.45" customHeight="1" x14ac:dyDescent="0.2">
      <c r="A85" s="569" t="s">
        <v>477</v>
      </c>
      <c r="B85" s="570" t="s">
        <v>478</v>
      </c>
      <c r="C85" s="573" t="s">
        <v>487</v>
      </c>
      <c r="D85" s="601" t="s">
        <v>488</v>
      </c>
      <c r="E85" s="573" t="s">
        <v>878</v>
      </c>
      <c r="F85" s="601" t="s">
        <v>879</v>
      </c>
      <c r="G85" s="573" t="s">
        <v>926</v>
      </c>
      <c r="H85" s="573" t="s">
        <v>927</v>
      </c>
      <c r="I85" s="587">
        <v>2282.06005859375</v>
      </c>
      <c r="J85" s="587">
        <v>6</v>
      </c>
      <c r="K85" s="588">
        <v>13692.3603515625</v>
      </c>
    </row>
    <row r="86" spans="1:11" ht="14.45" customHeight="1" x14ac:dyDescent="0.2">
      <c r="A86" s="569" t="s">
        <v>477</v>
      </c>
      <c r="B86" s="570" t="s">
        <v>478</v>
      </c>
      <c r="C86" s="573" t="s">
        <v>487</v>
      </c>
      <c r="D86" s="601" t="s">
        <v>488</v>
      </c>
      <c r="E86" s="573" t="s">
        <v>878</v>
      </c>
      <c r="F86" s="601" t="s">
        <v>879</v>
      </c>
      <c r="G86" s="573" t="s">
        <v>928</v>
      </c>
      <c r="H86" s="573" t="s">
        <v>929</v>
      </c>
      <c r="I86" s="587">
        <v>1089</v>
      </c>
      <c r="J86" s="587">
        <v>3</v>
      </c>
      <c r="K86" s="588">
        <v>3267</v>
      </c>
    </row>
    <row r="87" spans="1:11" ht="14.45" customHeight="1" x14ac:dyDescent="0.2">
      <c r="A87" s="569" t="s">
        <v>477</v>
      </c>
      <c r="B87" s="570" t="s">
        <v>478</v>
      </c>
      <c r="C87" s="573" t="s">
        <v>487</v>
      </c>
      <c r="D87" s="601" t="s">
        <v>488</v>
      </c>
      <c r="E87" s="573" t="s">
        <v>878</v>
      </c>
      <c r="F87" s="601" t="s">
        <v>879</v>
      </c>
      <c r="G87" s="573" t="s">
        <v>930</v>
      </c>
      <c r="H87" s="573" t="s">
        <v>931</v>
      </c>
      <c r="I87" s="587">
        <v>2562.1749877929688</v>
      </c>
      <c r="J87" s="587">
        <v>4</v>
      </c>
      <c r="K87" s="588">
        <v>10248.699951171875</v>
      </c>
    </row>
    <row r="88" spans="1:11" ht="14.45" customHeight="1" x14ac:dyDescent="0.2">
      <c r="A88" s="569" t="s">
        <v>477</v>
      </c>
      <c r="B88" s="570" t="s">
        <v>478</v>
      </c>
      <c r="C88" s="573" t="s">
        <v>487</v>
      </c>
      <c r="D88" s="601" t="s">
        <v>488</v>
      </c>
      <c r="E88" s="573" t="s">
        <v>878</v>
      </c>
      <c r="F88" s="601" t="s">
        <v>879</v>
      </c>
      <c r="G88" s="573" t="s">
        <v>932</v>
      </c>
      <c r="H88" s="573" t="s">
        <v>933</v>
      </c>
      <c r="I88" s="587">
        <v>34485</v>
      </c>
      <c r="J88" s="587">
        <v>2</v>
      </c>
      <c r="K88" s="588">
        <v>68970</v>
      </c>
    </row>
    <row r="89" spans="1:11" ht="14.45" customHeight="1" x14ac:dyDescent="0.2">
      <c r="A89" s="569" t="s">
        <v>477</v>
      </c>
      <c r="B89" s="570" t="s">
        <v>478</v>
      </c>
      <c r="C89" s="573" t="s">
        <v>487</v>
      </c>
      <c r="D89" s="601" t="s">
        <v>488</v>
      </c>
      <c r="E89" s="573" t="s">
        <v>878</v>
      </c>
      <c r="F89" s="601" t="s">
        <v>879</v>
      </c>
      <c r="G89" s="573" t="s">
        <v>934</v>
      </c>
      <c r="H89" s="573" t="s">
        <v>935</v>
      </c>
      <c r="I89" s="587">
        <v>4477</v>
      </c>
      <c r="J89" s="587">
        <v>1</v>
      </c>
      <c r="K89" s="588">
        <v>4477</v>
      </c>
    </row>
    <row r="90" spans="1:11" ht="14.45" customHeight="1" x14ac:dyDescent="0.2">
      <c r="A90" s="569" t="s">
        <v>477</v>
      </c>
      <c r="B90" s="570" t="s">
        <v>478</v>
      </c>
      <c r="C90" s="573" t="s">
        <v>487</v>
      </c>
      <c r="D90" s="601" t="s">
        <v>488</v>
      </c>
      <c r="E90" s="573" t="s">
        <v>878</v>
      </c>
      <c r="F90" s="601" t="s">
        <v>879</v>
      </c>
      <c r="G90" s="573" t="s">
        <v>936</v>
      </c>
      <c r="H90" s="573" t="s">
        <v>937</v>
      </c>
      <c r="I90" s="587">
        <v>14832.66015625</v>
      </c>
      <c r="J90" s="587">
        <v>2</v>
      </c>
      <c r="K90" s="588">
        <v>29665.3203125</v>
      </c>
    </row>
    <row r="91" spans="1:11" ht="14.45" customHeight="1" x14ac:dyDescent="0.2">
      <c r="A91" s="569" t="s">
        <v>477</v>
      </c>
      <c r="B91" s="570" t="s">
        <v>478</v>
      </c>
      <c r="C91" s="573" t="s">
        <v>487</v>
      </c>
      <c r="D91" s="601" t="s">
        <v>488</v>
      </c>
      <c r="E91" s="573" t="s">
        <v>878</v>
      </c>
      <c r="F91" s="601" t="s">
        <v>879</v>
      </c>
      <c r="G91" s="573" t="s">
        <v>938</v>
      </c>
      <c r="H91" s="573" t="s">
        <v>939</v>
      </c>
      <c r="I91" s="587">
        <v>17015.5</v>
      </c>
      <c r="J91" s="587">
        <v>1</v>
      </c>
      <c r="K91" s="588">
        <v>17015.5</v>
      </c>
    </row>
    <row r="92" spans="1:11" ht="14.45" customHeight="1" x14ac:dyDescent="0.2">
      <c r="A92" s="569" t="s">
        <v>477</v>
      </c>
      <c r="B92" s="570" t="s">
        <v>478</v>
      </c>
      <c r="C92" s="573" t="s">
        <v>487</v>
      </c>
      <c r="D92" s="601" t="s">
        <v>488</v>
      </c>
      <c r="E92" s="573" t="s">
        <v>878</v>
      </c>
      <c r="F92" s="601" t="s">
        <v>879</v>
      </c>
      <c r="G92" s="573" t="s">
        <v>940</v>
      </c>
      <c r="H92" s="573" t="s">
        <v>941</v>
      </c>
      <c r="I92" s="587">
        <v>334.8800048828125</v>
      </c>
      <c r="J92" s="587">
        <v>3</v>
      </c>
      <c r="K92" s="588">
        <v>1004.6400146484375</v>
      </c>
    </row>
    <row r="93" spans="1:11" ht="14.45" customHeight="1" x14ac:dyDescent="0.2">
      <c r="A93" s="569" t="s">
        <v>477</v>
      </c>
      <c r="B93" s="570" t="s">
        <v>478</v>
      </c>
      <c r="C93" s="573" t="s">
        <v>487</v>
      </c>
      <c r="D93" s="601" t="s">
        <v>488</v>
      </c>
      <c r="E93" s="573" t="s">
        <v>878</v>
      </c>
      <c r="F93" s="601" t="s">
        <v>879</v>
      </c>
      <c r="G93" s="573" t="s">
        <v>942</v>
      </c>
      <c r="H93" s="573" t="s">
        <v>943</v>
      </c>
      <c r="I93" s="587">
        <v>15633.2001953125</v>
      </c>
      <c r="J93" s="587">
        <v>1</v>
      </c>
      <c r="K93" s="588">
        <v>15633.2001953125</v>
      </c>
    </row>
    <row r="94" spans="1:11" ht="14.45" customHeight="1" x14ac:dyDescent="0.2">
      <c r="A94" s="569" t="s">
        <v>477</v>
      </c>
      <c r="B94" s="570" t="s">
        <v>478</v>
      </c>
      <c r="C94" s="573" t="s">
        <v>487</v>
      </c>
      <c r="D94" s="601" t="s">
        <v>488</v>
      </c>
      <c r="E94" s="573" t="s">
        <v>878</v>
      </c>
      <c r="F94" s="601" t="s">
        <v>879</v>
      </c>
      <c r="G94" s="573" t="s">
        <v>944</v>
      </c>
      <c r="H94" s="573" t="s">
        <v>945</v>
      </c>
      <c r="I94" s="587">
        <v>7389.43017578125</v>
      </c>
      <c r="J94" s="587">
        <v>1</v>
      </c>
      <c r="K94" s="588">
        <v>7389.43017578125</v>
      </c>
    </row>
    <row r="95" spans="1:11" ht="14.45" customHeight="1" x14ac:dyDescent="0.2">
      <c r="A95" s="569" t="s">
        <v>477</v>
      </c>
      <c r="B95" s="570" t="s">
        <v>478</v>
      </c>
      <c r="C95" s="573" t="s">
        <v>487</v>
      </c>
      <c r="D95" s="601" t="s">
        <v>488</v>
      </c>
      <c r="E95" s="573" t="s">
        <v>878</v>
      </c>
      <c r="F95" s="601" t="s">
        <v>879</v>
      </c>
      <c r="G95" s="573" t="s">
        <v>946</v>
      </c>
      <c r="H95" s="573" t="s">
        <v>947</v>
      </c>
      <c r="I95" s="587">
        <v>1573</v>
      </c>
      <c r="J95" s="587">
        <v>1</v>
      </c>
      <c r="K95" s="588">
        <v>1573</v>
      </c>
    </row>
    <row r="96" spans="1:11" ht="14.45" customHeight="1" x14ac:dyDescent="0.2">
      <c r="A96" s="569" t="s">
        <v>477</v>
      </c>
      <c r="B96" s="570" t="s">
        <v>478</v>
      </c>
      <c r="C96" s="573" t="s">
        <v>487</v>
      </c>
      <c r="D96" s="601" t="s">
        <v>488</v>
      </c>
      <c r="E96" s="573" t="s">
        <v>878</v>
      </c>
      <c r="F96" s="601" t="s">
        <v>879</v>
      </c>
      <c r="G96" s="573" t="s">
        <v>948</v>
      </c>
      <c r="H96" s="573" t="s">
        <v>949</v>
      </c>
      <c r="I96" s="587">
        <v>3859.89990234375</v>
      </c>
      <c r="J96" s="587">
        <v>10</v>
      </c>
      <c r="K96" s="588">
        <v>38598.9990234375</v>
      </c>
    </row>
    <row r="97" spans="1:11" ht="14.45" customHeight="1" x14ac:dyDescent="0.2">
      <c r="A97" s="569" t="s">
        <v>477</v>
      </c>
      <c r="B97" s="570" t="s">
        <v>478</v>
      </c>
      <c r="C97" s="573" t="s">
        <v>487</v>
      </c>
      <c r="D97" s="601" t="s">
        <v>488</v>
      </c>
      <c r="E97" s="573" t="s">
        <v>878</v>
      </c>
      <c r="F97" s="601" t="s">
        <v>879</v>
      </c>
      <c r="G97" s="573" t="s">
        <v>950</v>
      </c>
      <c r="H97" s="573" t="s">
        <v>951</v>
      </c>
      <c r="I97" s="587">
        <v>30696.490234375</v>
      </c>
      <c r="J97" s="587">
        <v>4</v>
      </c>
      <c r="K97" s="588">
        <v>122785.9609375</v>
      </c>
    </row>
    <row r="98" spans="1:11" ht="14.45" customHeight="1" x14ac:dyDescent="0.2">
      <c r="A98" s="569" t="s">
        <v>477</v>
      </c>
      <c r="B98" s="570" t="s">
        <v>478</v>
      </c>
      <c r="C98" s="573" t="s">
        <v>487</v>
      </c>
      <c r="D98" s="601" t="s">
        <v>488</v>
      </c>
      <c r="E98" s="573" t="s">
        <v>878</v>
      </c>
      <c r="F98" s="601" t="s">
        <v>879</v>
      </c>
      <c r="G98" s="573" t="s">
        <v>952</v>
      </c>
      <c r="H98" s="573" t="s">
        <v>953</v>
      </c>
      <c r="I98" s="587">
        <v>8908</v>
      </c>
      <c r="J98" s="587">
        <v>1</v>
      </c>
      <c r="K98" s="588">
        <v>8908</v>
      </c>
    </row>
    <row r="99" spans="1:11" ht="14.45" customHeight="1" x14ac:dyDescent="0.2">
      <c r="A99" s="569" t="s">
        <v>477</v>
      </c>
      <c r="B99" s="570" t="s">
        <v>478</v>
      </c>
      <c r="C99" s="573" t="s">
        <v>487</v>
      </c>
      <c r="D99" s="601" t="s">
        <v>488</v>
      </c>
      <c r="E99" s="573" t="s">
        <v>878</v>
      </c>
      <c r="F99" s="601" t="s">
        <v>879</v>
      </c>
      <c r="G99" s="573" t="s">
        <v>954</v>
      </c>
      <c r="H99" s="573" t="s">
        <v>955</v>
      </c>
      <c r="I99" s="587">
        <v>110715</v>
      </c>
      <c r="J99" s="587">
        <v>1</v>
      </c>
      <c r="K99" s="588">
        <v>110715</v>
      </c>
    </row>
    <row r="100" spans="1:11" ht="14.45" customHeight="1" x14ac:dyDescent="0.2">
      <c r="A100" s="569" t="s">
        <v>477</v>
      </c>
      <c r="B100" s="570" t="s">
        <v>478</v>
      </c>
      <c r="C100" s="573" t="s">
        <v>487</v>
      </c>
      <c r="D100" s="601" t="s">
        <v>488</v>
      </c>
      <c r="E100" s="573" t="s">
        <v>878</v>
      </c>
      <c r="F100" s="601" t="s">
        <v>879</v>
      </c>
      <c r="G100" s="573" t="s">
        <v>956</v>
      </c>
      <c r="H100" s="573" t="s">
        <v>957</v>
      </c>
      <c r="I100" s="587">
        <v>109980.24739583333</v>
      </c>
      <c r="J100" s="587">
        <v>3</v>
      </c>
      <c r="K100" s="588">
        <v>329940.7421875</v>
      </c>
    </row>
    <row r="101" spans="1:11" ht="14.45" customHeight="1" x14ac:dyDescent="0.2">
      <c r="A101" s="569" t="s">
        <v>477</v>
      </c>
      <c r="B101" s="570" t="s">
        <v>478</v>
      </c>
      <c r="C101" s="573" t="s">
        <v>487</v>
      </c>
      <c r="D101" s="601" t="s">
        <v>488</v>
      </c>
      <c r="E101" s="573" t="s">
        <v>878</v>
      </c>
      <c r="F101" s="601" t="s">
        <v>879</v>
      </c>
      <c r="G101" s="573" t="s">
        <v>958</v>
      </c>
      <c r="H101" s="573" t="s">
        <v>959</v>
      </c>
      <c r="I101" s="587">
        <v>119708.32421875</v>
      </c>
      <c r="J101" s="587">
        <v>2</v>
      </c>
      <c r="K101" s="588">
        <v>239416.6484375</v>
      </c>
    </row>
    <row r="102" spans="1:11" ht="14.45" customHeight="1" x14ac:dyDescent="0.2">
      <c r="A102" s="569" t="s">
        <v>477</v>
      </c>
      <c r="B102" s="570" t="s">
        <v>478</v>
      </c>
      <c r="C102" s="573" t="s">
        <v>487</v>
      </c>
      <c r="D102" s="601" t="s">
        <v>488</v>
      </c>
      <c r="E102" s="573" t="s">
        <v>878</v>
      </c>
      <c r="F102" s="601" t="s">
        <v>879</v>
      </c>
      <c r="G102" s="573" t="s">
        <v>960</v>
      </c>
      <c r="H102" s="573" t="s">
        <v>961</v>
      </c>
      <c r="I102" s="587">
        <v>34678.6015625</v>
      </c>
      <c r="J102" s="587">
        <v>2</v>
      </c>
      <c r="K102" s="588">
        <v>69357.203125</v>
      </c>
    </row>
    <row r="103" spans="1:11" ht="14.45" customHeight="1" x14ac:dyDescent="0.2">
      <c r="A103" s="569" t="s">
        <v>477</v>
      </c>
      <c r="B103" s="570" t="s">
        <v>478</v>
      </c>
      <c r="C103" s="573" t="s">
        <v>487</v>
      </c>
      <c r="D103" s="601" t="s">
        <v>488</v>
      </c>
      <c r="E103" s="573" t="s">
        <v>878</v>
      </c>
      <c r="F103" s="601" t="s">
        <v>879</v>
      </c>
      <c r="G103" s="573" t="s">
        <v>962</v>
      </c>
      <c r="H103" s="573" t="s">
        <v>963</v>
      </c>
      <c r="I103" s="587">
        <v>5.000000074505806E-2</v>
      </c>
      <c r="J103" s="587">
        <v>1</v>
      </c>
      <c r="K103" s="588">
        <v>5.000000074505806E-2</v>
      </c>
    </row>
    <row r="104" spans="1:11" ht="14.45" customHeight="1" x14ac:dyDescent="0.2">
      <c r="A104" s="569" t="s">
        <v>477</v>
      </c>
      <c r="B104" s="570" t="s">
        <v>478</v>
      </c>
      <c r="C104" s="573" t="s">
        <v>487</v>
      </c>
      <c r="D104" s="601" t="s">
        <v>488</v>
      </c>
      <c r="E104" s="573" t="s">
        <v>878</v>
      </c>
      <c r="F104" s="601" t="s">
        <v>879</v>
      </c>
      <c r="G104" s="573" t="s">
        <v>964</v>
      </c>
      <c r="H104" s="573" t="s">
        <v>965</v>
      </c>
      <c r="I104" s="587">
        <v>31063.73046875</v>
      </c>
      <c r="J104" s="587">
        <v>2</v>
      </c>
      <c r="K104" s="588">
        <v>62127.44921875</v>
      </c>
    </row>
    <row r="105" spans="1:11" ht="14.45" customHeight="1" x14ac:dyDescent="0.2">
      <c r="A105" s="569" t="s">
        <v>477</v>
      </c>
      <c r="B105" s="570" t="s">
        <v>478</v>
      </c>
      <c r="C105" s="573" t="s">
        <v>487</v>
      </c>
      <c r="D105" s="601" t="s">
        <v>488</v>
      </c>
      <c r="E105" s="573" t="s">
        <v>878</v>
      </c>
      <c r="F105" s="601" t="s">
        <v>879</v>
      </c>
      <c r="G105" s="573" t="s">
        <v>966</v>
      </c>
      <c r="H105" s="573" t="s">
        <v>967</v>
      </c>
      <c r="I105" s="587">
        <v>49501.1015625</v>
      </c>
      <c r="J105" s="587">
        <v>1</v>
      </c>
      <c r="K105" s="588">
        <v>49501.1015625</v>
      </c>
    </row>
    <row r="106" spans="1:11" ht="14.45" customHeight="1" x14ac:dyDescent="0.2">
      <c r="A106" s="569" t="s">
        <v>477</v>
      </c>
      <c r="B106" s="570" t="s">
        <v>478</v>
      </c>
      <c r="C106" s="573" t="s">
        <v>487</v>
      </c>
      <c r="D106" s="601" t="s">
        <v>488</v>
      </c>
      <c r="E106" s="573" t="s">
        <v>878</v>
      </c>
      <c r="F106" s="601" t="s">
        <v>879</v>
      </c>
      <c r="G106" s="573" t="s">
        <v>968</v>
      </c>
      <c r="H106" s="573" t="s">
        <v>969</v>
      </c>
      <c r="I106" s="587">
        <v>80644.078125</v>
      </c>
      <c r="J106" s="587">
        <v>2</v>
      </c>
      <c r="K106" s="588">
        <v>161288.15625</v>
      </c>
    </row>
    <row r="107" spans="1:11" ht="14.45" customHeight="1" x14ac:dyDescent="0.2">
      <c r="A107" s="569" t="s">
        <v>477</v>
      </c>
      <c r="B107" s="570" t="s">
        <v>478</v>
      </c>
      <c r="C107" s="573" t="s">
        <v>487</v>
      </c>
      <c r="D107" s="601" t="s">
        <v>488</v>
      </c>
      <c r="E107" s="573" t="s">
        <v>878</v>
      </c>
      <c r="F107" s="601" t="s">
        <v>879</v>
      </c>
      <c r="G107" s="573" t="s">
        <v>970</v>
      </c>
      <c r="H107" s="573" t="s">
        <v>971</v>
      </c>
      <c r="I107" s="587">
        <v>1024.3399658203125</v>
      </c>
      <c r="J107" s="587">
        <v>3</v>
      </c>
      <c r="K107" s="588">
        <v>3073.010009765625</v>
      </c>
    </row>
    <row r="108" spans="1:11" ht="14.45" customHeight="1" x14ac:dyDescent="0.2">
      <c r="A108" s="569" t="s">
        <v>477</v>
      </c>
      <c r="B108" s="570" t="s">
        <v>478</v>
      </c>
      <c r="C108" s="573" t="s">
        <v>487</v>
      </c>
      <c r="D108" s="601" t="s">
        <v>488</v>
      </c>
      <c r="E108" s="573" t="s">
        <v>878</v>
      </c>
      <c r="F108" s="601" t="s">
        <v>879</v>
      </c>
      <c r="G108" s="573" t="s">
        <v>972</v>
      </c>
      <c r="H108" s="573" t="s">
        <v>973</v>
      </c>
      <c r="I108" s="587">
        <v>2037.6400146484375</v>
      </c>
      <c r="J108" s="587">
        <v>4</v>
      </c>
      <c r="K108" s="588">
        <v>8150.56005859375</v>
      </c>
    </row>
    <row r="109" spans="1:11" ht="14.45" customHeight="1" x14ac:dyDescent="0.2">
      <c r="A109" s="569" t="s">
        <v>477</v>
      </c>
      <c r="B109" s="570" t="s">
        <v>478</v>
      </c>
      <c r="C109" s="573" t="s">
        <v>487</v>
      </c>
      <c r="D109" s="601" t="s">
        <v>488</v>
      </c>
      <c r="E109" s="573" t="s">
        <v>878</v>
      </c>
      <c r="F109" s="601" t="s">
        <v>879</v>
      </c>
      <c r="G109" s="573" t="s">
        <v>974</v>
      </c>
      <c r="H109" s="573" t="s">
        <v>975</v>
      </c>
      <c r="I109" s="587">
        <v>116.16000366210938</v>
      </c>
      <c r="J109" s="587">
        <v>8</v>
      </c>
      <c r="K109" s="588">
        <v>929.280029296875</v>
      </c>
    </row>
    <row r="110" spans="1:11" ht="14.45" customHeight="1" x14ac:dyDescent="0.2">
      <c r="A110" s="569" t="s">
        <v>477</v>
      </c>
      <c r="B110" s="570" t="s">
        <v>478</v>
      </c>
      <c r="C110" s="573" t="s">
        <v>487</v>
      </c>
      <c r="D110" s="601" t="s">
        <v>488</v>
      </c>
      <c r="E110" s="573" t="s">
        <v>878</v>
      </c>
      <c r="F110" s="601" t="s">
        <v>879</v>
      </c>
      <c r="G110" s="573" t="s">
        <v>976</v>
      </c>
      <c r="H110" s="573" t="s">
        <v>977</v>
      </c>
      <c r="I110" s="587">
        <v>70.698571341378354</v>
      </c>
      <c r="J110" s="587">
        <v>25</v>
      </c>
      <c r="K110" s="588">
        <v>1772.6499938964844</v>
      </c>
    </row>
    <row r="111" spans="1:11" ht="14.45" customHeight="1" x14ac:dyDescent="0.2">
      <c r="A111" s="569" t="s">
        <v>477</v>
      </c>
      <c r="B111" s="570" t="s">
        <v>478</v>
      </c>
      <c r="C111" s="573" t="s">
        <v>487</v>
      </c>
      <c r="D111" s="601" t="s">
        <v>488</v>
      </c>
      <c r="E111" s="573" t="s">
        <v>878</v>
      </c>
      <c r="F111" s="601" t="s">
        <v>879</v>
      </c>
      <c r="G111" s="573" t="s">
        <v>978</v>
      </c>
      <c r="H111" s="573" t="s">
        <v>979</v>
      </c>
      <c r="I111" s="587">
        <v>5674.81982421875</v>
      </c>
      <c r="J111" s="587">
        <v>1</v>
      </c>
      <c r="K111" s="588">
        <v>5674.81982421875</v>
      </c>
    </row>
    <row r="112" spans="1:11" ht="14.45" customHeight="1" x14ac:dyDescent="0.2">
      <c r="A112" s="569" t="s">
        <v>477</v>
      </c>
      <c r="B112" s="570" t="s">
        <v>478</v>
      </c>
      <c r="C112" s="573" t="s">
        <v>487</v>
      </c>
      <c r="D112" s="601" t="s">
        <v>488</v>
      </c>
      <c r="E112" s="573" t="s">
        <v>878</v>
      </c>
      <c r="F112" s="601" t="s">
        <v>879</v>
      </c>
      <c r="G112" s="573" t="s">
        <v>980</v>
      </c>
      <c r="H112" s="573" t="s">
        <v>981</v>
      </c>
      <c r="I112" s="587">
        <v>5168.073404947917</v>
      </c>
      <c r="J112" s="587">
        <v>3</v>
      </c>
      <c r="K112" s="588">
        <v>15504.22021484375</v>
      </c>
    </row>
    <row r="113" spans="1:11" ht="14.45" customHeight="1" x14ac:dyDescent="0.2">
      <c r="A113" s="569" t="s">
        <v>477</v>
      </c>
      <c r="B113" s="570" t="s">
        <v>478</v>
      </c>
      <c r="C113" s="573" t="s">
        <v>487</v>
      </c>
      <c r="D113" s="601" t="s">
        <v>488</v>
      </c>
      <c r="E113" s="573" t="s">
        <v>878</v>
      </c>
      <c r="F113" s="601" t="s">
        <v>879</v>
      </c>
      <c r="G113" s="573" t="s">
        <v>982</v>
      </c>
      <c r="H113" s="573" t="s">
        <v>983</v>
      </c>
      <c r="I113" s="587">
        <v>31805.572916666668</v>
      </c>
      <c r="J113" s="587">
        <v>7</v>
      </c>
      <c r="K113" s="588">
        <v>228184.408203125</v>
      </c>
    </row>
    <row r="114" spans="1:11" ht="14.45" customHeight="1" x14ac:dyDescent="0.2">
      <c r="A114" s="569" t="s">
        <v>477</v>
      </c>
      <c r="B114" s="570" t="s">
        <v>478</v>
      </c>
      <c r="C114" s="573" t="s">
        <v>487</v>
      </c>
      <c r="D114" s="601" t="s">
        <v>488</v>
      </c>
      <c r="E114" s="573" t="s">
        <v>878</v>
      </c>
      <c r="F114" s="601" t="s">
        <v>879</v>
      </c>
      <c r="G114" s="573" t="s">
        <v>984</v>
      </c>
      <c r="H114" s="573" t="s">
        <v>985</v>
      </c>
      <c r="I114" s="587">
        <v>19275.30078125</v>
      </c>
      <c r="J114" s="587">
        <v>2</v>
      </c>
      <c r="K114" s="588">
        <v>38550.6015625</v>
      </c>
    </row>
    <row r="115" spans="1:11" ht="14.45" customHeight="1" x14ac:dyDescent="0.2">
      <c r="A115" s="569" t="s">
        <v>477</v>
      </c>
      <c r="B115" s="570" t="s">
        <v>478</v>
      </c>
      <c r="C115" s="573" t="s">
        <v>487</v>
      </c>
      <c r="D115" s="601" t="s">
        <v>488</v>
      </c>
      <c r="E115" s="573" t="s">
        <v>878</v>
      </c>
      <c r="F115" s="601" t="s">
        <v>879</v>
      </c>
      <c r="G115" s="573" t="s">
        <v>986</v>
      </c>
      <c r="H115" s="573" t="s">
        <v>987</v>
      </c>
      <c r="I115" s="587">
        <v>16341.46044921875</v>
      </c>
      <c r="J115" s="587">
        <v>2</v>
      </c>
      <c r="K115" s="588">
        <v>32682.9208984375</v>
      </c>
    </row>
    <row r="116" spans="1:11" ht="14.45" customHeight="1" x14ac:dyDescent="0.2">
      <c r="A116" s="569" t="s">
        <v>477</v>
      </c>
      <c r="B116" s="570" t="s">
        <v>478</v>
      </c>
      <c r="C116" s="573" t="s">
        <v>487</v>
      </c>
      <c r="D116" s="601" t="s">
        <v>488</v>
      </c>
      <c r="E116" s="573" t="s">
        <v>878</v>
      </c>
      <c r="F116" s="601" t="s">
        <v>879</v>
      </c>
      <c r="G116" s="573" t="s">
        <v>988</v>
      </c>
      <c r="H116" s="573" t="s">
        <v>989</v>
      </c>
      <c r="I116" s="587">
        <v>11049.97998046875</v>
      </c>
      <c r="J116" s="587">
        <v>2</v>
      </c>
      <c r="K116" s="588">
        <v>22099.9599609375</v>
      </c>
    </row>
    <row r="117" spans="1:11" ht="14.45" customHeight="1" x14ac:dyDescent="0.2">
      <c r="A117" s="569" t="s">
        <v>477</v>
      </c>
      <c r="B117" s="570" t="s">
        <v>478</v>
      </c>
      <c r="C117" s="573" t="s">
        <v>487</v>
      </c>
      <c r="D117" s="601" t="s">
        <v>488</v>
      </c>
      <c r="E117" s="573" t="s">
        <v>878</v>
      </c>
      <c r="F117" s="601" t="s">
        <v>879</v>
      </c>
      <c r="G117" s="573" t="s">
        <v>990</v>
      </c>
      <c r="H117" s="573" t="s">
        <v>991</v>
      </c>
      <c r="I117" s="587">
        <v>238.05246253590985</v>
      </c>
      <c r="J117" s="587">
        <v>6</v>
      </c>
      <c r="K117" s="588">
        <v>1428.3147752154591</v>
      </c>
    </row>
    <row r="118" spans="1:11" ht="14.45" customHeight="1" x14ac:dyDescent="0.2">
      <c r="A118" s="569" t="s">
        <v>477</v>
      </c>
      <c r="B118" s="570" t="s">
        <v>478</v>
      </c>
      <c r="C118" s="573" t="s">
        <v>487</v>
      </c>
      <c r="D118" s="601" t="s">
        <v>488</v>
      </c>
      <c r="E118" s="573" t="s">
        <v>878</v>
      </c>
      <c r="F118" s="601" t="s">
        <v>879</v>
      </c>
      <c r="G118" s="573" t="s">
        <v>992</v>
      </c>
      <c r="H118" s="573" t="s">
        <v>993</v>
      </c>
      <c r="I118" s="587">
        <v>242</v>
      </c>
      <c r="J118" s="587">
        <v>12</v>
      </c>
      <c r="K118" s="588">
        <v>2904</v>
      </c>
    </row>
    <row r="119" spans="1:11" ht="14.45" customHeight="1" x14ac:dyDescent="0.2">
      <c r="A119" s="569" t="s">
        <v>477</v>
      </c>
      <c r="B119" s="570" t="s">
        <v>478</v>
      </c>
      <c r="C119" s="573" t="s">
        <v>487</v>
      </c>
      <c r="D119" s="601" t="s">
        <v>488</v>
      </c>
      <c r="E119" s="573" t="s">
        <v>878</v>
      </c>
      <c r="F119" s="601" t="s">
        <v>879</v>
      </c>
      <c r="G119" s="573" t="s">
        <v>994</v>
      </c>
      <c r="H119" s="573" t="s">
        <v>995</v>
      </c>
      <c r="I119" s="587">
        <v>1331</v>
      </c>
      <c r="J119" s="587">
        <v>2</v>
      </c>
      <c r="K119" s="588">
        <v>2662</v>
      </c>
    </row>
    <row r="120" spans="1:11" ht="14.45" customHeight="1" x14ac:dyDescent="0.2">
      <c r="A120" s="569" t="s">
        <v>477</v>
      </c>
      <c r="B120" s="570" t="s">
        <v>478</v>
      </c>
      <c r="C120" s="573" t="s">
        <v>487</v>
      </c>
      <c r="D120" s="601" t="s">
        <v>488</v>
      </c>
      <c r="E120" s="573" t="s">
        <v>878</v>
      </c>
      <c r="F120" s="601" t="s">
        <v>879</v>
      </c>
      <c r="G120" s="573" t="s">
        <v>996</v>
      </c>
      <c r="H120" s="573" t="s">
        <v>997</v>
      </c>
      <c r="I120" s="587">
        <v>30855</v>
      </c>
      <c r="J120" s="587">
        <v>1</v>
      </c>
      <c r="K120" s="588">
        <v>30855</v>
      </c>
    </row>
    <row r="121" spans="1:11" ht="14.45" customHeight="1" x14ac:dyDescent="0.2">
      <c r="A121" s="569" t="s">
        <v>477</v>
      </c>
      <c r="B121" s="570" t="s">
        <v>478</v>
      </c>
      <c r="C121" s="573" t="s">
        <v>487</v>
      </c>
      <c r="D121" s="601" t="s">
        <v>488</v>
      </c>
      <c r="E121" s="573" t="s">
        <v>878</v>
      </c>
      <c r="F121" s="601" t="s">
        <v>879</v>
      </c>
      <c r="G121" s="573" t="s">
        <v>998</v>
      </c>
      <c r="H121" s="573" t="s">
        <v>999</v>
      </c>
      <c r="I121" s="587">
        <v>357.12179716587264</v>
      </c>
      <c r="J121" s="587">
        <v>22</v>
      </c>
      <c r="K121" s="588">
        <v>7856.6164048235969</v>
      </c>
    </row>
    <row r="122" spans="1:11" ht="14.45" customHeight="1" x14ac:dyDescent="0.2">
      <c r="A122" s="569" t="s">
        <v>477</v>
      </c>
      <c r="B122" s="570" t="s">
        <v>478</v>
      </c>
      <c r="C122" s="573" t="s">
        <v>487</v>
      </c>
      <c r="D122" s="601" t="s">
        <v>488</v>
      </c>
      <c r="E122" s="573" t="s">
        <v>878</v>
      </c>
      <c r="F122" s="601" t="s">
        <v>879</v>
      </c>
      <c r="G122" s="573" t="s">
        <v>1000</v>
      </c>
      <c r="H122" s="573" t="s">
        <v>1001</v>
      </c>
      <c r="I122" s="587">
        <v>381.31661097208661</v>
      </c>
      <c r="J122" s="587">
        <v>279</v>
      </c>
      <c r="K122" s="588">
        <v>80867.101196289063</v>
      </c>
    </row>
    <row r="123" spans="1:11" ht="14.45" customHeight="1" x14ac:dyDescent="0.2">
      <c r="A123" s="569" t="s">
        <v>477</v>
      </c>
      <c r="B123" s="570" t="s">
        <v>478</v>
      </c>
      <c r="C123" s="573" t="s">
        <v>487</v>
      </c>
      <c r="D123" s="601" t="s">
        <v>488</v>
      </c>
      <c r="E123" s="573" t="s">
        <v>878</v>
      </c>
      <c r="F123" s="601" t="s">
        <v>879</v>
      </c>
      <c r="G123" s="573" t="s">
        <v>1002</v>
      </c>
      <c r="H123" s="573" t="s">
        <v>1003</v>
      </c>
      <c r="I123" s="587">
        <v>15554</v>
      </c>
      <c r="J123" s="587">
        <v>2</v>
      </c>
      <c r="K123" s="588">
        <v>31108</v>
      </c>
    </row>
    <row r="124" spans="1:11" ht="14.45" customHeight="1" x14ac:dyDescent="0.2">
      <c r="A124" s="569" t="s">
        <v>477</v>
      </c>
      <c r="B124" s="570" t="s">
        <v>478</v>
      </c>
      <c r="C124" s="573" t="s">
        <v>487</v>
      </c>
      <c r="D124" s="601" t="s">
        <v>488</v>
      </c>
      <c r="E124" s="573" t="s">
        <v>878</v>
      </c>
      <c r="F124" s="601" t="s">
        <v>879</v>
      </c>
      <c r="G124" s="573" t="s">
        <v>1004</v>
      </c>
      <c r="H124" s="573" t="s">
        <v>1005</v>
      </c>
      <c r="I124" s="587">
        <v>20055.75</v>
      </c>
      <c r="J124" s="587">
        <v>1</v>
      </c>
      <c r="K124" s="588">
        <v>20055.75</v>
      </c>
    </row>
    <row r="125" spans="1:11" ht="14.45" customHeight="1" x14ac:dyDescent="0.2">
      <c r="A125" s="569" t="s">
        <v>477</v>
      </c>
      <c r="B125" s="570" t="s">
        <v>478</v>
      </c>
      <c r="C125" s="573" t="s">
        <v>487</v>
      </c>
      <c r="D125" s="601" t="s">
        <v>488</v>
      </c>
      <c r="E125" s="573" t="s">
        <v>878</v>
      </c>
      <c r="F125" s="601" t="s">
        <v>879</v>
      </c>
      <c r="G125" s="573" t="s">
        <v>1006</v>
      </c>
      <c r="H125" s="573" t="s">
        <v>1007</v>
      </c>
      <c r="I125" s="587">
        <v>874.6832175788013</v>
      </c>
      <c r="J125" s="587">
        <v>7</v>
      </c>
      <c r="K125" s="588">
        <v>6122.7825230516091</v>
      </c>
    </row>
    <row r="126" spans="1:11" ht="14.45" customHeight="1" x14ac:dyDescent="0.2">
      <c r="A126" s="569" t="s">
        <v>477</v>
      </c>
      <c r="B126" s="570" t="s">
        <v>478</v>
      </c>
      <c r="C126" s="573" t="s">
        <v>487</v>
      </c>
      <c r="D126" s="601" t="s">
        <v>488</v>
      </c>
      <c r="E126" s="573" t="s">
        <v>878</v>
      </c>
      <c r="F126" s="601" t="s">
        <v>879</v>
      </c>
      <c r="G126" s="573" t="s">
        <v>1008</v>
      </c>
      <c r="H126" s="573" t="s">
        <v>1009</v>
      </c>
      <c r="I126" s="587">
        <v>369.41371229263046</v>
      </c>
      <c r="J126" s="587">
        <v>12</v>
      </c>
      <c r="K126" s="588">
        <v>4432.9645475115658</v>
      </c>
    </row>
    <row r="127" spans="1:11" ht="14.45" customHeight="1" x14ac:dyDescent="0.2">
      <c r="A127" s="569" t="s">
        <v>477</v>
      </c>
      <c r="B127" s="570" t="s">
        <v>478</v>
      </c>
      <c r="C127" s="573" t="s">
        <v>487</v>
      </c>
      <c r="D127" s="601" t="s">
        <v>488</v>
      </c>
      <c r="E127" s="573" t="s">
        <v>878</v>
      </c>
      <c r="F127" s="601" t="s">
        <v>879</v>
      </c>
      <c r="G127" s="573" t="s">
        <v>1010</v>
      </c>
      <c r="H127" s="573" t="s">
        <v>1011</v>
      </c>
      <c r="I127" s="587">
        <v>3449.949951171875</v>
      </c>
      <c r="J127" s="587">
        <v>1</v>
      </c>
      <c r="K127" s="588">
        <v>3449.949951171875</v>
      </c>
    </row>
    <row r="128" spans="1:11" ht="14.45" customHeight="1" x14ac:dyDescent="0.2">
      <c r="A128" s="569" t="s">
        <v>477</v>
      </c>
      <c r="B128" s="570" t="s">
        <v>478</v>
      </c>
      <c r="C128" s="573" t="s">
        <v>487</v>
      </c>
      <c r="D128" s="601" t="s">
        <v>488</v>
      </c>
      <c r="E128" s="573" t="s">
        <v>878</v>
      </c>
      <c r="F128" s="601" t="s">
        <v>879</v>
      </c>
      <c r="G128" s="573" t="s">
        <v>1012</v>
      </c>
      <c r="H128" s="573" t="s">
        <v>1013</v>
      </c>
      <c r="I128" s="587">
        <v>8107</v>
      </c>
      <c r="J128" s="587">
        <v>1</v>
      </c>
      <c r="K128" s="588">
        <v>8107</v>
      </c>
    </row>
    <row r="129" spans="1:11" ht="14.45" customHeight="1" x14ac:dyDescent="0.2">
      <c r="A129" s="569" t="s">
        <v>477</v>
      </c>
      <c r="B129" s="570" t="s">
        <v>478</v>
      </c>
      <c r="C129" s="573" t="s">
        <v>487</v>
      </c>
      <c r="D129" s="601" t="s">
        <v>488</v>
      </c>
      <c r="E129" s="573" t="s">
        <v>878</v>
      </c>
      <c r="F129" s="601" t="s">
        <v>879</v>
      </c>
      <c r="G129" s="573" t="s">
        <v>1014</v>
      </c>
      <c r="H129" s="573" t="s">
        <v>1015</v>
      </c>
      <c r="I129" s="587">
        <v>8107</v>
      </c>
      <c r="J129" s="587">
        <v>1</v>
      </c>
      <c r="K129" s="588">
        <v>8107</v>
      </c>
    </row>
    <row r="130" spans="1:11" ht="14.45" customHeight="1" x14ac:dyDescent="0.2">
      <c r="A130" s="569" t="s">
        <v>477</v>
      </c>
      <c r="B130" s="570" t="s">
        <v>478</v>
      </c>
      <c r="C130" s="573" t="s">
        <v>487</v>
      </c>
      <c r="D130" s="601" t="s">
        <v>488</v>
      </c>
      <c r="E130" s="573" t="s">
        <v>878</v>
      </c>
      <c r="F130" s="601" t="s">
        <v>879</v>
      </c>
      <c r="G130" s="573" t="s">
        <v>1016</v>
      </c>
      <c r="H130" s="573" t="s">
        <v>1017</v>
      </c>
      <c r="I130" s="587">
        <v>44863.0595703125</v>
      </c>
      <c r="J130" s="587">
        <v>4</v>
      </c>
      <c r="K130" s="588">
        <v>179452.23828125</v>
      </c>
    </row>
    <row r="131" spans="1:11" ht="14.45" customHeight="1" x14ac:dyDescent="0.2">
      <c r="A131" s="569" t="s">
        <v>477</v>
      </c>
      <c r="B131" s="570" t="s">
        <v>478</v>
      </c>
      <c r="C131" s="573" t="s">
        <v>487</v>
      </c>
      <c r="D131" s="601" t="s">
        <v>488</v>
      </c>
      <c r="E131" s="573" t="s">
        <v>878</v>
      </c>
      <c r="F131" s="601" t="s">
        <v>879</v>
      </c>
      <c r="G131" s="573" t="s">
        <v>1018</v>
      </c>
      <c r="H131" s="573" t="s">
        <v>1019</v>
      </c>
      <c r="I131" s="587">
        <v>16214</v>
      </c>
      <c r="J131" s="587">
        <v>1</v>
      </c>
      <c r="K131" s="588">
        <v>16214</v>
      </c>
    </row>
    <row r="132" spans="1:11" ht="14.45" customHeight="1" x14ac:dyDescent="0.2">
      <c r="A132" s="569" t="s">
        <v>477</v>
      </c>
      <c r="B132" s="570" t="s">
        <v>478</v>
      </c>
      <c r="C132" s="573" t="s">
        <v>487</v>
      </c>
      <c r="D132" s="601" t="s">
        <v>488</v>
      </c>
      <c r="E132" s="573" t="s">
        <v>878</v>
      </c>
      <c r="F132" s="601" t="s">
        <v>879</v>
      </c>
      <c r="G132" s="573" t="s">
        <v>1020</v>
      </c>
      <c r="H132" s="573" t="s">
        <v>1021</v>
      </c>
      <c r="I132" s="587">
        <v>15754.2001953125</v>
      </c>
      <c r="J132" s="587">
        <v>2</v>
      </c>
      <c r="K132" s="588">
        <v>31508.400390625</v>
      </c>
    </row>
    <row r="133" spans="1:11" ht="14.45" customHeight="1" x14ac:dyDescent="0.2">
      <c r="A133" s="569" t="s">
        <v>477</v>
      </c>
      <c r="B133" s="570" t="s">
        <v>478</v>
      </c>
      <c r="C133" s="573" t="s">
        <v>487</v>
      </c>
      <c r="D133" s="601" t="s">
        <v>488</v>
      </c>
      <c r="E133" s="573" t="s">
        <v>878</v>
      </c>
      <c r="F133" s="601" t="s">
        <v>879</v>
      </c>
      <c r="G133" s="573" t="s">
        <v>1022</v>
      </c>
      <c r="H133" s="573" t="s">
        <v>1023</v>
      </c>
      <c r="I133" s="587">
        <v>16214</v>
      </c>
      <c r="J133" s="587">
        <v>1</v>
      </c>
      <c r="K133" s="588">
        <v>16214</v>
      </c>
    </row>
    <row r="134" spans="1:11" ht="14.45" customHeight="1" x14ac:dyDescent="0.2">
      <c r="A134" s="569" t="s">
        <v>477</v>
      </c>
      <c r="B134" s="570" t="s">
        <v>478</v>
      </c>
      <c r="C134" s="573" t="s">
        <v>487</v>
      </c>
      <c r="D134" s="601" t="s">
        <v>488</v>
      </c>
      <c r="E134" s="573" t="s">
        <v>878</v>
      </c>
      <c r="F134" s="601" t="s">
        <v>879</v>
      </c>
      <c r="G134" s="573" t="s">
        <v>1024</v>
      </c>
      <c r="H134" s="573" t="s">
        <v>1025</v>
      </c>
      <c r="I134" s="587">
        <v>16214</v>
      </c>
      <c r="J134" s="587">
        <v>2</v>
      </c>
      <c r="K134" s="588">
        <v>32428</v>
      </c>
    </row>
    <row r="135" spans="1:11" ht="14.45" customHeight="1" x14ac:dyDescent="0.2">
      <c r="A135" s="569" t="s">
        <v>477</v>
      </c>
      <c r="B135" s="570" t="s">
        <v>478</v>
      </c>
      <c r="C135" s="573" t="s">
        <v>487</v>
      </c>
      <c r="D135" s="601" t="s">
        <v>488</v>
      </c>
      <c r="E135" s="573" t="s">
        <v>878</v>
      </c>
      <c r="F135" s="601" t="s">
        <v>879</v>
      </c>
      <c r="G135" s="573" t="s">
        <v>1026</v>
      </c>
      <c r="H135" s="573" t="s">
        <v>1027</v>
      </c>
      <c r="I135" s="587">
        <v>7953.7333984375</v>
      </c>
      <c r="J135" s="587">
        <v>3</v>
      </c>
      <c r="K135" s="588">
        <v>23861.2001953125</v>
      </c>
    </row>
    <row r="136" spans="1:11" ht="14.45" customHeight="1" x14ac:dyDescent="0.2">
      <c r="A136" s="569" t="s">
        <v>477</v>
      </c>
      <c r="B136" s="570" t="s">
        <v>478</v>
      </c>
      <c r="C136" s="573" t="s">
        <v>487</v>
      </c>
      <c r="D136" s="601" t="s">
        <v>488</v>
      </c>
      <c r="E136" s="573" t="s">
        <v>878</v>
      </c>
      <c r="F136" s="601" t="s">
        <v>879</v>
      </c>
      <c r="G136" s="573" t="s">
        <v>1028</v>
      </c>
      <c r="H136" s="573" t="s">
        <v>1029</v>
      </c>
      <c r="I136" s="587">
        <v>7953.7333984375</v>
      </c>
      <c r="J136" s="587">
        <v>4</v>
      </c>
      <c r="K136" s="588">
        <v>31968.2001953125</v>
      </c>
    </row>
    <row r="137" spans="1:11" ht="14.45" customHeight="1" x14ac:dyDescent="0.2">
      <c r="A137" s="569" t="s">
        <v>477</v>
      </c>
      <c r="B137" s="570" t="s">
        <v>478</v>
      </c>
      <c r="C137" s="573" t="s">
        <v>487</v>
      </c>
      <c r="D137" s="601" t="s">
        <v>488</v>
      </c>
      <c r="E137" s="573" t="s">
        <v>878</v>
      </c>
      <c r="F137" s="601" t="s">
        <v>879</v>
      </c>
      <c r="G137" s="573" t="s">
        <v>1030</v>
      </c>
      <c r="H137" s="573" t="s">
        <v>1031</v>
      </c>
      <c r="I137" s="587">
        <v>15294.400390625</v>
      </c>
      <c r="J137" s="587">
        <v>1</v>
      </c>
      <c r="K137" s="588">
        <v>15294.400390625</v>
      </c>
    </row>
    <row r="138" spans="1:11" ht="14.45" customHeight="1" x14ac:dyDescent="0.2">
      <c r="A138" s="569" t="s">
        <v>477</v>
      </c>
      <c r="B138" s="570" t="s">
        <v>478</v>
      </c>
      <c r="C138" s="573" t="s">
        <v>487</v>
      </c>
      <c r="D138" s="601" t="s">
        <v>488</v>
      </c>
      <c r="E138" s="573" t="s">
        <v>878</v>
      </c>
      <c r="F138" s="601" t="s">
        <v>879</v>
      </c>
      <c r="G138" s="573" t="s">
        <v>1032</v>
      </c>
      <c r="H138" s="573" t="s">
        <v>1033</v>
      </c>
      <c r="I138" s="587">
        <v>15294.400390625</v>
      </c>
      <c r="J138" s="587">
        <v>1</v>
      </c>
      <c r="K138" s="588">
        <v>15294.400390625</v>
      </c>
    </row>
    <row r="139" spans="1:11" ht="14.45" customHeight="1" x14ac:dyDescent="0.2">
      <c r="A139" s="569" t="s">
        <v>477</v>
      </c>
      <c r="B139" s="570" t="s">
        <v>478</v>
      </c>
      <c r="C139" s="573" t="s">
        <v>487</v>
      </c>
      <c r="D139" s="601" t="s">
        <v>488</v>
      </c>
      <c r="E139" s="573" t="s">
        <v>878</v>
      </c>
      <c r="F139" s="601" t="s">
        <v>879</v>
      </c>
      <c r="G139" s="573" t="s">
        <v>1034</v>
      </c>
      <c r="H139" s="573" t="s">
        <v>1035</v>
      </c>
      <c r="I139" s="587">
        <v>8107</v>
      </c>
      <c r="J139" s="587">
        <v>1</v>
      </c>
      <c r="K139" s="588">
        <v>8107</v>
      </c>
    </row>
    <row r="140" spans="1:11" ht="14.45" customHeight="1" x14ac:dyDescent="0.2">
      <c r="A140" s="569" t="s">
        <v>477</v>
      </c>
      <c r="B140" s="570" t="s">
        <v>478</v>
      </c>
      <c r="C140" s="573" t="s">
        <v>487</v>
      </c>
      <c r="D140" s="601" t="s">
        <v>488</v>
      </c>
      <c r="E140" s="573" t="s">
        <v>878</v>
      </c>
      <c r="F140" s="601" t="s">
        <v>879</v>
      </c>
      <c r="G140" s="573" t="s">
        <v>1036</v>
      </c>
      <c r="H140" s="573" t="s">
        <v>1037</v>
      </c>
      <c r="I140" s="587">
        <v>15754.2001953125</v>
      </c>
      <c r="J140" s="587">
        <v>5</v>
      </c>
      <c r="K140" s="588">
        <v>78311.201171875</v>
      </c>
    </row>
    <row r="141" spans="1:11" ht="14.45" customHeight="1" x14ac:dyDescent="0.2">
      <c r="A141" s="569" t="s">
        <v>477</v>
      </c>
      <c r="B141" s="570" t="s">
        <v>478</v>
      </c>
      <c r="C141" s="573" t="s">
        <v>487</v>
      </c>
      <c r="D141" s="601" t="s">
        <v>488</v>
      </c>
      <c r="E141" s="573" t="s">
        <v>878</v>
      </c>
      <c r="F141" s="601" t="s">
        <v>879</v>
      </c>
      <c r="G141" s="573" t="s">
        <v>1038</v>
      </c>
      <c r="H141" s="573" t="s">
        <v>1039</v>
      </c>
      <c r="I141" s="587">
        <v>7647.2001953125</v>
      </c>
      <c r="J141" s="587">
        <v>1</v>
      </c>
      <c r="K141" s="588">
        <v>7647.2001953125</v>
      </c>
    </row>
    <row r="142" spans="1:11" ht="14.45" customHeight="1" x14ac:dyDescent="0.2">
      <c r="A142" s="569" t="s">
        <v>477</v>
      </c>
      <c r="B142" s="570" t="s">
        <v>478</v>
      </c>
      <c r="C142" s="573" t="s">
        <v>487</v>
      </c>
      <c r="D142" s="601" t="s">
        <v>488</v>
      </c>
      <c r="E142" s="573" t="s">
        <v>878</v>
      </c>
      <c r="F142" s="601" t="s">
        <v>879</v>
      </c>
      <c r="G142" s="573" t="s">
        <v>1040</v>
      </c>
      <c r="H142" s="573" t="s">
        <v>1041</v>
      </c>
      <c r="I142" s="587">
        <v>7647.2001953125</v>
      </c>
      <c r="J142" s="587">
        <v>1</v>
      </c>
      <c r="K142" s="588">
        <v>7647.2001953125</v>
      </c>
    </row>
    <row r="143" spans="1:11" ht="14.45" customHeight="1" x14ac:dyDescent="0.2">
      <c r="A143" s="569" t="s">
        <v>477</v>
      </c>
      <c r="B143" s="570" t="s">
        <v>478</v>
      </c>
      <c r="C143" s="573" t="s">
        <v>487</v>
      </c>
      <c r="D143" s="601" t="s">
        <v>488</v>
      </c>
      <c r="E143" s="573" t="s">
        <v>878</v>
      </c>
      <c r="F143" s="601" t="s">
        <v>879</v>
      </c>
      <c r="G143" s="573" t="s">
        <v>1042</v>
      </c>
      <c r="H143" s="573" t="s">
        <v>1043</v>
      </c>
      <c r="I143" s="587">
        <v>7926.93017578125</v>
      </c>
      <c r="J143" s="587">
        <v>2</v>
      </c>
      <c r="K143" s="588">
        <v>15853.8603515625</v>
      </c>
    </row>
    <row r="144" spans="1:11" ht="14.45" customHeight="1" x14ac:dyDescent="0.2">
      <c r="A144" s="569" t="s">
        <v>477</v>
      </c>
      <c r="B144" s="570" t="s">
        <v>478</v>
      </c>
      <c r="C144" s="573" t="s">
        <v>487</v>
      </c>
      <c r="D144" s="601" t="s">
        <v>488</v>
      </c>
      <c r="E144" s="573" t="s">
        <v>878</v>
      </c>
      <c r="F144" s="601" t="s">
        <v>879</v>
      </c>
      <c r="G144" s="573" t="s">
        <v>1044</v>
      </c>
      <c r="H144" s="573" t="s">
        <v>1045</v>
      </c>
      <c r="I144" s="587">
        <v>7647.2001953125</v>
      </c>
      <c r="J144" s="587">
        <v>1</v>
      </c>
      <c r="K144" s="588">
        <v>7647.2001953125</v>
      </c>
    </row>
    <row r="145" spans="1:11" ht="14.45" customHeight="1" x14ac:dyDescent="0.2">
      <c r="A145" s="569" t="s">
        <v>477</v>
      </c>
      <c r="B145" s="570" t="s">
        <v>478</v>
      </c>
      <c r="C145" s="573" t="s">
        <v>487</v>
      </c>
      <c r="D145" s="601" t="s">
        <v>488</v>
      </c>
      <c r="E145" s="573" t="s">
        <v>878</v>
      </c>
      <c r="F145" s="601" t="s">
        <v>879</v>
      </c>
      <c r="G145" s="573" t="s">
        <v>1046</v>
      </c>
      <c r="H145" s="573" t="s">
        <v>1047</v>
      </c>
      <c r="I145" s="587">
        <v>7992.050048828125</v>
      </c>
      <c r="J145" s="587">
        <v>4</v>
      </c>
      <c r="K145" s="588">
        <v>31968.2001953125</v>
      </c>
    </row>
    <row r="146" spans="1:11" ht="14.45" customHeight="1" x14ac:dyDescent="0.2">
      <c r="A146" s="569" t="s">
        <v>477</v>
      </c>
      <c r="B146" s="570" t="s">
        <v>478</v>
      </c>
      <c r="C146" s="573" t="s">
        <v>487</v>
      </c>
      <c r="D146" s="601" t="s">
        <v>488</v>
      </c>
      <c r="E146" s="573" t="s">
        <v>878</v>
      </c>
      <c r="F146" s="601" t="s">
        <v>879</v>
      </c>
      <c r="G146" s="573" t="s">
        <v>1048</v>
      </c>
      <c r="H146" s="573" t="s">
        <v>1049</v>
      </c>
      <c r="I146" s="587">
        <v>8107</v>
      </c>
      <c r="J146" s="587">
        <v>1</v>
      </c>
      <c r="K146" s="588">
        <v>8107</v>
      </c>
    </row>
    <row r="147" spans="1:11" ht="14.45" customHeight="1" x14ac:dyDescent="0.2">
      <c r="A147" s="569" t="s">
        <v>477</v>
      </c>
      <c r="B147" s="570" t="s">
        <v>478</v>
      </c>
      <c r="C147" s="573" t="s">
        <v>487</v>
      </c>
      <c r="D147" s="601" t="s">
        <v>488</v>
      </c>
      <c r="E147" s="573" t="s">
        <v>878</v>
      </c>
      <c r="F147" s="601" t="s">
        <v>879</v>
      </c>
      <c r="G147" s="573" t="s">
        <v>1050</v>
      </c>
      <c r="H147" s="573" t="s">
        <v>1051</v>
      </c>
      <c r="I147" s="587">
        <v>7877.10009765625</v>
      </c>
      <c r="J147" s="587">
        <v>2</v>
      </c>
      <c r="K147" s="588">
        <v>15754.2001953125</v>
      </c>
    </row>
    <row r="148" spans="1:11" ht="14.45" customHeight="1" x14ac:dyDescent="0.2">
      <c r="A148" s="569" t="s">
        <v>477</v>
      </c>
      <c r="B148" s="570" t="s">
        <v>478</v>
      </c>
      <c r="C148" s="573" t="s">
        <v>487</v>
      </c>
      <c r="D148" s="601" t="s">
        <v>488</v>
      </c>
      <c r="E148" s="573" t="s">
        <v>878</v>
      </c>
      <c r="F148" s="601" t="s">
        <v>879</v>
      </c>
      <c r="G148" s="573" t="s">
        <v>1052</v>
      </c>
      <c r="H148" s="573" t="s">
        <v>1053</v>
      </c>
      <c r="I148" s="587">
        <v>7647.2001953125</v>
      </c>
      <c r="J148" s="587">
        <v>1</v>
      </c>
      <c r="K148" s="588">
        <v>7647.2001953125</v>
      </c>
    </row>
    <row r="149" spans="1:11" ht="14.45" customHeight="1" x14ac:dyDescent="0.2">
      <c r="A149" s="569" t="s">
        <v>477</v>
      </c>
      <c r="B149" s="570" t="s">
        <v>478</v>
      </c>
      <c r="C149" s="573" t="s">
        <v>487</v>
      </c>
      <c r="D149" s="601" t="s">
        <v>488</v>
      </c>
      <c r="E149" s="573" t="s">
        <v>878</v>
      </c>
      <c r="F149" s="601" t="s">
        <v>879</v>
      </c>
      <c r="G149" s="573" t="s">
        <v>1054</v>
      </c>
      <c r="H149" s="573" t="s">
        <v>1055</v>
      </c>
      <c r="I149" s="587">
        <v>7877.10009765625</v>
      </c>
      <c r="J149" s="587">
        <v>2</v>
      </c>
      <c r="K149" s="588">
        <v>15754.2001953125</v>
      </c>
    </row>
    <row r="150" spans="1:11" ht="14.45" customHeight="1" x14ac:dyDescent="0.2">
      <c r="A150" s="569" t="s">
        <v>477</v>
      </c>
      <c r="B150" s="570" t="s">
        <v>478</v>
      </c>
      <c r="C150" s="573" t="s">
        <v>487</v>
      </c>
      <c r="D150" s="601" t="s">
        <v>488</v>
      </c>
      <c r="E150" s="573" t="s">
        <v>878</v>
      </c>
      <c r="F150" s="601" t="s">
        <v>879</v>
      </c>
      <c r="G150" s="573" t="s">
        <v>1056</v>
      </c>
      <c r="H150" s="573" t="s">
        <v>1057</v>
      </c>
      <c r="I150" s="587">
        <v>7647.2001953125</v>
      </c>
      <c r="J150" s="587">
        <v>1</v>
      </c>
      <c r="K150" s="588">
        <v>7647.2001953125</v>
      </c>
    </row>
    <row r="151" spans="1:11" ht="14.45" customHeight="1" x14ac:dyDescent="0.2">
      <c r="A151" s="569" t="s">
        <v>477</v>
      </c>
      <c r="B151" s="570" t="s">
        <v>478</v>
      </c>
      <c r="C151" s="573" t="s">
        <v>487</v>
      </c>
      <c r="D151" s="601" t="s">
        <v>488</v>
      </c>
      <c r="E151" s="573" t="s">
        <v>878</v>
      </c>
      <c r="F151" s="601" t="s">
        <v>879</v>
      </c>
      <c r="G151" s="573" t="s">
        <v>1058</v>
      </c>
      <c r="H151" s="573" t="s">
        <v>1059</v>
      </c>
      <c r="I151" s="587">
        <v>7877.10009765625</v>
      </c>
      <c r="J151" s="587">
        <v>2</v>
      </c>
      <c r="K151" s="588">
        <v>15754.2001953125</v>
      </c>
    </row>
    <row r="152" spans="1:11" ht="14.45" customHeight="1" x14ac:dyDescent="0.2">
      <c r="A152" s="569" t="s">
        <v>477</v>
      </c>
      <c r="B152" s="570" t="s">
        <v>478</v>
      </c>
      <c r="C152" s="573" t="s">
        <v>487</v>
      </c>
      <c r="D152" s="601" t="s">
        <v>488</v>
      </c>
      <c r="E152" s="573" t="s">
        <v>878</v>
      </c>
      <c r="F152" s="601" t="s">
        <v>879</v>
      </c>
      <c r="G152" s="573" t="s">
        <v>1060</v>
      </c>
      <c r="H152" s="573" t="s">
        <v>1061</v>
      </c>
      <c r="I152" s="587">
        <v>7647.2001953125</v>
      </c>
      <c r="J152" s="587">
        <v>1</v>
      </c>
      <c r="K152" s="588">
        <v>7647.2001953125</v>
      </c>
    </row>
    <row r="153" spans="1:11" ht="14.45" customHeight="1" x14ac:dyDescent="0.2">
      <c r="A153" s="569" t="s">
        <v>477</v>
      </c>
      <c r="B153" s="570" t="s">
        <v>478</v>
      </c>
      <c r="C153" s="573" t="s">
        <v>487</v>
      </c>
      <c r="D153" s="601" t="s">
        <v>488</v>
      </c>
      <c r="E153" s="573" t="s">
        <v>878</v>
      </c>
      <c r="F153" s="601" t="s">
        <v>879</v>
      </c>
      <c r="G153" s="573" t="s">
        <v>1062</v>
      </c>
      <c r="H153" s="573" t="s">
        <v>1063</v>
      </c>
      <c r="I153" s="587">
        <v>16214</v>
      </c>
      <c r="J153" s="587">
        <v>1</v>
      </c>
      <c r="K153" s="588">
        <v>16214</v>
      </c>
    </row>
    <row r="154" spans="1:11" ht="14.45" customHeight="1" x14ac:dyDescent="0.2">
      <c r="A154" s="569" t="s">
        <v>477</v>
      </c>
      <c r="B154" s="570" t="s">
        <v>478</v>
      </c>
      <c r="C154" s="573" t="s">
        <v>487</v>
      </c>
      <c r="D154" s="601" t="s">
        <v>488</v>
      </c>
      <c r="E154" s="573" t="s">
        <v>878</v>
      </c>
      <c r="F154" s="601" t="s">
        <v>879</v>
      </c>
      <c r="G154" s="573" t="s">
        <v>1064</v>
      </c>
      <c r="H154" s="573" t="s">
        <v>1065</v>
      </c>
      <c r="I154" s="587">
        <v>7647.2001953125</v>
      </c>
      <c r="J154" s="587">
        <v>1</v>
      </c>
      <c r="K154" s="588">
        <v>7647.2001953125</v>
      </c>
    </row>
    <row r="155" spans="1:11" ht="14.45" customHeight="1" x14ac:dyDescent="0.2">
      <c r="A155" s="569" t="s">
        <v>477</v>
      </c>
      <c r="B155" s="570" t="s">
        <v>478</v>
      </c>
      <c r="C155" s="573" t="s">
        <v>487</v>
      </c>
      <c r="D155" s="601" t="s">
        <v>488</v>
      </c>
      <c r="E155" s="573" t="s">
        <v>878</v>
      </c>
      <c r="F155" s="601" t="s">
        <v>879</v>
      </c>
      <c r="G155" s="573" t="s">
        <v>1066</v>
      </c>
      <c r="H155" s="573" t="s">
        <v>1067</v>
      </c>
      <c r="I155" s="587">
        <v>8107</v>
      </c>
      <c r="J155" s="587">
        <v>1</v>
      </c>
      <c r="K155" s="588">
        <v>8107</v>
      </c>
    </row>
    <row r="156" spans="1:11" ht="14.45" customHeight="1" x14ac:dyDescent="0.2">
      <c r="A156" s="569" t="s">
        <v>477</v>
      </c>
      <c r="B156" s="570" t="s">
        <v>478</v>
      </c>
      <c r="C156" s="573" t="s">
        <v>487</v>
      </c>
      <c r="D156" s="601" t="s">
        <v>488</v>
      </c>
      <c r="E156" s="573" t="s">
        <v>878</v>
      </c>
      <c r="F156" s="601" t="s">
        <v>879</v>
      </c>
      <c r="G156" s="573" t="s">
        <v>1068</v>
      </c>
      <c r="H156" s="573" t="s">
        <v>1069</v>
      </c>
      <c r="I156" s="587">
        <v>8107</v>
      </c>
      <c r="J156" s="587">
        <v>1</v>
      </c>
      <c r="K156" s="588">
        <v>8107</v>
      </c>
    </row>
    <row r="157" spans="1:11" ht="14.45" customHeight="1" x14ac:dyDescent="0.2">
      <c r="A157" s="569" t="s">
        <v>477</v>
      </c>
      <c r="B157" s="570" t="s">
        <v>478</v>
      </c>
      <c r="C157" s="573" t="s">
        <v>487</v>
      </c>
      <c r="D157" s="601" t="s">
        <v>488</v>
      </c>
      <c r="E157" s="573" t="s">
        <v>878</v>
      </c>
      <c r="F157" s="601" t="s">
        <v>879</v>
      </c>
      <c r="G157" s="573" t="s">
        <v>1070</v>
      </c>
      <c r="H157" s="573" t="s">
        <v>1071</v>
      </c>
      <c r="I157" s="587">
        <v>8107</v>
      </c>
      <c r="J157" s="587">
        <v>1</v>
      </c>
      <c r="K157" s="588">
        <v>8107</v>
      </c>
    </row>
    <row r="158" spans="1:11" ht="14.45" customHeight="1" x14ac:dyDescent="0.2">
      <c r="A158" s="569" t="s">
        <v>477</v>
      </c>
      <c r="B158" s="570" t="s">
        <v>478</v>
      </c>
      <c r="C158" s="573" t="s">
        <v>487</v>
      </c>
      <c r="D158" s="601" t="s">
        <v>488</v>
      </c>
      <c r="E158" s="573" t="s">
        <v>878</v>
      </c>
      <c r="F158" s="601" t="s">
        <v>879</v>
      </c>
      <c r="G158" s="573" t="s">
        <v>1072</v>
      </c>
      <c r="H158" s="573" t="s">
        <v>1073</v>
      </c>
      <c r="I158" s="587">
        <v>8107</v>
      </c>
      <c r="J158" s="587">
        <v>1</v>
      </c>
      <c r="K158" s="588">
        <v>8107</v>
      </c>
    </row>
    <row r="159" spans="1:11" ht="14.45" customHeight="1" x14ac:dyDescent="0.2">
      <c r="A159" s="569" t="s">
        <v>477</v>
      </c>
      <c r="B159" s="570" t="s">
        <v>478</v>
      </c>
      <c r="C159" s="573" t="s">
        <v>487</v>
      </c>
      <c r="D159" s="601" t="s">
        <v>488</v>
      </c>
      <c r="E159" s="573" t="s">
        <v>878</v>
      </c>
      <c r="F159" s="601" t="s">
        <v>879</v>
      </c>
      <c r="G159" s="573" t="s">
        <v>1074</v>
      </c>
      <c r="H159" s="573" t="s">
        <v>1075</v>
      </c>
      <c r="I159" s="587">
        <v>7953.7333984375</v>
      </c>
      <c r="J159" s="587">
        <v>3</v>
      </c>
      <c r="K159" s="588">
        <v>23861.2001953125</v>
      </c>
    </row>
    <row r="160" spans="1:11" ht="14.45" customHeight="1" x14ac:dyDescent="0.2">
      <c r="A160" s="569" t="s">
        <v>477</v>
      </c>
      <c r="B160" s="570" t="s">
        <v>478</v>
      </c>
      <c r="C160" s="573" t="s">
        <v>487</v>
      </c>
      <c r="D160" s="601" t="s">
        <v>488</v>
      </c>
      <c r="E160" s="573" t="s">
        <v>878</v>
      </c>
      <c r="F160" s="601" t="s">
        <v>879</v>
      </c>
      <c r="G160" s="573" t="s">
        <v>1076</v>
      </c>
      <c r="H160" s="573" t="s">
        <v>1077</v>
      </c>
      <c r="I160" s="587">
        <v>7768.2001953125</v>
      </c>
      <c r="J160" s="587">
        <v>1</v>
      </c>
      <c r="K160" s="588">
        <v>7768.2001953125</v>
      </c>
    </row>
    <row r="161" spans="1:11" ht="14.45" customHeight="1" x14ac:dyDescent="0.2">
      <c r="A161" s="569" t="s">
        <v>477</v>
      </c>
      <c r="B161" s="570" t="s">
        <v>478</v>
      </c>
      <c r="C161" s="573" t="s">
        <v>487</v>
      </c>
      <c r="D161" s="601" t="s">
        <v>488</v>
      </c>
      <c r="E161" s="573" t="s">
        <v>878</v>
      </c>
      <c r="F161" s="601" t="s">
        <v>879</v>
      </c>
      <c r="G161" s="573" t="s">
        <v>1078</v>
      </c>
      <c r="H161" s="573" t="s">
        <v>1079</v>
      </c>
      <c r="I161" s="587">
        <v>2879.800048828125</v>
      </c>
      <c r="J161" s="587">
        <v>1</v>
      </c>
      <c r="K161" s="588">
        <v>2879.800048828125</v>
      </c>
    </row>
    <row r="162" spans="1:11" ht="14.45" customHeight="1" x14ac:dyDescent="0.2">
      <c r="A162" s="569" t="s">
        <v>477</v>
      </c>
      <c r="B162" s="570" t="s">
        <v>478</v>
      </c>
      <c r="C162" s="573" t="s">
        <v>487</v>
      </c>
      <c r="D162" s="601" t="s">
        <v>488</v>
      </c>
      <c r="E162" s="573" t="s">
        <v>878</v>
      </c>
      <c r="F162" s="601" t="s">
        <v>879</v>
      </c>
      <c r="G162" s="573" t="s">
        <v>1080</v>
      </c>
      <c r="H162" s="573" t="s">
        <v>1081</v>
      </c>
      <c r="I162" s="587">
        <v>54753.7109375</v>
      </c>
      <c r="J162" s="587">
        <v>1</v>
      </c>
      <c r="K162" s="588">
        <v>54753.7109375</v>
      </c>
    </row>
    <row r="163" spans="1:11" ht="14.45" customHeight="1" x14ac:dyDescent="0.2">
      <c r="A163" s="569" t="s">
        <v>477</v>
      </c>
      <c r="B163" s="570" t="s">
        <v>478</v>
      </c>
      <c r="C163" s="573" t="s">
        <v>487</v>
      </c>
      <c r="D163" s="601" t="s">
        <v>488</v>
      </c>
      <c r="E163" s="573" t="s">
        <v>878</v>
      </c>
      <c r="F163" s="601" t="s">
        <v>879</v>
      </c>
      <c r="G163" s="573" t="s">
        <v>1082</v>
      </c>
      <c r="H163" s="573" t="s">
        <v>1083</v>
      </c>
      <c r="I163" s="587">
        <v>3443.5399169921875</v>
      </c>
      <c r="J163" s="587">
        <v>2</v>
      </c>
      <c r="K163" s="588">
        <v>6887.079833984375</v>
      </c>
    </row>
    <row r="164" spans="1:11" ht="14.45" customHeight="1" x14ac:dyDescent="0.2">
      <c r="A164" s="569" t="s">
        <v>477</v>
      </c>
      <c r="B164" s="570" t="s">
        <v>478</v>
      </c>
      <c r="C164" s="573" t="s">
        <v>487</v>
      </c>
      <c r="D164" s="601" t="s">
        <v>488</v>
      </c>
      <c r="E164" s="573" t="s">
        <v>878</v>
      </c>
      <c r="F164" s="601" t="s">
        <v>879</v>
      </c>
      <c r="G164" s="573" t="s">
        <v>1084</v>
      </c>
      <c r="H164" s="573" t="s">
        <v>1085</v>
      </c>
      <c r="I164" s="587">
        <v>13247.080078125</v>
      </c>
      <c r="J164" s="587">
        <v>1</v>
      </c>
      <c r="K164" s="588">
        <v>13247.080078125</v>
      </c>
    </row>
    <row r="165" spans="1:11" ht="14.45" customHeight="1" x14ac:dyDescent="0.2">
      <c r="A165" s="569" t="s">
        <v>477</v>
      </c>
      <c r="B165" s="570" t="s">
        <v>478</v>
      </c>
      <c r="C165" s="573" t="s">
        <v>487</v>
      </c>
      <c r="D165" s="601" t="s">
        <v>488</v>
      </c>
      <c r="E165" s="573" t="s">
        <v>878</v>
      </c>
      <c r="F165" s="601" t="s">
        <v>879</v>
      </c>
      <c r="G165" s="573" t="s">
        <v>1086</v>
      </c>
      <c r="H165" s="573" t="s">
        <v>1087</v>
      </c>
      <c r="I165" s="587">
        <v>267.82510437331814</v>
      </c>
      <c r="J165" s="587">
        <v>49</v>
      </c>
      <c r="K165" s="588">
        <v>13126.799188743784</v>
      </c>
    </row>
    <row r="166" spans="1:11" ht="14.45" customHeight="1" x14ac:dyDescent="0.2">
      <c r="A166" s="569" t="s">
        <v>477</v>
      </c>
      <c r="B166" s="570" t="s">
        <v>478</v>
      </c>
      <c r="C166" s="573" t="s">
        <v>487</v>
      </c>
      <c r="D166" s="601" t="s">
        <v>488</v>
      </c>
      <c r="E166" s="573" t="s">
        <v>878</v>
      </c>
      <c r="F166" s="601" t="s">
        <v>879</v>
      </c>
      <c r="G166" s="573" t="s">
        <v>1088</v>
      </c>
      <c r="H166" s="573" t="s">
        <v>1089</v>
      </c>
      <c r="I166" s="587">
        <v>229.44969631685581</v>
      </c>
      <c r="J166" s="587">
        <v>2</v>
      </c>
      <c r="K166" s="588">
        <v>458.89939263371161</v>
      </c>
    </row>
    <row r="167" spans="1:11" ht="14.45" customHeight="1" x14ac:dyDescent="0.2">
      <c r="A167" s="569" t="s">
        <v>477</v>
      </c>
      <c r="B167" s="570" t="s">
        <v>478</v>
      </c>
      <c r="C167" s="573" t="s">
        <v>487</v>
      </c>
      <c r="D167" s="601" t="s">
        <v>488</v>
      </c>
      <c r="E167" s="573" t="s">
        <v>878</v>
      </c>
      <c r="F167" s="601" t="s">
        <v>879</v>
      </c>
      <c r="G167" s="573" t="s">
        <v>1090</v>
      </c>
      <c r="H167" s="573" t="s">
        <v>1091</v>
      </c>
      <c r="I167" s="587">
        <v>106533.03794642857</v>
      </c>
      <c r="J167" s="587">
        <v>7</v>
      </c>
      <c r="K167" s="588">
        <v>745731.265625</v>
      </c>
    </row>
    <row r="168" spans="1:11" ht="14.45" customHeight="1" x14ac:dyDescent="0.2">
      <c r="A168" s="569" t="s">
        <v>477</v>
      </c>
      <c r="B168" s="570" t="s">
        <v>478</v>
      </c>
      <c r="C168" s="573" t="s">
        <v>487</v>
      </c>
      <c r="D168" s="601" t="s">
        <v>488</v>
      </c>
      <c r="E168" s="573" t="s">
        <v>878</v>
      </c>
      <c r="F168" s="601" t="s">
        <v>879</v>
      </c>
      <c r="G168" s="573" t="s">
        <v>1092</v>
      </c>
      <c r="H168" s="573" t="s">
        <v>1093</v>
      </c>
      <c r="I168" s="587">
        <v>102425.25</v>
      </c>
      <c r="J168" s="587">
        <v>1</v>
      </c>
      <c r="K168" s="588">
        <v>102425.25</v>
      </c>
    </row>
    <row r="169" spans="1:11" ht="14.45" customHeight="1" x14ac:dyDescent="0.2">
      <c r="A169" s="569" t="s">
        <v>477</v>
      </c>
      <c r="B169" s="570" t="s">
        <v>478</v>
      </c>
      <c r="C169" s="573" t="s">
        <v>487</v>
      </c>
      <c r="D169" s="601" t="s">
        <v>488</v>
      </c>
      <c r="E169" s="573" t="s">
        <v>878</v>
      </c>
      <c r="F169" s="601" t="s">
        <v>879</v>
      </c>
      <c r="G169" s="573" t="s">
        <v>1094</v>
      </c>
      <c r="H169" s="573" t="s">
        <v>1095</v>
      </c>
      <c r="I169" s="587">
        <v>80990.13671875</v>
      </c>
      <c r="J169" s="587">
        <v>2</v>
      </c>
      <c r="K169" s="588">
        <v>161980.2734375</v>
      </c>
    </row>
    <row r="170" spans="1:11" ht="14.45" customHeight="1" x14ac:dyDescent="0.2">
      <c r="A170" s="569" t="s">
        <v>477</v>
      </c>
      <c r="B170" s="570" t="s">
        <v>478</v>
      </c>
      <c r="C170" s="573" t="s">
        <v>487</v>
      </c>
      <c r="D170" s="601" t="s">
        <v>488</v>
      </c>
      <c r="E170" s="573" t="s">
        <v>878</v>
      </c>
      <c r="F170" s="601" t="s">
        <v>879</v>
      </c>
      <c r="G170" s="573" t="s">
        <v>1096</v>
      </c>
      <c r="H170" s="573" t="s">
        <v>1097</v>
      </c>
      <c r="I170" s="587">
        <v>48114.26171875</v>
      </c>
      <c r="J170" s="587">
        <v>2</v>
      </c>
      <c r="K170" s="588">
        <v>96228.5234375</v>
      </c>
    </row>
    <row r="171" spans="1:11" ht="14.45" customHeight="1" x14ac:dyDescent="0.2">
      <c r="A171" s="569" t="s">
        <v>477</v>
      </c>
      <c r="B171" s="570" t="s">
        <v>478</v>
      </c>
      <c r="C171" s="573" t="s">
        <v>487</v>
      </c>
      <c r="D171" s="601" t="s">
        <v>488</v>
      </c>
      <c r="E171" s="573" t="s">
        <v>878</v>
      </c>
      <c r="F171" s="601" t="s">
        <v>879</v>
      </c>
      <c r="G171" s="573" t="s">
        <v>1098</v>
      </c>
      <c r="H171" s="573" t="s">
        <v>1099</v>
      </c>
      <c r="I171" s="587">
        <v>5691.675048828125</v>
      </c>
      <c r="J171" s="587">
        <v>4</v>
      </c>
      <c r="K171" s="588">
        <v>22766.7001953125</v>
      </c>
    </row>
    <row r="172" spans="1:11" ht="14.45" customHeight="1" x14ac:dyDescent="0.2">
      <c r="A172" s="569" t="s">
        <v>477</v>
      </c>
      <c r="B172" s="570" t="s">
        <v>478</v>
      </c>
      <c r="C172" s="573" t="s">
        <v>487</v>
      </c>
      <c r="D172" s="601" t="s">
        <v>488</v>
      </c>
      <c r="E172" s="573" t="s">
        <v>878</v>
      </c>
      <c r="F172" s="601" t="s">
        <v>879</v>
      </c>
      <c r="G172" s="573" t="s">
        <v>1100</v>
      </c>
      <c r="H172" s="573" t="s">
        <v>1101</v>
      </c>
      <c r="I172" s="587">
        <v>9317</v>
      </c>
      <c r="J172" s="587">
        <v>1</v>
      </c>
      <c r="K172" s="588">
        <v>9317</v>
      </c>
    </row>
    <row r="173" spans="1:11" ht="14.45" customHeight="1" x14ac:dyDescent="0.2">
      <c r="A173" s="569" t="s">
        <v>477</v>
      </c>
      <c r="B173" s="570" t="s">
        <v>478</v>
      </c>
      <c r="C173" s="573" t="s">
        <v>487</v>
      </c>
      <c r="D173" s="601" t="s">
        <v>488</v>
      </c>
      <c r="E173" s="573" t="s">
        <v>878</v>
      </c>
      <c r="F173" s="601" t="s">
        <v>879</v>
      </c>
      <c r="G173" s="573" t="s">
        <v>1102</v>
      </c>
      <c r="H173" s="573" t="s">
        <v>1103</v>
      </c>
      <c r="I173" s="587">
        <v>367.07493168061103</v>
      </c>
      <c r="J173" s="587">
        <v>1</v>
      </c>
      <c r="K173" s="588">
        <v>367.07493168061103</v>
      </c>
    </row>
    <row r="174" spans="1:11" ht="14.45" customHeight="1" x14ac:dyDescent="0.2">
      <c r="A174" s="569" t="s">
        <v>477</v>
      </c>
      <c r="B174" s="570" t="s">
        <v>478</v>
      </c>
      <c r="C174" s="573" t="s">
        <v>487</v>
      </c>
      <c r="D174" s="601" t="s">
        <v>488</v>
      </c>
      <c r="E174" s="573" t="s">
        <v>878</v>
      </c>
      <c r="F174" s="601" t="s">
        <v>879</v>
      </c>
      <c r="G174" s="573" t="s">
        <v>1104</v>
      </c>
      <c r="H174" s="573" t="s">
        <v>1105</v>
      </c>
      <c r="I174" s="587">
        <v>3748.10009765625</v>
      </c>
      <c r="J174" s="587">
        <v>1</v>
      </c>
      <c r="K174" s="588">
        <v>3748.10009765625</v>
      </c>
    </row>
    <row r="175" spans="1:11" ht="14.45" customHeight="1" x14ac:dyDescent="0.2">
      <c r="A175" s="569" t="s">
        <v>477</v>
      </c>
      <c r="B175" s="570" t="s">
        <v>478</v>
      </c>
      <c r="C175" s="573" t="s">
        <v>487</v>
      </c>
      <c r="D175" s="601" t="s">
        <v>488</v>
      </c>
      <c r="E175" s="573" t="s">
        <v>878</v>
      </c>
      <c r="F175" s="601" t="s">
        <v>879</v>
      </c>
      <c r="G175" s="573" t="s">
        <v>1106</v>
      </c>
      <c r="H175" s="573" t="s">
        <v>1107</v>
      </c>
      <c r="I175" s="587">
        <v>13491.5</v>
      </c>
      <c r="J175" s="587">
        <v>1</v>
      </c>
      <c r="K175" s="588">
        <v>13491.5</v>
      </c>
    </row>
    <row r="176" spans="1:11" ht="14.45" customHeight="1" x14ac:dyDescent="0.2">
      <c r="A176" s="569" t="s">
        <v>477</v>
      </c>
      <c r="B176" s="570" t="s">
        <v>478</v>
      </c>
      <c r="C176" s="573" t="s">
        <v>487</v>
      </c>
      <c r="D176" s="601" t="s">
        <v>488</v>
      </c>
      <c r="E176" s="573" t="s">
        <v>760</v>
      </c>
      <c r="F176" s="601" t="s">
        <v>761</v>
      </c>
      <c r="G176" s="573" t="s">
        <v>1108</v>
      </c>
      <c r="H176" s="573" t="s">
        <v>1109</v>
      </c>
      <c r="I176" s="587">
        <v>234.74000549316406</v>
      </c>
      <c r="J176" s="587">
        <v>20</v>
      </c>
      <c r="K176" s="588">
        <v>4694.7998046875</v>
      </c>
    </row>
    <row r="177" spans="1:11" ht="14.45" customHeight="1" x14ac:dyDescent="0.2">
      <c r="A177" s="569" t="s">
        <v>477</v>
      </c>
      <c r="B177" s="570" t="s">
        <v>478</v>
      </c>
      <c r="C177" s="573" t="s">
        <v>487</v>
      </c>
      <c r="D177" s="601" t="s">
        <v>488</v>
      </c>
      <c r="E177" s="573" t="s">
        <v>760</v>
      </c>
      <c r="F177" s="601" t="s">
        <v>761</v>
      </c>
      <c r="G177" s="573" t="s">
        <v>1110</v>
      </c>
      <c r="H177" s="573" t="s">
        <v>1111</v>
      </c>
      <c r="I177" s="587">
        <v>98.949996948242188</v>
      </c>
      <c r="J177" s="587">
        <v>25</v>
      </c>
      <c r="K177" s="588">
        <v>2473.800048828125</v>
      </c>
    </row>
    <row r="178" spans="1:11" ht="14.45" customHeight="1" x14ac:dyDescent="0.2">
      <c r="A178" s="569" t="s">
        <v>477</v>
      </c>
      <c r="B178" s="570" t="s">
        <v>478</v>
      </c>
      <c r="C178" s="573" t="s">
        <v>487</v>
      </c>
      <c r="D178" s="601" t="s">
        <v>488</v>
      </c>
      <c r="E178" s="573" t="s">
        <v>760</v>
      </c>
      <c r="F178" s="601" t="s">
        <v>761</v>
      </c>
      <c r="G178" s="573" t="s">
        <v>1112</v>
      </c>
      <c r="H178" s="573" t="s">
        <v>1113</v>
      </c>
      <c r="I178" s="587">
        <v>2.6225000023841858</v>
      </c>
      <c r="J178" s="587">
        <v>5120</v>
      </c>
      <c r="K178" s="588">
        <v>12925.22021484375</v>
      </c>
    </row>
    <row r="179" spans="1:11" ht="14.45" customHeight="1" x14ac:dyDescent="0.2">
      <c r="A179" s="569" t="s">
        <v>477</v>
      </c>
      <c r="B179" s="570" t="s">
        <v>478</v>
      </c>
      <c r="C179" s="573" t="s">
        <v>487</v>
      </c>
      <c r="D179" s="601" t="s">
        <v>488</v>
      </c>
      <c r="E179" s="573" t="s">
        <v>760</v>
      </c>
      <c r="F179" s="601" t="s">
        <v>761</v>
      </c>
      <c r="G179" s="573" t="s">
        <v>1114</v>
      </c>
      <c r="H179" s="573" t="s">
        <v>1115</v>
      </c>
      <c r="I179" s="587">
        <v>2.4750000238418579</v>
      </c>
      <c r="J179" s="587">
        <v>2048</v>
      </c>
      <c r="K179" s="588">
        <v>5062.64013671875</v>
      </c>
    </row>
    <row r="180" spans="1:11" ht="14.45" customHeight="1" x14ac:dyDescent="0.2">
      <c r="A180" s="569" t="s">
        <v>477</v>
      </c>
      <c r="B180" s="570" t="s">
        <v>478</v>
      </c>
      <c r="C180" s="573" t="s">
        <v>487</v>
      </c>
      <c r="D180" s="601" t="s">
        <v>488</v>
      </c>
      <c r="E180" s="573" t="s">
        <v>760</v>
      </c>
      <c r="F180" s="601" t="s">
        <v>761</v>
      </c>
      <c r="G180" s="573" t="s">
        <v>1116</v>
      </c>
      <c r="H180" s="573" t="s">
        <v>1117</v>
      </c>
      <c r="I180" s="587">
        <v>2.3599998950958252</v>
      </c>
      <c r="J180" s="587">
        <v>3840</v>
      </c>
      <c r="K180" s="588">
        <v>9060.42041015625</v>
      </c>
    </row>
    <row r="181" spans="1:11" ht="14.45" customHeight="1" x14ac:dyDescent="0.2">
      <c r="A181" s="569" t="s">
        <v>477</v>
      </c>
      <c r="B181" s="570" t="s">
        <v>478</v>
      </c>
      <c r="C181" s="573" t="s">
        <v>487</v>
      </c>
      <c r="D181" s="601" t="s">
        <v>488</v>
      </c>
      <c r="E181" s="573" t="s">
        <v>760</v>
      </c>
      <c r="F181" s="601" t="s">
        <v>761</v>
      </c>
      <c r="G181" s="573" t="s">
        <v>1118</v>
      </c>
      <c r="H181" s="573" t="s">
        <v>1119</v>
      </c>
      <c r="I181" s="587">
        <v>0.31299999654293059</v>
      </c>
      <c r="J181" s="587">
        <v>19000</v>
      </c>
      <c r="K181" s="588">
        <v>5984.7198791503906</v>
      </c>
    </row>
    <row r="182" spans="1:11" ht="14.45" customHeight="1" x14ac:dyDescent="0.2">
      <c r="A182" s="569" t="s">
        <v>477</v>
      </c>
      <c r="B182" s="570" t="s">
        <v>478</v>
      </c>
      <c r="C182" s="573" t="s">
        <v>487</v>
      </c>
      <c r="D182" s="601" t="s">
        <v>488</v>
      </c>
      <c r="E182" s="573" t="s">
        <v>760</v>
      </c>
      <c r="F182" s="601" t="s">
        <v>761</v>
      </c>
      <c r="G182" s="573" t="s">
        <v>1120</v>
      </c>
      <c r="H182" s="573" t="s">
        <v>1121</v>
      </c>
      <c r="I182" s="587">
        <v>2.690000057220459</v>
      </c>
      <c r="J182" s="587">
        <v>1536</v>
      </c>
      <c r="K182" s="588">
        <v>4125.919921875</v>
      </c>
    </row>
    <row r="183" spans="1:11" ht="14.45" customHeight="1" x14ac:dyDescent="0.2">
      <c r="A183" s="569" t="s">
        <v>477</v>
      </c>
      <c r="B183" s="570" t="s">
        <v>478</v>
      </c>
      <c r="C183" s="573" t="s">
        <v>487</v>
      </c>
      <c r="D183" s="601" t="s">
        <v>488</v>
      </c>
      <c r="E183" s="573" t="s">
        <v>760</v>
      </c>
      <c r="F183" s="601" t="s">
        <v>761</v>
      </c>
      <c r="G183" s="573" t="s">
        <v>1122</v>
      </c>
      <c r="H183" s="573" t="s">
        <v>1123</v>
      </c>
      <c r="I183" s="587">
        <v>3.0899999141693115</v>
      </c>
      <c r="J183" s="587">
        <v>1000</v>
      </c>
      <c r="K183" s="588">
        <v>3085.5</v>
      </c>
    </row>
    <row r="184" spans="1:11" ht="14.45" customHeight="1" x14ac:dyDescent="0.2">
      <c r="A184" s="569" t="s">
        <v>477</v>
      </c>
      <c r="B184" s="570" t="s">
        <v>478</v>
      </c>
      <c r="C184" s="573" t="s">
        <v>487</v>
      </c>
      <c r="D184" s="601" t="s">
        <v>488</v>
      </c>
      <c r="E184" s="573" t="s">
        <v>760</v>
      </c>
      <c r="F184" s="601" t="s">
        <v>761</v>
      </c>
      <c r="G184" s="573" t="s">
        <v>1124</v>
      </c>
      <c r="H184" s="573" t="s">
        <v>1125</v>
      </c>
      <c r="I184" s="587">
        <v>1.5399999618530273</v>
      </c>
      <c r="J184" s="587">
        <v>768</v>
      </c>
      <c r="K184" s="588">
        <v>1185.800048828125</v>
      </c>
    </row>
    <row r="185" spans="1:11" ht="14.45" customHeight="1" x14ac:dyDescent="0.2">
      <c r="A185" s="569" t="s">
        <v>477</v>
      </c>
      <c r="B185" s="570" t="s">
        <v>478</v>
      </c>
      <c r="C185" s="573" t="s">
        <v>487</v>
      </c>
      <c r="D185" s="601" t="s">
        <v>488</v>
      </c>
      <c r="E185" s="573" t="s">
        <v>760</v>
      </c>
      <c r="F185" s="601" t="s">
        <v>761</v>
      </c>
      <c r="G185" s="573" t="s">
        <v>1126</v>
      </c>
      <c r="H185" s="573" t="s">
        <v>1127</v>
      </c>
      <c r="I185" s="587">
        <v>2.2100000381469727</v>
      </c>
      <c r="J185" s="587">
        <v>960</v>
      </c>
      <c r="K185" s="588">
        <v>2117.5</v>
      </c>
    </row>
    <row r="186" spans="1:11" ht="14.45" customHeight="1" x14ac:dyDescent="0.2">
      <c r="A186" s="569" t="s">
        <v>477</v>
      </c>
      <c r="B186" s="570" t="s">
        <v>478</v>
      </c>
      <c r="C186" s="573" t="s">
        <v>487</v>
      </c>
      <c r="D186" s="601" t="s">
        <v>488</v>
      </c>
      <c r="E186" s="573" t="s">
        <v>760</v>
      </c>
      <c r="F186" s="601" t="s">
        <v>761</v>
      </c>
      <c r="G186" s="573" t="s">
        <v>1128</v>
      </c>
      <c r="H186" s="573" t="s">
        <v>1129</v>
      </c>
      <c r="I186" s="587">
        <v>4.0716667970021563</v>
      </c>
      <c r="J186" s="587">
        <v>6720</v>
      </c>
      <c r="K186" s="588">
        <v>27390.25</v>
      </c>
    </row>
    <row r="187" spans="1:11" ht="14.45" customHeight="1" x14ac:dyDescent="0.2">
      <c r="A187" s="569" t="s">
        <v>477</v>
      </c>
      <c r="B187" s="570" t="s">
        <v>478</v>
      </c>
      <c r="C187" s="573" t="s">
        <v>487</v>
      </c>
      <c r="D187" s="601" t="s">
        <v>488</v>
      </c>
      <c r="E187" s="573" t="s">
        <v>760</v>
      </c>
      <c r="F187" s="601" t="s">
        <v>761</v>
      </c>
      <c r="G187" s="573" t="s">
        <v>1130</v>
      </c>
      <c r="H187" s="573" t="s">
        <v>1131</v>
      </c>
      <c r="I187" s="587">
        <v>3.8900001049041748</v>
      </c>
      <c r="J187" s="587">
        <v>1920</v>
      </c>
      <c r="K187" s="588">
        <v>7468.7998046875</v>
      </c>
    </row>
    <row r="188" spans="1:11" ht="14.45" customHeight="1" x14ac:dyDescent="0.2">
      <c r="A188" s="569" t="s">
        <v>477</v>
      </c>
      <c r="B188" s="570" t="s">
        <v>478</v>
      </c>
      <c r="C188" s="573" t="s">
        <v>487</v>
      </c>
      <c r="D188" s="601" t="s">
        <v>488</v>
      </c>
      <c r="E188" s="573" t="s">
        <v>760</v>
      </c>
      <c r="F188" s="601" t="s">
        <v>761</v>
      </c>
      <c r="G188" s="573" t="s">
        <v>1132</v>
      </c>
      <c r="H188" s="573" t="s">
        <v>1133</v>
      </c>
      <c r="I188" s="587">
        <v>4.4099998474121094</v>
      </c>
      <c r="J188" s="587">
        <v>960</v>
      </c>
      <c r="K188" s="588">
        <v>4230.16015625</v>
      </c>
    </row>
    <row r="189" spans="1:11" ht="14.45" customHeight="1" x14ac:dyDescent="0.2">
      <c r="A189" s="569" t="s">
        <v>477</v>
      </c>
      <c r="B189" s="570" t="s">
        <v>478</v>
      </c>
      <c r="C189" s="573" t="s">
        <v>487</v>
      </c>
      <c r="D189" s="601" t="s">
        <v>488</v>
      </c>
      <c r="E189" s="573" t="s">
        <v>760</v>
      </c>
      <c r="F189" s="601" t="s">
        <v>761</v>
      </c>
      <c r="G189" s="573" t="s">
        <v>1134</v>
      </c>
      <c r="H189" s="573" t="s">
        <v>1135</v>
      </c>
      <c r="I189" s="587">
        <v>0.13099999576807023</v>
      </c>
      <c r="J189" s="587">
        <v>19000</v>
      </c>
      <c r="K189" s="588">
        <v>2480</v>
      </c>
    </row>
    <row r="190" spans="1:11" ht="14.45" customHeight="1" x14ac:dyDescent="0.2">
      <c r="A190" s="569" t="s">
        <v>477</v>
      </c>
      <c r="B190" s="570" t="s">
        <v>478</v>
      </c>
      <c r="C190" s="573" t="s">
        <v>487</v>
      </c>
      <c r="D190" s="601" t="s">
        <v>488</v>
      </c>
      <c r="E190" s="573" t="s">
        <v>760</v>
      </c>
      <c r="F190" s="601" t="s">
        <v>761</v>
      </c>
      <c r="G190" s="573" t="s">
        <v>1136</v>
      </c>
      <c r="H190" s="573" t="s">
        <v>1137</v>
      </c>
      <c r="I190" s="587">
        <v>2.8875000178813934</v>
      </c>
      <c r="J190" s="587">
        <v>19200</v>
      </c>
      <c r="K190" s="588">
        <v>55424.25048828125</v>
      </c>
    </row>
    <row r="191" spans="1:11" ht="14.45" customHeight="1" x14ac:dyDescent="0.2">
      <c r="A191" s="569" t="s">
        <v>477</v>
      </c>
      <c r="B191" s="570" t="s">
        <v>478</v>
      </c>
      <c r="C191" s="573" t="s">
        <v>487</v>
      </c>
      <c r="D191" s="601" t="s">
        <v>488</v>
      </c>
      <c r="E191" s="573" t="s">
        <v>760</v>
      </c>
      <c r="F191" s="601" t="s">
        <v>761</v>
      </c>
      <c r="G191" s="573" t="s">
        <v>1138</v>
      </c>
      <c r="H191" s="573" t="s">
        <v>1139</v>
      </c>
      <c r="I191" s="587">
        <v>2.4528571537562778</v>
      </c>
      <c r="J191" s="587">
        <v>10560</v>
      </c>
      <c r="K191" s="588">
        <v>25923.989990234375</v>
      </c>
    </row>
    <row r="192" spans="1:11" ht="14.45" customHeight="1" x14ac:dyDescent="0.2">
      <c r="A192" s="569" t="s">
        <v>477</v>
      </c>
      <c r="B192" s="570" t="s">
        <v>478</v>
      </c>
      <c r="C192" s="573" t="s">
        <v>487</v>
      </c>
      <c r="D192" s="601" t="s">
        <v>488</v>
      </c>
      <c r="E192" s="573" t="s">
        <v>760</v>
      </c>
      <c r="F192" s="601" t="s">
        <v>761</v>
      </c>
      <c r="G192" s="573" t="s">
        <v>1140</v>
      </c>
      <c r="H192" s="573" t="s">
        <v>1141</v>
      </c>
      <c r="I192" s="587">
        <v>2.6500000953674316</v>
      </c>
      <c r="J192" s="587">
        <v>3840</v>
      </c>
      <c r="K192" s="588">
        <v>10164</v>
      </c>
    </row>
    <row r="193" spans="1:11" ht="14.45" customHeight="1" x14ac:dyDescent="0.2">
      <c r="A193" s="569" t="s">
        <v>477</v>
      </c>
      <c r="B193" s="570" t="s">
        <v>478</v>
      </c>
      <c r="C193" s="573" t="s">
        <v>487</v>
      </c>
      <c r="D193" s="601" t="s">
        <v>488</v>
      </c>
      <c r="E193" s="573" t="s">
        <v>760</v>
      </c>
      <c r="F193" s="601" t="s">
        <v>761</v>
      </c>
      <c r="G193" s="573" t="s">
        <v>1112</v>
      </c>
      <c r="H193" s="573" t="s">
        <v>1142</v>
      </c>
      <c r="I193" s="587">
        <v>2.4950000047683716</v>
      </c>
      <c r="J193" s="587">
        <v>2048</v>
      </c>
      <c r="K193" s="588">
        <v>5106.5400390625</v>
      </c>
    </row>
    <row r="194" spans="1:11" ht="14.45" customHeight="1" x14ac:dyDescent="0.2">
      <c r="A194" s="569" t="s">
        <v>477</v>
      </c>
      <c r="B194" s="570" t="s">
        <v>478</v>
      </c>
      <c r="C194" s="573" t="s">
        <v>487</v>
      </c>
      <c r="D194" s="601" t="s">
        <v>488</v>
      </c>
      <c r="E194" s="573" t="s">
        <v>760</v>
      </c>
      <c r="F194" s="601" t="s">
        <v>761</v>
      </c>
      <c r="G194" s="573" t="s">
        <v>1143</v>
      </c>
      <c r="H194" s="573" t="s">
        <v>1144</v>
      </c>
      <c r="I194" s="587">
        <v>0.62600001096725466</v>
      </c>
      <c r="J194" s="587">
        <v>5500</v>
      </c>
      <c r="K194" s="588">
        <v>3410.3800048828125</v>
      </c>
    </row>
    <row r="195" spans="1:11" ht="14.45" customHeight="1" x14ac:dyDescent="0.2">
      <c r="A195" s="569" t="s">
        <v>477</v>
      </c>
      <c r="B195" s="570" t="s">
        <v>478</v>
      </c>
      <c r="C195" s="573" t="s">
        <v>487</v>
      </c>
      <c r="D195" s="601" t="s">
        <v>488</v>
      </c>
      <c r="E195" s="573" t="s">
        <v>760</v>
      </c>
      <c r="F195" s="601" t="s">
        <v>761</v>
      </c>
      <c r="G195" s="573" t="s">
        <v>1145</v>
      </c>
      <c r="H195" s="573" t="s">
        <v>1146</v>
      </c>
      <c r="I195" s="587">
        <v>1.0514285819871085</v>
      </c>
      <c r="J195" s="587">
        <v>11000</v>
      </c>
      <c r="K195" s="588">
        <v>11105.550109863281</v>
      </c>
    </row>
    <row r="196" spans="1:11" ht="14.45" customHeight="1" x14ac:dyDescent="0.2">
      <c r="A196" s="569" t="s">
        <v>477</v>
      </c>
      <c r="B196" s="570" t="s">
        <v>478</v>
      </c>
      <c r="C196" s="573" t="s">
        <v>487</v>
      </c>
      <c r="D196" s="601" t="s">
        <v>488</v>
      </c>
      <c r="E196" s="573" t="s">
        <v>760</v>
      </c>
      <c r="F196" s="601" t="s">
        <v>761</v>
      </c>
      <c r="G196" s="573" t="s">
        <v>1147</v>
      </c>
      <c r="H196" s="573" t="s">
        <v>1148</v>
      </c>
      <c r="I196" s="587">
        <v>1.7849999517202377</v>
      </c>
      <c r="J196" s="587">
        <v>10000</v>
      </c>
      <c r="K196" s="588">
        <v>17893.480224609375</v>
      </c>
    </row>
    <row r="197" spans="1:11" ht="14.45" customHeight="1" x14ac:dyDescent="0.2">
      <c r="A197" s="569" t="s">
        <v>477</v>
      </c>
      <c r="B197" s="570" t="s">
        <v>478</v>
      </c>
      <c r="C197" s="573" t="s">
        <v>487</v>
      </c>
      <c r="D197" s="601" t="s">
        <v>488</v>
      </c>
      <c r="E197" s="573" t="s">
        <v>760</v>
      </c>
      <c r="F197" s="601" t="s">
        <v>761</v>
      </c>
      <c r="G197" s="573" t="s">
        <v>1149</v>
      </c>
      <c r="H197" s="573" t="s">
        <v>1150</v>
      </c>
      <c r="I197" s="587">
        <v>12.829999923706055</v>
      </c>
      <c r="J197" s="587">
        <v>100</v>
      </c>
      <c r="K197" s="588">
        <v>1282.5999755859375</v>
      </c>
    </row>
    <row r="198" spans="1:11" ht="14.45" customHeight="1" x14ac:dyDescent="0.2">
      <c r="A198" s="569" t="s">
        <v>477</v>
      </c>
      <c r="B198" s="570" t="s">
        <v>478</v>
      </c>
      <c r="C198" s="573" t="s">
        <v>487</v>
      </c>
      <c r="D198" s="601" t="s">
        <v>488</v>
      </c>
      <c r="E198" s="573" t="s">
        <v>760</v>
      </c>
      <c r="F198" s="601" t="s">
        <v>761</v>
      </c>
      <c r="G198" s="573" t="s">
        <v>1151</v>
      </c>
      <c r="H198" s="573" t="s">
        <v>1152</v>
      </c>
      <c r="I198" s="587">
        <v>1.5625000149011612</v>
      </c>
      <c r="J198" s="587">
        <v>5600</v>
      </c>
      <c r="K198" s="588">
        <v>8737.60009765625</v>
      </c>
    </row>
    <row r="199" spans="1:11" ht="14.45" customHeight="1" x14ac:dyDescent="0.2">
      <c r="A199" s="569" t="s">
        <v>477</v>
      </c>
      <c r="B199" s="570" t="s">
        <v>478</v>
      </c>
      <c r="C199" s="573" t="s">
        <v>487</v>
      </c>
      <c r="D199" s="601" t="s">
        <v>488</v>
      </c>
      <c r="E199" s="573" t="s">
        <v>760</v>
      </c>
      <c r="F199" s="601" t="s">
        <v>761</v>
      </c>
      <c r="G199" s="573" t="s">
        <v>1153</v>
      </c>
      <c r="H199" s="573" t="s">
        <v>1154</v>
      </c>
      <c r="I199" s="587">
        <v>6352.5</v>
      </c>
      <c r="J199" s="587">
        <v>2</v>
      </c>
      <c r="K199" s="588">
        <v>12705</v>
      </c>
    </row>
    <row r="200" spans="1:11" ht="14.45" customHeight="1" x14ac:dyDescent="0.2">
      <c r="A200" s="569" t="s">
        <v>477</v>
      </c>
      <c r="B200" s="570" t="s">
        <v>478</v>
      </c>
      <c r="C200" s="573" t="s">
        <v>487</v>
      </c>
      <c r="D200" s="601" t="s">
        <v>488</v>
      </c>
      <c r="E200" s="573" t="s">
        <v>764</v>
      </c>
      <c r="F200" s="601" t="s">
        <v>765</v>
      </c>
      <c r="G200" s="573" t="s">
        <v>766</v>
      </c>
      <c r="H200" s="573" t="s">
        <v>767</v>
      </c>
      <c r="I200" s="587">
        <v>0.56333333253860474</v>
      </c>
      <c r="J200" s="587">
        <v>1500</v>
      </c>
      <c r="K200" s="588">
        <v>845</v>
      </c>
    </row>
    <row r="201" spans="1:11" ht="14.45" customHeight="1" x14ac:dyDescent="0.2">
      <c r="A201" s="569" t="s">
        <v>477</v>
      </c>
      <c r="B201" s="570" t="s">
        <v>478</v>
      </c>
      <c r="C201" s="573" t="s">
        <v>487</v>
      </c>
      <c r="D201" s="601" t="s">
        <v>488</v>
      </c>
      <c r="E201" s="573" t="s">
        <v>764</v>
      </c>
      <c r="F201" s="601" t="s">
        <v>765</v>
      </c>
      <c r="G201" s="573" t="s">
        <v>1155</v>
      </c>
      <c r="H201" s="573" t="s">
        <v>1156</v>
      </c>
      <c r="I201" s="587">
        <v>1.5533333619435628</v>
      </c>
      <c r="J201" s="587">
        <v>300</v>
      </c>
      <c r="K201" s="588">
        <v>466</v>
      </c>
    </row>
    <row r="202" spans="1:11" ht="14.45" customHeight="1" x14ac:dyDescent="0.2">
      <c r="A202" s="569" t="s">
        <v>477</v>
      </c>
      <c r="B202" s="570" t="s">
        <v>478</v>
      </c>
      <c r="C202" s="573" t="s">
        <v>487</v>
      </c>
      <c r="D202" s="601" t="s">
        <v>488</v>
      </c>
      <c r="E202" s="573" t="s">
        <v>764</v>
      </c>
      <c r="F202" s="601" t="s">
        <v>765</v>
      </c>
      <c r="G202" s="573" t="s">
        <v>1157</v>
      </c>
      <c r="H202" s="573" t="s">
        <v>1158</v>
      </c>
      <c r="I202" s="587">
        <v>98.379997253417969</v>
      </c>
      <c r="J202" s="587">
        <v>3</v>
      </c>
      <c r="K202" s="588">
        <v>295.1400146484375</v>
      </c>
    </row>
    <row r="203" spans="1:11" ht="14.45" customHeight="1" x14ac:dyDescent="0.2">
      <c r="A203" s="569" t="s">
        <v>477</v>
      </c>
      <c r="B203" s="570" t="s">
        <v>478</v>
      </c>
      <c r="C203" s="573" t="s">
        <v>487</v>
      </c>
      <c r="D203" s="601" t="s">
        <v>488</v>
      </c>
      <c r="E203" s="573" t="s">
        <v>764</v>
      </c>
      <c r="F203" s="601" t="s">
        <v>765</v>
      </c>
      <c r="G203" s="573" t="s">
        <v>778</v>
      </c>
      <c r="H203" s="573" t="s">
        <v>779</v>
      </c>
      <c r="I203" s="587">
        <v>30.780000686645508</v>
      </c>
      <c r="J203" s="587">
        <v>10</v>
      </c>
      <c r="K203" s="588">
        <v>307.79998779296875</v>
      </c>
    </row>
    <row r="204" spans="1:11" ht="14.45" customHeight="1" x14ac:dyDescent="0.2">
      <c r="A204" s="569" t="s">
        <v>477</v>
      </c>
      <c r="B204" s="570" t="s">
        <v>478</v>
      </c>
      <c r="C204" s="573" t="s">
        <v>487</v>
      </c>
      <c r="D204" s="601" t="s">
        <v>488</v>
      </c>
      <c r="E204" s="573" t="s">
        <v>782</v>
      </c>
      <c r="F204" s="601" t="s">
        <v>783</v>
      </c>
      <c r="G204" s="573" t="s">
        <v>1159</v>
      </c>
      <c r="H204" s="573" t="s">
        <v>1160</v>
      </c>
      <c r="I204" s="587">
        <v>4.9099998474121094</v>
      </c>
      <c r="J204" s="587">
        <v>500</v>
      </c>
      <c r="K204" s="588">
        <v>2456.300048828125</v>
      </c>
    </row>
    <row r="205" spans="1:11" ht="14.45" customHeight="1" x14ac:dyDescent="0.2">
      <c r="A205" s="569" t="s">
        <v>477</v>
      </c>
      <c r="B205" s="570" t="s">
        <v>478</v>
      </c>
      <c r="C205" s="573" t="s">
        <v>487</v>
      </c>
      <c r="D205" s="601" t="s">
        <v>488</v>
      </c>
      <c r="E205" s="573" t="s">
        <v>782</v>
      </c>
      <c r="F205" s="601" t="s">
        <v>783</v>
      </c>
      <c r="G205" s="573" t="s">
        <v>1161</v>
      </c>
      <c r="H205" s="573" t="s">
        <v>1162</v>
      </c>
      <c r="I205" s="587">
        <v>4.9749999046325684</v>
      </c>
      <c r="J205" s="587">
        <v>200</v>
      </c>
      <c r="K205" s="588">
        <v>995</v>
      </c>
    </row>
    <row r="206" spans="1:11" ht="14.45" customHeight="1" x14ac:dyDescent="0.2">
      <c r="A206" s="569" t="s">
        <v>477</v>
      </c>
      <c r="B206" s="570" t="s">
        <v>478</v>
      </c>
      <c r="C206" s="573" t="s">
        <v>487</v>
      </c>
      <c r="D206" s="601" t="s">
        <v>488</v>
      </c>
      <c r="E206" s="573" t="s">
        <v>782</v>
      </c>
      <c r="F206" s="601" t="s">
        <v>783</v>
      </c>
      <c r="G206" s="573" t="s">
        <v>1163</v>
      </c>
      <c r="H206" s="573" t="s">
        <v>1164</v>
      </c>
      <c r="I206" s="587">
        <v>304.92001342773438</v>
      </c>
      <c r="J206" s="587">
        <v>2</v>
      </c>
      <c r="K206" s="588">
        <v>609.84002685546875</v>
      </c>
    </row>
    <row r="207" spans="1:11" ht="14.45" customHeight="1" x14ac:dyDescent="0.2">
      <c r="A207" s="569" t="s">
        <v>477</v>
      </c>
      <c r="B207" s="570" t="s">
        <v>478</v>
      </c>
      <c r="C207" s="573" t="s">
        <v>487</v>
      </c>
      <c r="D207" s="601" t="s">
        <v>488</v>
      </c>
      <c r="E207" s="573" t="s">
        <v>782</v>
      </c>
      <c r="F207" s="601" t="s">
        <v>783</v>
      </c>
      <c r="G207" s="573" t="s">
        <v>802</v>
      </c>
      <c r="H207" s="573" t="s">
        <v>803</v>
      </c>
      <c r="I207" s="587">
        <v>13.310000419616699</v>
      </c>
      <c r="J207" s="587">
        <v>127</v>
      </c>
      <c r="K207" s="588">
        <v>1690.3700561523438</v>
      </c>
    </row>
    <row r="208" spans="1:11" ht="14.45" customHeight="1" x14ac:dyDescent="0.2">
      <c r="A208" s="569" t="s">
        <v>477</v>
      </c>
      <c r="B208" s="570" t="s">
        <v>478</v>
      </c>
      <c r="C208" s="573" t="s">
        <v>487</v>
      </c>
      <c r="D208" s="601" t="s">
        <v>488</v>
      </c>
      <c r="E208" s="573" t="s">
        <v>782</v>
      </c>
      <c r="F208" s="601" t="s">
        <v>783</v>
      </c>
      <c r="G208" s="573" t="s">
        <v>1165</v>
      </c>
      <c r="H208" s="573" t="s">
        <v>1166</v>
      </c>
      <c r="I208" s="587">
        <v>25.532728021795098</v>
      </c>
      <c r="J208" s="587">
        <v>130</v>
      </c>
      <c r="K208" s="588">
        <v>3319.2000122070313</v>
      </c>
    </row>
    <row r="209" spans="1:11" ht="14.45" customHeight="1" x14ac:dyDescent="0.2">
      <c r="A209" s="569" t="s">
        <v>477</v>
      </c>
      <c r="B209" s="570" t="s">
        <v>478</v>
      </c>
      <c r="C209" s="573" t="s">
        <v>487</v>
      </c>
      <c r="D209" s="601" t="s">
        <v>488</v>
      </c>
      <c r="E209" s="573" t="s">
        <v>782</v>
      </c>
      <c r="F209" s="601" t="s">
        <v>783</v>
      </c>
      <c r="G209" s="573" t="s">
        <v>1167</v>
      </c>
      <c r="H209" s="573" t="s">
        <v>1168</v>
      </c>
      <c r="I209" s="587">
        <v>438.01998901367188</v>
      </c>
      <c r="J209" s="587">
        <v>1</v>
      </c>
      <c r="K209" s="588">
        <v>438.01998901367188</v>
      </c>
    </row>
    <row r="210" spans="1:11" ht="14.45" customHeight="1" x14ac:dyDescent="0.2">
      <c r="A210" s="569" t="s">
        <v>477</v>
      </c>
      <c r="B210" s="570" t="s">
        <v>478</v>
      </c>
      <c r="C210" s="573" t="s">
        <v>487</v>
      </c>
      <c r="D210" s="601" t="s">
        <v>488</v>
      </c>
      <c r="E210" s="573" t="s">
        <v>782</v>
      </c>
      <c r="F210" s="601" t="s">
        <v>783</v>
      </c>
      <c r="G210" s="573" t="s">
        <v>1169</v>
      </c>
      <c r="H210" s="573" t="s">
        <v>1170</v>
      </c>
      <c r="I210" s="587">
        <v>22.170000076293945</v>
      </c>
      <c r="J210" s="587">
        <v>100</v>
      </c>
      <c r="K210" s="588">
        <v>2216.719970703125</v>
      </c>
    </row>
    <row r="211" spans="1:11" ht="14.45" customHeight="1" x14ac:dyDescent="0.2">
      <c r="A211" s="569" t="s">
        <v>477</v>
      </c>
      <c r="B211" s="570" t="s">
        <v>478</v>
      </c>
      <c r="C211" s="573" t="s">
        <v>487</v>
      </c>
      <c r="D211" s="601" t="s">
        <v>488</v>
      </c>
      <c r="E211" s="573" t="s">
        <v>782</v>
      </c>
      <c r="F211" s="601" t="s">
        <v>783</v>
      </c>
      <c r="G211" s="573" t="s">
        <v>1171</v>
      </c>
      <c r="H211" s="573" t="s">
        <v>1172</v>
      </c>
      <c r="I211" s="587">
        <v>758.19000244140625</v>
      </c>
      <c r="J211" s="587">
        <v>1</v>
      </c>
      <c r="K211" s="588">
        <v>758.19000244140625</v>
      </c>
    </row>
    <row r="212" spans="1:11" ht="14.45" customHeight="1" x14ac:dyDescent="0.2">
      <c r="A212" s="569" t="s">
        <v>477</v>
      </c>
      <c r="B212" s="570" t="s">
        <v>478</v>
      </c>
      <c r="C212" s="573" t="s">
        <v>487</v>
      </c>
      <c r="D212" s="601" t="s">
        <v>488</v>
      </c>
      <c r="E212" s="573" t="s">
        <v>782</v>
      </c>
      <c r="F212" s="601" t="s">
        <v>783</v>
      </c>
      <c r="G212" s="573" t="s">
        <v>1173</v>
      </c>
      <c r="H212" s="573" t="s">
        <v>1174</v>
      </c>
      <c r="I212" s="587">
        <v>1.2100000381469727</v>
      </c>
      <c r="J212" s="587">
        <v>2000</v>
      </c>
      <c r="K212" s="588">
        <v>2420</v>
      </c>
    </row>
    <row r="213" spans="1:11" ht="14.45" customHeight="1" x14ac:dyDescent="0.2">
      <c r="A213" s="569" t="s">
        <v>477</v>
      </c>
      <c r="B213" s="570" t="s">
        <v>478</v>
      </c>
      <c r="C213" s="573" t="s">
        <v>487</v>
      </c>
      <c r="D213" s="601" t="s">
        <v>488</v>
      </c>
      <c r="E213" s="573" t="s">
        <v>782</v>
      </c>
      <c r="F213" s="601" t="s">
        <v>783</v>
      </c>
      <c r="G213" s="573" t="s">
        <v>1175</v>
      </c>
      <c r="H213" s="573" t="s">
        <v>1176</v>
      </c>
      <c r="I213" s="587">
        <v>1.2699999809265137</v>
      </c>
      <c r="J213" s="587">
        <v>1000</v>
      </c>
      <c r="K213" s="588">
        <v>1270.5</v>
      </c>
    </row>
    <row r="214" spans="1:11" ht="14.45" customHeight="1" x14ac:dyDescent="0.2">
      <c r="A214" s="569" t="s">
        <v>477</v>
      </c>
      <c r="B214" s="570" t="s">
        <v>478</v>
      </c>
      <c r="C214" s="573" t="s">
        <v>487</v>
      </c>
      <c r="D214" s="601" t="s">
        <v>488</v>
      </c>
      <c r="E214" s="573" t="s">
        <v>782</v>
      </c>
      <c r="F214" s="601" t="s">
        <v>783</v>
      </c>
      <c r="G214" s="573" t="s">
        <v>1177</v>
      </c>
      <c r="H214" s="573" t="s">
        <v>1178</v>
      </c>
      <c r="I214" s="587">
        <v>4.852000045776367</v>
      </c>
      <c r="J214" s="587">
        <v>1680</v>
      </c>
      <c r="K214" s="588">
        <v>7835.02001953125</v>
      </c>
    </row>
    <row r="215" spans="1:11" ht="14.45" customHeight="1" x14ac:dyDescent="0.2">
      <c r="A215" s="569" t="s">
        <v>477</v>
      </c>
      <c r="B215" s="570" t="s">
        <v>478</v>
      </c>
      <c r="C215" s="573" t="s">
        <v>487</v>
      </c>
      <c r="D215" s="601" t="s">
        <v>488</v>
      </c>
      <c r="E215" s="573" t="s">
        <v>782</v>
      </c>
      <c r="F215" s="601" t="s">
        <v>783</v>
      </c>
      <c r="G215" s="573" t="s">
        <v>808</v>
      </c>
      <c r="H215" s="573" t="s">
        <v>809</v>
      </c>
      <c r="I215" s="587">
        <v>0.43999999761581421</v>
      </c>
      <c r="J215" s="587">
        <v>300</v>
      </c>
      <c r="K215" s="588">
        <v>132</v>
      </c>
    </row>
    <row r="216" spans="1:11" ht="14.45" customHeight="1" x14ac:dyDescent="0.2">
      <c r="A216" s="569" t="s">
        <v>477</v>
      </c>
      <c r="B216" s="570" t="s">
        <v>478</v>
      </c>
      <c r="C216" s="573" t="s">
        <v>487</v>
      </c>
      <c r="D216" s="601" t="s">
        <v>488</v>
      </c>
      <c r="E216" s="573" t="s">
        <v>782</v>
      </c>
      <c r="F216" s="601" t="s">
        <v>783</v>
      </c>
      <c r="G216" s="573" t="s">
        <v>1179</v>
      </c>
      <c r="H216" s="573" t="s">
        <v>1180</v>
      </c>
      <c r="I216" s="587">
        <v>0.47999998927116394</v>
      </c>
      <c r="J216" s="587">
        <v>100</v>
      </c>
      <c r="K216" s="588">
        <v>48</v>
      </c>
    </row>
    <row r="217" spans="1:11" ht="14.45" customHeight="1" x14ac:dyDescent="0.2">
      <c r="A217" s="569" t="s">
        <v>477</v>
      </c>
      <c r="B217" s="570" t="s">
        <v>478</v>
      </c>
      <c r="C217" s="573" t="s">
        <v>487</v>
      </c>
      <c r="D217" s="601" t="s">
        <v>488</v>
      </c>
      <c r="E217" s="573" t="s">
        <v>782</v>
      </c>
      <c r="F217" s="601" t="s">
        <v>783</v>
      </c>
      <c r="G217" s="573" t="s">
        <v>1181</v>
      </c>
      <c r="H217" s="573" t="s">
        <v>1182</v>
      </c>
      <c r="I217" s="587">
        <v>5.7899999618530273</v>
      </c>
      <c r="J217" s="587">
        <v>100</v>
      </c>
      <c r="K217" s="588">
        <v>579.1099853515625</v>
      </c>
    </row>
    <row r="218" spans="1:11" ht="14.45" customHeight="1" x14ac:dyDescent="0.2">
      <c r="A218" s="569" t="s">
        <v>477</v>
      </c>
      <c r="B218" s="570" t="s">
        <v>478</v>
      </c>
      <c r="C218" s="573" t="s">
        <v>487</v>
      </c>
      <c r="D218" s="601" t="s">
        <v>488</v>
      </c>
      <c r="E218" s="573" t="s">
        <v>782</v>
      </c>
      <c r="F218" s="601" t="s">
        <v>783</v>
      </c>
      <c r="G218" s="573" t="s">
        <v>1183</v>
      </c>
      <c r="H218" s="573" t="s">
        <v>1184</v>
      </c>
      <c r="I218" s="587">
        <v>2.190000057220459</v>
      </c>
      <c r="J218" s="587">
        <v>1400</v>
      </c>
      <c r="K218" s="588">
        <v>3061.06005859375</v>
      </c>
    </row>
    <row r="219" spans="1:11" ht="14.45" customHeight="1" x14ac:dyDescent="0.2">
      <c r="A219" s="569" t="s">
        <v>477</v>
      </c>
      <c r="B219" s="570" t="s">
        <v>478</v>
      </c>
      <c r="C219" s="573" t="s">
        <v>487</v>
      </c>
      <c r="D219" s="601" t="s">
        <v>488</v>
      </c>
      <c r="E219" s="573" t="s">
        <v>782</v>
      </c>
      <c r="F219" s="601" t="s">
        <v>783</v>
      </c>
      <c r="G219" s="573" t="s">
        <v>1185</v>
      </c>
      <c r="H219" s="573" t="s">
        <v>1186</v>
      </c>
      <c r="I219" s="587">
        <v>0.95999999344348907</v>
      </c>
      <c r="J219" s="587">
        <v>400</v>
      </c>
      <c r="K219" s="588">
        <v>383.94000244140625</v>
      </c>
    </row>
    <row r="220" spans="1:11" ht="14.45" customHeight="1" x14ac:dyDescent="0.2">
      <c r="A220" s="569" t="s">
        <v>477</v>
      </c>
      <c r="B220" s="570" t="s">
        <v>478</v>
      </c>
      <c r="C220" s="573" t="s">
        <v>487</v>
      </c>
      <c r="D220" s="601" t="s">
        <v>488</v>
      </c>
      <c r="E220" s="573" t="s">
        <v>848</v>
      </c>
      <c r="F220" s="601" t="s">
        <v>849</v>
      </c>
      <c r="G220" s="573" t="s">
        <v>1187</v>
      </c>
      <c r="H220" s="573" t="s">
        <v>1188</v>
      </c>
      <c r="I220" s="587">
        <v>0.31000000238418579</v>
      </c>
      <c r="J220" s="587">
        <v>240</v>
      </c>
      <c r="K220" s="588">
        <v>74.400001525878906</v>
      </c>
    </row>
    <row r="221" spans="1:11" ht="14.45" customHeight="1" x14ac:dyDescent="0.2">
      <c r="A221" s="569" t="s">
        <v>477</v>
      </c>
      <c r="B221" s="570" t="s">
        <v>478</v>
      </c>
      <c r="C221" s="573" t="s">
        <v>487</v>
      </c>
      <c r="D221" s="601" t="s">
        <v>488</v>
      </c>
      <c r="E221" s="573" t="s">
        <v>848</v>
      </c>
      <c r="F221" s="601" t="s">
        <v>849</v>
      </c>
      <c r="G221" s="573" t="s">
        <v>852</v>
      </c>
      <c r="H221" s="573" t="s">
        <v>853</v>
      </c>
      <c r="I221" s="587">
        <v>0.31100000739097594</v>
      </c>
      <c r="J221" s="587">
        <v>1100</v>
      </c>
      <c r="K221" s="588">
        <v>342</v>
      </c>
    </row>
    <row r="222" spans="1:11" ht="14.45" customHeight="1" x14ac:dyDescent="0.2">
      <c r="A222" s="569" t="s">
        <v>477</v>
      </c>
      <c r="B222" s="570" t="s">
        <v>478</v>
      </c>
      <c r="C222" s="573" t="s">
        <v>487</v>
      </c>
      <c r="D222" s="601" t="s">
        <v>488</v>
      </c>
      <c r="E222" s="573" t="s">
        <v>859</v>
      </c>
      <c r="F222" s="601" t="s">
        <v>860</v>
      </c>
      <c r="G222" s="573" t="s">
        <v>1189</v>
      </c>
      <c r="H222" s="573" t="s">
        <v>1190</v>
      </c>
      <c r="I222" s="587">
        <v>7.9285714285714288</v>
      </c>
      <c r="J222" s="587">
        <v>620</v>
      </c>
      <c r="K222" s="588">
        <v>4988.7999267578125</v>
      </c>
    </row>
    <row r="223" spans="1:11" ht="14.45" customHeight="1" x14ac:dyDescent="0.2">
      <c r="A223" s="569" t="s">
        <v>477</v>
      </c>
      <c r="B223" s="570" t="s">
        <v>478</v>
      </c>
      <c r="C223" s="573" t="s">
        <v>487</v>
      </c>
      <c r="D223" s="601" t="s">
        <v>488</v>
      </c>
      <c r="E223" s="573" t="s">
        <v>859</v>
      </c>
      <c r="F223" s="601" t="s">
        <v>860</v>
      </c>
      <c r="G223" s="573" t="s">
        <v>863</v>
      </c>
      <c r="H223" s="573" t="s">
        <v>864</v>
      </c>
      <c r="I223" s="587">
        <v>0.70142857517514912</v>
      </c>
      <c r="J223" s="587">
        <v>3800</v>
      </c>
      <c r="K223" s="588">
        <v>2716</v>
      </c>
    </row>
    <row r="224" spans="1:11" ht="14.45" customHeight="1" x14ac:dyDescent="0.2">
      <c r="A224" s="569" t="s">
        <v>477</v>
      </c>
      <c r="B224" s="570" t="s">
        <v>478</v>
      </c>
      <c r="C224" s="573" t="s">
        <v>487</v>
      </c>
      <c r="D224" s="601" t="s">
        <v>488</v>
      </c>
      <c r="E224" s="573" t="s">
        <v>859</v>
      </c>
      <c r="F224" s="601" t="s">
        <v>860</v>
      </c>
      <c r="G224" s="573" t="s">
        <v>865</v>
      </c>
      <c r="H224" s="573" t="s">
        <v>866</v>
      </c>
      <c r="I224" s="587">
        <v>0.66799999475479122</v>
      </c>
      <c r="J224" s="587">
        <v>2200</v>
      </c>
      <c r="K224" s="588">
        <v>1500</v>
      </c>
    </row>
    <row r="225" spans="1:11" ht="14.45" customHeight="1" x14ac:dyDescent="0.2">
      <c r="A225" s="569" t="s">
        <v>477</v>
      </c>
      <c r="B225" s="570" t="s">
        <v>478</v>
      </c>
      <c r="C225" s="573" t="s">
        <v>487</v>
      </c>
      <c r="D225" s="601" t="s">
        <v>488</v>
      </c>
      <c r="E225" s="573" t="s">
        <v>859</v>
      </c>
      <c r="F225" s="601" t="s">
        <v>860</v>
      </c>
      <c r="G225" s="573" t="s">
        <v>863</v>
      </c>
      <c r="H225" s="573" t="s">
        <v>870</v>
      </c>
      <c r="I225" s="587">
        <v>1.1559999942779542</v>
      </c>
      <c r="J225" s="587">
        <v>2800</v>
      </c>
      <c r="K225" s="588">
        <v>3258</v>
      </c>
    </row>
    <row r="226" spans="1:11" ht="14.45" customHeight="1" x14ac:dyDescent="0.2">
      <c r="A226" s="569" t="s">
        <v>477</v>
      </c>
      <c r="B226" s="570" t="s">
        <v>478</v>
      </c>
      <c r="C226" s="573" t="s">
        <v>487</v>
      </c>
      <c r="D226" s="601" t="s">
        <v>488</v>
      </c>
      <c r="E226" s="573" t="s">
        <v>859</v>
      </c>
      <c r="F226" s="601" t="s">
        <v>860</v>
      </c>
      <c r="G226" s="573" t="s">
        <v>865</v>
      </c>
      <c r="H226" s="573" t="s">
        <v>871</v>
      </c>
      <c r="I226" s="587">
        <v>0.98500001430511475</v>
      </c>
      <c r="J226" s="587">
        <v>2200</v>
      </c>
      <c r="K226" s="588">
        <v>2194</v>
      </c>
    </row>
    <row r="227" spans="1:11" ht="14.45" customHeight="1" thickBot="1" x14ac:dyDescent="0.25">
      <c r="A227" s="577" t="s">
        <v>477</v>
      </c>
      <c r="B227" s="578" t="s">
        <v>478</v>
      </c>
      <c r="C227" s="581" t="s">
        <v>487</v>
      </c>
      <c r="D227" s="602" t="s">
        <v>488</v>
      </c>
      <c r="E227" s="581" t="s">
        <v>859</v>
      </c>
      <c r="F227" s="602" t="s">
        <v>860</v>
      </c>
      <c r="G227" s="581" t="s">
        <v>872</v>
      </c>
      <c r="H227" s="581" t="s">
        <v>873</v>
      </c>
      <c r="I227" s="589">
        <v>4.3600001335144043</v>
      </c>
      <c r="J227" s="589">
        <v>600</v>
      </c>
      <c r="K227" s="590">
        <v>2616</v>
      </c>
    </row>
  </sheetData>
  <autoFilter ref="A4:K4" xr:uid="{00000000-0009-0000-0000-000019000000}"/>
  <mergeCells count="2">
    <mergeCell ref="A1:K1"/>
    <mergeCell ref="C3:G3"/>
  </mergeCells>
  <hyperlinks>
    <hyperlink ref="A2" location="Obsah!A1" display="Zpět na Obsah  KL 01  1.-4.měsíc" xr:uid="{CA4446D8-0F07-4473-90BC-EA603E03D55D}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List13">
    <tabColor theme="3" tint="0.39997558519241921"/>
    <pageSetUpPr fitToPage="1"/>
  </sheetPr>
  <dimension ref="A1:S29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28515625" defaultRowHeight="15" outlineLevelCol="1" x14ac:dyDescent="0.25"/>
  <cols>
    <col min="1" max="1" width="8.28515625" customWidth="1"/>
    <col min="2" max="2" width="27.42578125" bestFit="1" customWidth="1" outlineLevel="1"/>
    <col min="3" max="3" width="10.85546875" style="277" bestFit="1" customWidth="1"/>
    <col min="4" max="6" width="10.28515625" hidden="1" customWidth="1" outlineLevel="1"/>
    <col min="7" max="7" width="10" customWidth="1" collapsed="1"/>
    <col min="8" max="10" width="10" customWidth="1"/>
    <col min="11" max="14" width="10.7109375" customWidth="1"/>
    <col min="15" max="15" width="12.28515625" customWidth="1"/>
    <col min="16" max="17" width="8.85546875" style="231" customWidth="1"/>
    <col min="18" max="18" width="7.28515625" style="276" customWidth="1"/>
    <col min="19" max="19" width="8" style="231" customWidth="1"/>
    <col min="21" max="21" width="11.28515625" bestFit="1" customWidth="1"/>
  </cols>
  <sheetData>
    <row r="1" spans="1:19" ht="19.5" thickBot="1" x14ac:dyDescent="0.35">
      <c r="A1" s="415" t="s">
        <v>105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5.75" thickBot="1" x14ac:dyDescent="0.3">
      <c r="A2" s="232" t="s">
        <v>270</v>
      </c>
      <c r="B2" s="233"/>
    </row>
    <row r="3" spans="1:19" x14ac:dyDescent="0.25">
      <c r="A3" s="427" t="s">
        <v>191</v>
      </c>
      <c r="B3" s="428"/>
      <c r="C3" s="429" t="s">
        <v>180</v>
      </c>
      <c r="D3" s="430"/>
      <c r="E3" s="430"/>
      <c r="F3" s="431"/>
      <c r="G3" s="432" t="s">
        <v>181</v>
      </c>
      <c r="H3" s="433"/>
      <c r="I3" s="433"/>
      <c r="J3" s="434"/>
      <c r="K3" s="435" t="s">
        <v>190</v>
      </c>
      <c r="L3" s="436"/>
      <c r="M3" s="436"/>
      <c r="N3" s="436"/>
      <c r="O3" s="437"/>
      <c r="P3" s="433" t="s">
        <v>242</v>
      </c>
      <c r="Q3" s="433"/>
      <c r="R3" s="433"/>
      <c r="S3" s="434"/>
    </row>
    <row r="4" spans="1:19" ht="15.75" thickBot="1" x14ac:dyDescent="0.3">
      <c r="A4" s="407">
        <v>2020</v>
      </c>
      <c r="B4" s="408"/>
      <c r="C4" s="409" t="s">
        <v>241</v>
      </c>
      <c r="D4" s="411" t="s">
        <v>106</v>
      </c>
      <c r="E4" s="411" t="s">
        <v>74</v>
      </c>
      <c r="F4" s="413" t="s">
        <v>67</v>
      </c>
      <c r="G4" s="401" t="s">
        <v>182</v>
      </c>
      <c r="H4" s="403" t="s">
        <v>186</v>
      </c>
      <c r="I4" s="403" t="s">
        <v>240</v>
      </c>
      <c r="J4" s="405" t="s">
        <v>183</v>
      </c>
      <c r="K4" s="424" t="s">
        <v>239</v>
      </c>
      <c r="L4" s="425"/>
      <c r="M4" s="425"/>
      <c r="N4" s="426"/>
      <c r="O4" s="413" t="s">
        <v>238</v>
      </c>
      <c r="P4" s="416" t="s">
        <v>237</v>
      </c>
      <c r="Q4" s="416" t="s">
        <v>193</v>
      </c>
      <c r="R4" s="418" t="s">
        <v>74</v>
      </c>
      <c r="S4" s="420" t="s">
        <v>192</v>
      </c>
    </row>
    <row r="5" spans="1:19" s="311" customFormat="1" ht="19.149999999999999" customHeight="1" x14ac:dyDescent="0.25">
      <c r="A5" s="422" t="s">
        <v>236</v>
      </c>
      <c r="B5" s="423"/>
      <c r="C5" s="410"/>
      <c r="D5" s="412"/>
      <c r="E5" s="412"/>
      <c r="F5" s="414"/>
      <c r="G5" s="402"/>
      <c r="H5" s="404"/>
      <c r="I5" s="404"/>
      <c r="J5" s="406"/>
      <c r="K5" s="314" t="s">
        <v>184</v>
      </c>
      <c r="L5" s="313" t="s">
        <v>185</v>
      </c>
      <c r="M5" s="313" t="s">
        <v>235</v>
      </c>
      <c r="N5" s="312" t="s">
        <v>3</v>
      </c>
      <c r="O5" s="414"/>
      <c r="P5" s="417"/>
      <c r="Q5" s="417"/>
      <c r="R5" s="419"/>
      <c r="S5" s="421"/>
    </row>
    <row r="6" spans="1:19" ht="15.75" thickBot="1" x14ac:dyDescent="0.3">
      <c r="A6" s="399" t="s">
        <v>179</v>
      </c>
      <c r="B6" s="400"/>
      <c r="C6" s="310">
        <f ca="1">SUM(Tabulka[01 uv_sk])/2</f>
        <v>26.787499999999991</v>
      </c>
      <c r="D6" s="308"/>
      <c r="E6" s="308"/>
      <c r="F6" s="307"/>
      <c r="G6" s="309">
        <f ca="1">SUM(Tabulka[05 h_vram])/2</f>
        <v>47497.400000000009</v>
      </c>
      <c r="H6" s="308">
        <f ca="1">SUM(Tabulka[06 h_naduv])/2</f>
        <v>152</v>
      </c>
      <c r="I6" s="308">
        <f ca="1">SUM(Tabulka[07 h_nadzk])/2</f>
        <v>784.25</v>
      </c>
      <c r="J6" s="307">
        <f ca="1">SUM(Tabulka[08 h_oon])/2</f>
        <v>337.5</v>
      </c>
      <c r="K6" s="309">
        <f ca="1">SUM(Tabulka[09 m_kl])/2</f>
        <v>0</v>
      </c>
      <c r="L6" s="308">
        <f ca="1">SUM(Tabulka[10 m_gr])/2</f>
        <v>441250</v>
      </c>
      <c r="M6" s="308">
        <f ca="1">SUM(Tabulka[11 m_jo])/2</f>
        <v>1758986</v>
      </c>
      <c r="N6" s="308">
        <f ca="1">SUM(Tabulka[12 m_oc])/2</f>
        <v>2200236</v>
      </c>
      <c r="O6" s="307">
        <f ca="1">SUM(Tabulka[13 m_sk])/2</f>
        <v>18654368</v>
      </c>
      <c r="P6" s="306">
        <f ca="1">SUM(Tabulka[14_vzsk])/2</f>
        <v>10640</v>
      </c>
      <c r="Q6" s="306">
        <f ca="1">SUM(Tabulka[15_vzpl])/2</f>
        <v>4497.2295757117108</v>
      </c>
      <c r="R6" s="305">
        <f ca="1">IF(Q6=0,0,P6/Q6)</f>
        <v>2.3659010110276975</v>
      </c>
      <c r="S6" s="304">
        <f ca="1">Q6-P6</f>
        <v>-6142.7704242882892</v>
      </c>
    </row>
    <row r="7" spans="1:19" hidden="1" x14ac:dyDescent="0.25">
      <c r="A7" s="303" t="s">
        <v>234</v>
      </c>
      <c r="B7" s="302" t="s">
        <v>233</v>
      </c>
      <c r="C7" s="301" t="s">
        <v>232</v>
      </c>
      <c r="D7" s="300" t="s">
        <v>231</v>
      </c>
      <c r="E7" s="299" t="s">
        <v>230</v>
      </c>
      <c r="F7" s="298" t="s">
        <v>229</v>
      </c>
      <c r="G7" s="297" t="s">
        <v>228</v>
      </c>
      <c r="H7" s="295" t="s">
        <v>227</v>
      </c>
      <c r="I7" s="295" t="s">
        <v>226</v>
      </c>
      <c r="J7" s="294" t="s">
        <v>225</v>
      </c>
      <c r="K7" s="296" t="s">
        <v>224</v>
      </c>
      <c r="L7" s="295" t="s">
        <v>223</v>
      </c>
      <c r="M7" s="295" t="s">
        <v>222</v>
      </c>
      <c r="N7" s="294" t="s">
        <v>221</v>
      </c>
      <c r="O7" s="293" t="s">
        <v>220</v>
      </c>
      <c r="P7" s="292" t="s">
        <v>219</v>
      </c>
      <c r="Q7" s="291" t="s">
        <v>218</v>
      </c>
      <c r="R7" s="290" t="s">
        <v>217</v>
      </c>
      <c r="S7" s="289" t="s">
        <v>216</v>
      </c>
    </row>
    <row r="8" spans="1:19" x14ac:dyDescent="0.25">
      <c r="A8" s="286" t="s">
        <v>215</v>
      </c>
      <c r="B8" s="285"/>
      <c r="C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5.45</v>
      </c>
      <c r="D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10188</v>
      </c>
      <c r="H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</v>
      </c>
      <c r="I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</v>
      </c>
      <c r="J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25.5</v>
      </c>
      <c r="K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885688</v>
      </c>
      <c r="N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885688</v>
      </c>
      <c r="O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5470935</v>
      </c>
      <c r="P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1445.9921798631476</v>
      </c>
      <c r="R8" s="288">
        <f ca="1">IF(Tabulka[[#This Row],[15_vzpl]]=0,"",Tabulka[[#This Row],[14_vzsk]]/Tabulka[[#This Row],[15_vzpl]])</f>
        <v>0</v>
      </c>
      <c r="S8" s="287">
        <f ca="1">IF(Tabulka[[#This Row],[15_vzpl]]-Tabulka[[#This Row],[14_vzsk]]=0,"",Tabulka[[#This Row],[15_vzpl]]-Tabulka[[#This Row],[14_vzsk]])</f>
        <v>1445.9921798631476</v>
      </c>
    </row>
    <row r="9" spans="1:19" x14ac:dyDescent="0.25">
      <c r="A9" s="286">
        <v>99</v>
      </c>
      <c r="B9" s="285" t="s">
        <v>1208</v>
      </c>
      <c r="C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1.5416666666666667</v>
      </c>
      <c r="D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2864</v>
      </c>
      <c r="H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25.5</v>
      </c>
      <c r="K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38964</v>
      </c>
      <c r="N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38964</v>
      </c>
      <c r="O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842961</v>
      </c>
      <c r="P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1445.9921798631476</v>
      </c>
      <c r="R9" s="288">
        <f ca="1">IF(Tabulka[[#This Row],[15_vzpl]]=0,"",Tabulka[[#This Row],[14_vzsk]]/Tabulka[[#This Row],[15_vzpl]])</f>
        <v>0</v>
      </c>
      <c r="S9" s="287">
        <f ca="1">IF(Tabulka[[#This Row],[15_vzpl]]-Tabulka[[#This Row],[14_vzsk]]=0,"",Tabulka[[#This Row],[15_vzpl]]-Tabulka[[#This Row],[14_vzsk]])</f>
        <v>1445.9921798631476</v>
      </c>
    </row>
    <row r="10" spans="1:19" x14ac:dyDescent="0.25">
      <c r="A10" s="286">
        <v>100</v>
      </c>
      <c r="B10" s="285" t="s">
        <v>1209</v>
      </c>
      <c r="C1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0.64999999999999991</v>
      </c>
      <c r="D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1248</v>
      </c>
      <c r="H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36345</v>
      </c>
      <c r="N1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36345</v>
      </c>
      <c r="O1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417260</v>
      </c>
      <c r="P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88" t="str">
        <f ca="1">IF(Tabulka[[#This Row],[15_vzpl]]=0,"",Tabulka[[#This Row],[14_vzsk]]/Tabulka[[#This Row],[15_vzpl]])</f>
        <v/>
      </c>
      <c r="S10" s="287" t="str">
        <f ca="1">IF(Tabulka[[#This Row],[15_vzpl]]-Tabulka[[#This Row],[14_vzsk]]=0,"",Tabulka[[#This Row],[15_vzpl]]-Tabulka[[#This Row],[14_vzsk]])</f>
        <v/>
      </c>
    </row>
    <row r="11" spans="1:19" x14ac:dyDescent="0.25">
      <c r="A11" s="286">
        <v>101</v>
      </c>
      <c r="B11" s="285" t="s">
        <v>1210</v>
      </c>
      <c r="C1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3.2583333333333324</v>
      </c>
      <c r="D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6076</v>
      </c>
      <c r="H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137</v>
      </c>
      <c r="I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258</v>
      </c>
      <c r="J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810379</v>
      </c>
      <c r="N1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810379</v>
      </c>
      <c r="O1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4210714</v>
      </c>
      <c r="P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88" t="str">
        <f ca="1">IF(Tabulka[[#This Row],[15_vzpl]]=0,"",Tabulka[[#This Row],[14_vzsk]]/Tabulka[[#This Row],[15_vzpl]])</f>
        <v/>
      </c>
      <c r="S11" s="287" t="str">
        <f ca="1">IF(Tabulka[[#This Row],[15_vzpl]]-Tabulka[[#This Row],[14_vzsk]]=0,"",Tabulka[[#This Row],[15_vzpl]]-Tabulka[[#This Row],[14_vzsk]])</f>
        <v/>
      </c>
    </row>
    <row r="12" spans="1:19" x14ac:dyDescent="0.25">
      <c r="A12" s="286" t="s">
        <v>1192</v>
      </c>
      <c r="B12" s="285"/>
      <c r="C1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10.737499999999997</v>
      </c>
      <c r="D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18755.000000000004</v>
      </c>
      <c r="H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400.75</v>
      </c>
      <c r="J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K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314000</v>
      </c>
      <c r="M1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533379</v>
      </c>
      <c r="N1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847379</v>
      </c>
      <c r="O1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7510948</v>
      </c>
      <c r="P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10640</v>
      </c>
      <c r="Q1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1884.5707291818965</v>
      </c>
      <c r="R12" s="288">
        <f ca="1">IF(Tabulka[[#This Row],[15_vzpl]]=0,"",Tabulka[[#This Row],[14_vzsk]]/Tabulka[[#This Row],[15_vzpl]])</f>
        <v>5.6458480625022167</v>
      </c>
      <c r="S12" s="287">
        <f ca="1">IF(Tabulka[[#This Row],[15_vzpl]]-Tabulka[[#This Row],[14_vzsk]]=0,"",Tabulka[[#This Row],[15_vzpl]]-Tabulka[[#This Row],[14_vzsk]])</f>
        <v>-8755.4292708181038</v>
      </c>
    </row>
    <row r="13" spans="1:19" x14ac:dyDescent="0.25">
      <c r="A13" s="286">
        <v>526</v>
      </c>
      <c r="B13" s="285" t="s">
        <v>1211</v>
      </c>
      <c r="C1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10.666666666666666</v>
      </c>
      <c r="D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18614.8</v>
      </c>
      <c r="H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314000</v>
      </c>
      <c r="M1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525347</v>
      </c>
      <c r="N1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839347</v>
      </c>
      <c r="O1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7275626</v>
      </c>
      <c r="P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10640</v>
      </c>
      <c r="Q1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1884.5707291818965</v>
      </c>
      <c r="R13" s="288">
        <f ca="1">IF(Tabulka[[#This Row],[15_vzpl]]=0,"",Tabulka[[#This Row],[14_vzsk]]/Tabulka[[#This Row],[15_vzpl]])</f>
        <v>5.6458480625022167</v>
      </c>
      <c r="S13" s="287">
        <f ca="1">IF(Tabulka[[#This Row],[15_vzpl]]-Tabulka[[#This Row],[14_vzsk]]=0,"",Tabulka[[#This Row],[15_vzpl]]-Tabulka[[#This Row],[14_vzsk]])</f>
        <v>-8755.4292708181038</v>
      </c>
    </row>
    <row r="14" spans="1:19" x14ac:dyDescent="0.25">
      <c r="A14" s="286">
        <v>746</v>
      </c>
      <c r="B14" s="285" t="s">
        <v>1212</v>
      </c>
      <c r="C14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7.0833333333333318E-2</v>
      </c>
      <c r="D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140.19999999999999</v>
      </c>
      <c r="H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400.75</v>
      </c>
      <c r="J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312</v>
      </c>
      <c r="K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8032</v>
      </c>
      <c r="N14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8032</v>
      </c>
      <c r="O14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235322</v>
      </c>
      <c r="P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88" t="str">
        <f ca="1">IF(Tabulka[[#This Row],[15_vzpl]]=0,"",Tabulka[[#This Row],[14_vzsk]]/Tabulka[[#This Row],[15_vzpl]])</f>
        <v/>
      </c>
      <c r="S14" s="287" t="str">
        <f ca="1">IF(Tabulka[[#This Row],[15_vzpl]]-Tabulka[[#This Row],[14_vzsk]]=0,"",Tabulka[[#This Row],[15_vzpl]]-Tabulka[[#This Row],[14_vzsk]])</f>
        <v/>
      </c>
    </row>
    <row r="15" spans="1:19" x14ac:dyDescent="0.25">
      <c r="A15" s="286" t="s">
        <v>1193</v>
      </c>
      <c r="B15" s="285"/>
      <c r="C15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8.7999999999999989</v>
      </c>
      <c r="D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15176.8</v>
      </c>
      <c r="H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15</v>
      </c>
      <c r="I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125.5</v>
      </c>
      <c r="J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127250</v>
      </c>
      <c r="M15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304469</v>
      </c>
      <c r="N15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431719</v>
      </c>
      <c r="O15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4913175</v>
      </c>
      <c r="P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1166.6666666666667</v>
      </c>
      <c r="R15" s="288">
        <f ca="1">IF(Tabulka[[#This Row],[15_vzpl]]=0,"",Tabulka[[#This Row],[14_vzsk]]/Tabulka[[#This Row],[15_vzpl]])</f>
        <v>0</v>
      </c>
      <c r="S15" s="287">
        <f ca="1">IF(Tabulka[[#This Row],[15_vzpl]]-Tabulka[[#This Row],[14_vzsk]]=0,"",Tabulka[[#This Row],[15_vzpl]]-Tabulka[[#This Row],[14_vzsk]])</f>
        <v>1166.6666666666667</v>
      </c>
    </row>
    <row r="16" spans="1:19" x14ac:dyDescent="0.25">
      <c r="A16" s="286">
        <v>303</v>
      </c>
      <c r="B16" s="285" t="s">
        <v>1213</v>
      </c>
      <c r="C16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1166.6666666666667</v>
      </c>
      <c r="R16" s="288">
        <f ca="1">IF(Tabulka[[#This Row],[15_vzpl]]=0,"",Tabulka[[#This Row],[14_vzsk]]/Tabulka[[#This Row],[15_vzpl]])</f>
        <v>0</v>
      </c>
      <c r="S16" s="287">
        <f ca="1">IF(Tabulka[[#This Row],[15_vzpl]]-Tabulka[[#This Row],[14_vzsk]]=0,"",Tabulka[[#This Row],[15_vzpl]]-Tabulka[[#This Row],[14_vzsk]])</f>
        <v>1166.6666666666667</v>
      </c>
    </row>
    <row r="17" spans="1:19" x14ac:dyDescent="0.25">
      <c r="A17" s="286">
        <v>304</v>
      </c>
      <c r="B17" s="285" t="s">
        <v>1214</v>
      </c>
      <c r="C17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0.79999999999999993</v>
      </c>
      <c r="D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1404.8</v>
      </c>
      <c r="H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</v>
      </c>
      <c r="I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125.5</v>
      </c>
      <c r="J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26200</v>
      </c>
      <c r="N17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26200</v>
      </c>
      <c r="O17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518765</v>
      </c>
      <c r="P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88" t="str">
        <f ca="1">IF(Tabulka[[#This Row],[15_vzpl]]=0,"",Tabulka[[#This Row],[14_vzsk]]/Tabulka[[#This Row],[15_vzpl]])</f>
        <v/>
      </c>
      <c r="S17" s="287" t="str">
        <f ca="1">IF(Tabulka[[#This Row],[15_vzpl]]-Tabulka[[#This Row],[14_vzsk]]=0,"",Tabulka[[#This Row],[15_vzpl]]-Tabulka[[#This Row],[14_vzsk]])</f>
        <v/>
      </c>
    </row>
    <row r="18" spans="1:19" x14ac:dyDescent="0.25">
      <c r="A18" s="286">
        <v>305</v>
      </c>
      <c r="B18" s="285" t="s">
        <v>1215</v>
      </c>
      <c r="C18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8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8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1888</v>
      </c>
      <c r="H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8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66744</v>
      </c>
      <c r="N18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66744</v>
      </c>
      <c r="O18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854110</v>
      </c>
      <c r="P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8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8" s="288" t="str">
        <f ca="1">IF(Tabulka[[#This Row],[15_vzpl]]=0,"",Tabulka[[#This Row],[14_vzsk]]/Tabulka[[#This Row],[15_vzpl]])</f>
        <v/>
      </c>
      <c r="S18" s="287" t="str">
        <f ca="1">IF(Tabulka[[#This Row],[15_vzpl]]-Tabulka[[#This Row],[14_vzsk]]=0,"",Tabulka[[#This Row],[15_vzpl]]-Tabulka[[#This Row],[14_vzsk]])</f>
        <v/>
      </c>
    </row>
    <row r="19" spans="1:19" x14ac:dyDescent="0.25">
      <c r="A19" s="286">
        <v>310</v>
      </c>
      <c r="B19" s="285" t="s">
        <v>1216</v>
      </c>
      <c r="C19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9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9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1808</v>
      </c>
      <c r="H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9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30850</v>
      </c>
      <c r="N19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30850</v>
      </c>
      <c r="O19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583943</v>
      </c>
      <c r="P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9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9" s="288" t="str">
        <f ca="1">IF(Tabulka[[#This Row],[15_vzpl]]=0,"",Tabulka[[#This Row],[14_vzsk]]/Tabulka[[#This Row],[15_vzpl]])</f>
        <v/>
      </c>
      <c r="S19" s="287" t="str">
        <f ca="1">IF(Tabulka[[#This Row],[15_vzpl]]-Tabulka[[#This Row],[14_vzsk]]=0,"",Tabulka[[#This Row],[15_vzpl]]-Tabulka[[#This Row],[14_vzsk]])</f>
        <v/>
      </c>
    </row>
    <row r="20" spans="1:19" x14ac:dyDescent="0.25">
      <c r="A20" s="286">
        <v>409</v>
      </c>
      <c r="B20" s="285" t="s">
        <v>1217</v>
      </c>
      <c r="C20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5</v>
      </c>
      <c r="D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0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0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8724</v>
      </c>
      <c r="H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</v>
      </c>
      <c r="I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127250</v>
      </c>
      <c r="M20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163543</v>
      </c>
      <c r="N20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290793</v>
      </c>
      <c r="O20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2701249</v>
      </c>
      <c r="P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0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0" s="288" t="str">
        <f ca="1">IF(Tabulka[[#This Row],[15_vzpl]]=0,"",Tabulka[[#This Row],[14_vzsk]]/Tabulka[[#This Row],[15_vzpl]])</f>
        <v/>
      </c>
      <c r="S20" s="287" t="str">
        <f ca="1">IF(Tabulka[[#This Row],[15_vzpl]]-Tabulka[[#This Row],[14_vzsk]]=0,"",Tabulka[[#This Row],[15_vzpl]]-Tabulka[[#This Row],[14_vzsk]])</f>
        <v/>
      </c>
    </row>
    <row r="21" spans="1:19" x14ac:dyDescent="0.25">
      <c r="A21" s="286">
        <v>642</v>
      </c>
      <c r="B21" s="285" t="s">
        <v>1218</v>
      </c>
      <c r="C21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1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1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1352</v>
      </c>
      <c r="H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1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17132</v>
      </c>
      <c r="N21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17132</v>
      </c>
      <c r="O21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255108</v>
      </c>
      <c r="P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1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1" s="288" t="str">
        <f ca="1">IF(Tabulka[[#This Row],[15_vzpl]]=0,"",Tabulka[[#This Row],[14_vzsk]]/Tabulka[[#This Row],[15_vzpl]])</f>
        <v/>
      </c>
      <c r="S21" s="287" t="str">
        <f ca="1">IF(Tabulka[[#This Row],[15_vzpl]]-Tabulka[[#This Row],[14_vzsk]]=0,"",Tabulka[[#This Row],[15_vzpl]]-Tabulka[[#This Row],[14_vzsk]])</f>
        <v/>
      </c>
    </row>
    <row r="22" spans="1:19" x14ac:dyDescent="0.25">
      <c r="A22" s="286" t="s">
        <v>1194</v>
      </c>
      <c r="B22" s="285"/>
      <c r="C22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2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2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3377.6000000000004</v>
      </c>
      <c r="H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2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35450</v>
      </c>
      <c r="N22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35450</v>
      </c>
      <c r="O22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759310</v>
      </c>
      <c r="P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2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2" s="288" t="str">
        <f ca="1">IF(Tabulka[[#This Row],[15_vzpl]]=0,"",Tabulka[[#This Row],[14_vzsk]]/Tabulka[[#This Row],[15_vzpl]])</f>
        <v/>
      </c>
      <c r="S22" s="287" t="str">
        <f ca="1">IF(Tabulka[[#This Row],[15_vzpl]]-Tabulka[[#This Row],[14_vzsk]]=0,"",Tabulka[[#This Row],[15_vzpl]]-Tabulka[[#This Row],[14_vzsk]])</f>
        <v/>
      </c>
    </row>
    <row r="23" spans="1:19" x14ac:dyDescent="0.25">
      <c r="A23" s="286">
        <v>30</v>
      </c>
      <c r="B23" s="285" t="s">
        <v>1219</v>
      </c>
      <c r="C23" s="279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1.8000000000000005</v>
      </c>
      <c r="D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23" s="284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23" s="28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3377.6000000000004</v>
      </c>
      <c r="H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23" s="282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35450</v>
      </c>
      <c r="N23" s="28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35450</v>
      </c>
      <c r="O23" s="28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759310</v>
      </c>
      <c r="P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23" s="28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23" s="288" t="str">
        <f ca="1">IF(Tabulka[[#This Row],[15_vzpl]]=0,"",Tabulka[[#This Row],[14_vzsk]]/Tabulka[[#This Row],[15_vzpl]])</f>
        <v/>
      </c>
      <c r="S23" s="287" t="str">
        <f ca="1">IF(Tabulka[[#This Row],[15_vzpl]]-Tabulka[[#This Row],[14_vzsk]]=0,"",Tabulka[[#This Row],[15_vzpl]]-Tabulka[[#This Row],[14_vzsk]])</f>
        <v/>
      </c>
    </row>
    <row r="24" spans="1:19" x14ac:dyDescent="0.25">
      <c r="A24" t="s">
        <v>244</v>
      </c>
    </row>
    <row r="25" spans="1:19" x14ac:dyDescent="0.25">
      <c r="A25" s="113" t="s">
        <v>160</v>
      </c>
    </row>
    <row r="26" spans="1:19" x14ac:dyDescent="0.25">
      <c r="A26" s="114" t="s">
        <v>214</v>
      </c>
    </row>
    <row r="27" spans="1:19" x14ac:dyDescent="0.25">
      <c r="A27" s="278" t="s">
        <v>213</v>
      </c>
    </row>
    <row r="28" spans="1:19" x14ac:dyDescent="0.25">
      <c r="A28" s="235" t="s">
        <v>189</v>
      </c>
    </row>
    <row r="29" spans="1:19" x14ac:dyDescent="0.25">
      <c r="A29" s="237" t="s">
        <v>194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23">
    <cfRule type="cellIs" dxfId="4" priority="3" operator="lessThan">
      <formula>0</formula>
    </cfRule>
  </conditionalFormatting>
  <conditionalFormatting sqref="R6:R23">
    <cfRule type="cellIs" dxfId="3" priority="4" operator="greaterThan">
      <formula>1</formula>
    </cfRule>
  </conditionalFormatting>
  <conditionalFormatting sqref="A8:S23">
    <cfRule type="expression" dxfId="2" priority="2">
      <formula>$B8=""</formula>
    </cfRule>
  </conditionalFormatting>
  <conditionalFormatting sqref="P8:S23">
    <cfRule type="expression" dxfId="1" priority="1">
      <formula>$B8&lt;&gt;""</formula>
    </cfRule>
  </conditionalFormatting>
  <dataValidations count="1">
    <dataValidation type="list" allowBlank="1" showInputMessage="1" showErrorMessage="1" sqref="A4:B4" xr:uid="{00000000-0002-0000-1A00-000000000000}">
      <formula1>Obdobi</formula1>
    </dataValidation>
  </dataValidations>
  <hyperlinks>
    <hyperlink ref="A2" location="Obsah!A1" display="Zpět na Obsah  KL 01  1.-4.měsíc" xr:uid="{7BB01EE2-60EC-4709-A5E0-EC03A024589C}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4">
    <tabColor rgb="FFFFFF66"/>
    <pageSetUpPr fitToPage="1"/>
  </sheetPr>
  <dimension ref="A1:E27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ColWidth="8.85546875" defaultRowHeight="12.75" x14ac:dyDescent="0.2"/>
  <cols>
    <col min="1" max="1" width="104.140625" style="150" bestFit="1" customWidth="1"/>
    <col min="2" max="2" width="11.7109375" style="150" hidden="1" customWidth="1"/>
    <col min="3" max="4" width="11" style="152" customWidth="1"/>
    <col min="5" max="5" width="11" style="153" customWidth="1"/>
    <col min="6" max="16384" width="8.85546875" style="150"/>
  </cols>
  <sheetData>
    <row r="1" spans="1:5" ht="19.5" thickBot="1" x14ac:dyDescent="0.35">
      <c r="A1" s="329" t="s">
        <v>120</v>
      </c>
      <c r="B1" s="329"/>
      <c r="C1" s="330"/>
      <c r="D1" s="330"/>
      <c r="E1" s="330"/>
    </row>
    <row r="2" spans="1:5" ht="14.45" customHeight="1" thickBot="1" x14ac:dyDescent="0.25">
      <c r="A2" s="232" t="s">
        <v>270</v>
      </c>
      <c r="B2" s="151"/>
    </row>
    <row r="3" spans="1:5" ht="14.45" customHeight="1" thickBot="1" x14ac:dyDescent="0.25">
      <c r="A3" s="154"/>
      <c r="C3" s="155" t="s">
        <v>106</v>
      </c>
      <c r="D3" s="156" t="s">
        <v>72</v>
      </c>
      <c r="E3" s="157" t="s">
        <v>74</v>
      </c>
    </row>
    <row r="4" spans="1:5" ht="14.45" customHeight="1" thickBot="1" x14ac:dyDescent="0.25">
      <c r="A4" s="158" t="str">
        <f>HYPERLINK("#HI!A1","NÁKLADY CELKEM (v tisících Kč)")</f>
        <v>NÁKLADY CELKEM (v tisících Kč)</v>
      </c>
      <c r="B4" s="159"/>
      <c r="C4" s="160">
        <f ca="1">IF(ISERROR(VLOOKUP("Náklady celkem",INDIRECT("HI!$A:$G"),6,0)),0,VLOOKUP("Náklady celkem",INDIRECT("HI!$A:$G"),6,0))</f>
        <v>0</v>
      </c>
      <c r="D4" s="160">
        <f ca="1">IF(ISERROR(VLOOKUP("Náklady celkem",INDIRECT("HI!$A:$G"),5,0)),0,VLOOKUP("Náklady celkem",INDIRECT("HI!$A:$G"),5,0))</f>
        <v>34699.66883000001</v>
      </c>
      <c r="E4" s="161">
        <f ca="1">IF(C4=0,0,D4/C4)</f>
        <v>0</v>
      </c>
    </row>
    <row r="5" spans="1:5" ht="14.45" customHeight="1" x14ac:dyDescent="0.2">
      <c r="A5" s="162" t="s">
        <v>152</v>
      </c>
      <c r="B5" s="163"/>
      <c r="C5" s="164"/>
      <c r="D5" s="164"/>
      <c r="E5" s="165"/>
    </row>
    <row r="6" spans="1:5" ht="14.45" customHeight="1" x14ac:dyDescent="0.2">
      <c r="A6" s="166" t="s">
        <v>157</v>
      </c>
      <c r="B6" s="167"/>
      <c r="C6" s="168"/>
      <c r="D6" s="168"/>
      <c r="E6" s="165"/>
    </row>
    <row r="7" spans="1:5" ht="14.45" customHeight="1" x14ac:dyDescent="0.25">
      <c r="A7" s="25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67" t="s">
        <v>110</v>
      </c>
      <c r="C7" s="168">
        <f>IF(ISERROR(HI!F5),"",HI!F5)</f>
        <v>0</v>
      </c>
      <c r="D7" s="168">
        <f>IF(ISERROR(HI!E5),"",HI!E5)</f>
        <v>39.566249999999997</v>
      </c>
      <c r="E7" s="165">
        <f t="shared" ref="E7:E15" si="0">IF(C7=0,0,D7/C7)</f>
        <v>0</v>
      </c>
    </row>
    <row r="8" spans="1:5" ht="14.45" customHeight="1" x14ac:dyDescent="0.25">
      <c r="A8" s="257" t="str">
        <f>HYPERLINK("#'LŽ PL'!A1","Plnění pozitivního listu (min. 90%)")</f>
        <v>Plnění pozitivního listu (min. 90%)</v>
      </c>
      <c r="B8" s="167" t="s">
        <v>144</v>
      </c>
      <c r="C8" s="169">
        <v>0.9</v>
      </c>
      <c r="D8" s="169">
        <f>IF(ISERROR(VLOOKUP("celkem",'LŽ PL'!$A:$F,5,0)),0,VLOOKUP("celkem",'LŽ PL'!$A:$F,5,0))</f>
        <v>0</v>
      </c>
      <c r="E8" s="165">
        <f t="shared" si="0"/>
        <v>0</v>
      </c>
    </row>
    <row r="9" spans="1:5" ht="14.45" customHeight="1" x14ac:dyDescent="0.25">
      <c r="A9" s="257" t="str">
        <f>HYPERLINK("#'LŽ Statim'!A1","Podíl statimových žádanek (max. 30%)")</f>
        <v>Podíl statimových žádanek (max. 30%)</v>
      </c>
      <c r="B9" s="255" t="s">
        <v>206</v>
      </c>
      <c r="C9" s="256">
        <v>0.3</v>
      </c>
      <c r="D9" s="256">
        <f>IF('LŽ Statim'!G3="",0,'LŽ Statim'!G3)</f>
        <v>0</v>
      </c>
      <c r="E9" s="165">
        <f>IF(C9=0,0,D9/C9)</f>
        <v>0</v>
      </c>
    </row>
    <row r="10" spans="1:5" ht="14.45" customHeight="1" x14ac:dyDescent="0.2">
      <c r="A10" s="170" t="s">
        <v>153</v>
      </c>
      <c r="B10" s="167"/>
      <c r="C10" s="168"/>
      <c r="D10" s="168"/>
      <c r="E10" s="165"/>
    </row>
    <row r="11" spans="1:5" ht="14.45" customHeight="1" x14ac:dyDescent="0.25">
      <c r="A11" s="257" t="str">
        <f>HYPERLINK("#'Léky Recepty'!A1","Záchyt v lékárně (Úhrada Kč, min. 60%)")</f>
        <v>Záchyt v lékárně (Úhrada Kč, min. 60%)</v>
      </c>
      <c r="B11" s="167" t="s">
        <v>115</v>
      </c>
      <c r="C11" s="169">
        <v>0.6</v>
      </c>
      <c r="D11" s="169">
        <f>IF(ISERROR(VLOOKUP("Celkem",'Léky Recepty'!B:H,5,0)),0,VLOOKUP("Celkem",'Léky Recepty'!B:H,5,0))</f>
        <v>0.82278063340102314</v>
      </c>
      <c r="E11" s="165">
        <f t="shared" si="0"/>
        <v>1.371301055668372</v>
      </c>
    </row>
    <row r="12" spans="1:5" ht="14.45" customHeight="1" x14ac:dyDescent="0.25">
      <c r="A12" s="257" t="str">
        <f>HYPERLINK("#'LRp PL'!A1","Plnění pozitivního listu (min. 80%)")</f>
        <v>Plnění pozitivního listu (min. 80%)</v>
      </c>
      <c r="B12" s="167" t="s">
        <v>145</v>
      </c>
      <c r="C12" s="169">
        <v>0.8</v>
      </c>
      <c r="D12" s="169">
        <f>IF(ISERROR(VLOOKUP("Celkem",'LRp PL'!A:F,5,0)),0,VLOOKUP("Celkem",'LRp PL'!A:F,5,0))</f>
        <v>0.9609871099635765</v>
      </c>
      <c r="E12" s="165">
        <f t="shared" si="0"/>
        <v>1.2012338874544706</v>
      </c>
    </row>
    <row r="13" spans="1:5" ht="14.45" customHeight="1" x14ac:dyDescent="0.2">
      <c r="A13" s="170" t="s">
        <v>154</v>
      </c>
      <c r="B13" s="167"/>
      <c r="C13" s="168"/>
      <c r="D13" s="168"/>
      <c r="E13" s="165"/>
    </row>
    <row r="14" spans="1:5" ht="14.45" customHeight="1" x14ac:dyDescent="0.2">
      <c r="A14" s="171" t="s">
        <v>158</v>
      </c>
      <c r="B14" s="167"/>
      <c r="C14" s="164"/>
      <c r="D14" s="164"/>
      <c r="E14" s="165"/>
    </row>
    <row r="15" spans="1:5" ht="14.45" customHeight="1" x14ac:dyDescent="0.2">
      <c r="A15" s="17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167" t="s">
        <v>110</v>
      </c>
      <c r="C15" s="168">
        <f>IF(ISERROR(HI!F6),"",HI!F6)</f>
        <v>0</v>
      </c>
      <c r="D15" s="168">
        <f>IF(ISERROR(HI!E6),"",HI!E6)</f>
        <v>5061.5874300000005</v>
      </c>
      <c r="E15" s="165">
        <f t="shared" si="0"/>
        <v>0</v>
      </c>
    </row>
    <row r="16" spans="1:5" ht="14.45" customHeight="1" thickBot="1" x14ac:dyDescent="0.25">
      <c r="A16" s="173" t="str">
        <f>HYPERLINK("#HI!A1","Osobní náklady")</f>
        <v>Osobní náklady</v>
      </c>
      <c r="B16" s="167"/>
      <c r="C16" s="164">
        <f ca="1">IF(ISERROR(VLOOKUP("Osobní náklady (Kč) *",INDIRECT("HI!$A:$G"),6,0)),0,VLOOKUP("Osobní náklady (Kč) *",INDIRECT("HI!$A:$G"),6,0))</f>
        <v>0</v>
      </c>
      <c r="D16" s="164">
        <f ca="1">IF(ISERROR(VLOOKUP("Osobní náklady (Kč) *",INDIRECT("HI!$A:$G"),5,0)),0,VLOOKUP("Osobní náklady (Kč) *",INDIRECT("HI!$A:$G"),5,0))</f>
        <v>25311.505859999997</v>
      </c>
      <c r="E16" s="165">
        <f ca="1">IF(C16=0,0,D16/C16)</f>
        <v>0</v>
      </c>
    </row>
    <row r="17" spans="1:5" ht="14.45" customHeight="1" thickBot="1" x14ac:dyDescent="0.25">
      <c r="A17" s="177"/>
      <c r="B17" s="178"/>
      <c r="C17" s="179"/>
      <c r="D17" s="179"/>
      <c r="E17" s="180"/>
    </row>
    <row r="18" spans="1:5" ht="14.45" customHeight="1" thickBot="1" x14ac:dyDescent="0.25">
      <c r="A18" s="181" t="str">
        <f>HYPERLINK("#HI!A1","VÝNOSY CELKEM (v tisících)")</f>
        <v>VÝNOSY CELKEM (v tisících)</v>
      </c>
      <c r="B18" s="182"/>
      <c r="C18" s="183">
        <f ca="1">IF(ISERROR(VLOOKUP("Výnosy celkem",INDIRECT("HI!$A:$G"),6,0)),0,VLOOKUP("Výnosy celkem",INDIRECT("HI!$A:$G"),6,0))</f>
        <v>43939.259729999998</v>
      </c>
      <c r="D18" s="183">
        <f ca="1">IF(ISERROR(VLOOKUP("Výnosy celkem",INDIRECT("HI!$A:$G"),5,0)),0,VLOOKUP("Výnosy celkem",INDIRECT("HI!$A:$G"),5,0))</f>
        <v>49592.384149999991</v>
      </c>
      <c r="E18" s="184">
        <f t="shared" ref="E18:E23" ca="1" si="1">IF(C18=0,0,D18/C18)</f>
        <v>1.12865770736097</v>
      </c>
    </row>
    <row r="19" spans="1:5" ht="14.45" customHeight="1" x14ac:dyDescent="0.2">
      <c r="A19" s="185" t="str">
        <f>HYPERLINK("#HI!A1","Ambulance (body za výkony + Kč za ZUM a ZULP)")</f>
        <v>Ambulance (body za výkony + Kč za ZUM a ZULP)</v>
      </c>
      <c r="B19" s="163"/>
      <c r="C19" s="164">
        <f ca="1">IF(ISERROR(VLOOKUP("Ambulance *",INDIRECT("HI!$A:$G"),6,0)),0,VLOOKUP("Ambulance *",INDIRECT("HI!$A:$G"),6,0))</f>
        <v>43939.259729999998</v>
      </c>
      <c r="D19" s="164">
        <f ca="1">IF(ISERROR(VLOOKUP("Ambulance *",INDIRECT("HI!$A:$G"),5,0)),0,VLOOKUP("Ambulance *",INDIRECT("HI!$A:$G"),5,0))</f>
        <v>49592.384149999991</v>
      </c>
      <c r="E19" s="165">
        <f t="shared" ca="1" si="1"/>
        <v>1.12865770736097</v>
      </c>
    </row>
    <row r="20" spans="1:5" ht="14.45" customHeight="1" x14ac:dyDescent="0.25">
      <c r="A20" s="264" t="str">
        <f>HYPERLINK("#'ZV Vykáz.-A'!A1","Zdravotní výkony vykázané u ambulantních pacientů (min. 100 % 2016)")</f>
        <v>Zdravotní výkony vykázané u ambulantních pacientů (min. 100 % 2016)</v>
      </c>
      <c r="B20" s="265" t="s">
        <v>122</v>
      </c>
      <c r="C20" s="169">
        <v>1</v>
      </c>
      <c r="D20" s="169">
        <f>IF(ISERROR(VLOOKUP("Celkem:",'ZV Vykáz.-A'!$A:$AB,10,0)),"",VLOOKUP("Celkem:",'ZV Vykáz.-A'!$A:$AB,10,0))</f>
        <v>1.12865770736097</v>
      </c>
      <c r="E20" s="165">
        <f t="shared" si="1"/>
        <v>1.12865770736097</v>
      </c>
    </row>
    <row r="21" spans="1:5" ht="14.45" customHeight="1" x14ac:dyDescent="0.25">
      <c r="A21" s="263" t="str">
        <f>HYPERLINK("#'ZV Vykáz.-A'!A1","Specializovaná ambulantní péče")</f>
        <v>Specializovaná ambulantní péče</v>
      </c>
      <c r="B21" s="265" t="s">
        <v>122</v>
      </c>
      <c r="C21" s="169">
        <v>1</v>
      </c>
      <c r="D21" s="256">
        <f>IF(ISERROR(VLOOKUP("Specializovaná ambulantní péče",'ZV Vykáz.-A'!$A:$AB,10,0)),"",VLOOKUP("Specializovaná ambulantní péče",'ZV Vykáz.-A'!$A:$AB,10,0))</f>
        <v>1.12865770736097</v>
      </c>
      <c r="E21" s="165">
        <f t="shared" si="1"/>
        <v>1.12865770736097</v>
      </c>
    </row>
    <row r="22" spans="1:5" ht="14.45" customHeight="1" x14ac:dyDescent="0.25">
      <c r="A22" s="263" t="str">
        <f>HYPERLINK("#'ZV Vykáz.-A'!A1","Ambulantní péče ve vyjmenovaných odbornostech (§9)")</f>
        <v>Ambulantní péče ve vyjmenovaných odbornostech (§9)</v>
      </c>
      <c r="B22" s="265" t="s">
        <v>122</v>
      </c>
      <c r="C22" s="169">
        <v>1</v>
      </c>
      <c r="D22" s="256" t="str">
        <f>IF(ISERROR(VLOOKUP("Ambulantní péče ve vyjmenovaných odbornostech (§9) *",'ZV Vykáz.-A'!$A:$AB,10,0)),"",VLOOKUP("Ambulantní péče ve vyjmenovaných odbornostech (§9) *",'ZV Vykáz.-A'!$A:$AB,10,0))</f>
        <v/>
      </c>
      <c r="E22" s="165">
        <f>IF(OR(C22=0,D22=""),0,IF(C22="","",D22/C22))</f>
        <v>0</v>
      </c>
    </row>
    <row r="23" spans="1:5" ht="14.45" customHeight="1" x14ac:dyDescent="0.2">
      <c r="A23" s="186" t="str">
        <f>HYPERLINK("#'ZV Vykáz.-H'!A1","Zdravotní výkony vykázané u hospitalizovaných pacientů (max. 85 %)")</f>
        <v>Zdravotní výkony vykázané u hospitalizovaných pacientů (max. 85 %)</v>
      </c>
      <c r="B23" s="265" t="s">
        <v>124</v>
      </c>
      <c r="C23" s="169">
        <v>0.85</v>
      </c>
      <c r="D23" s="169">
        <f>IF(ISERROR(VLOOKUP("Celkem:",'ZV Vykáz.-H'!$A:$S,7,0)),"",VLOOKUP("Celkem:",'ZV Vykáz.-H'!$A:$S,7,0))</f>
        <v>0.75023599732740098</v>
      </c>
      <c r="E23" s="165">
        <f t="shared" si="1"/>
        <v>0.88263058509105996</v>
      </c>
    </row>
    <row r="24" spans="1:5" ht="14.45" customHeight="1" x14ac:dyDescent="0.2">
      <c r="A24" s="187" t="str">
        <f>HYPERLINK("#HI!A1","Hospitalizace (casemix * 30000)")</f>
        <v>Hospitalizace (casemix * 30000)</v>
      </c>
      <c r="B24" s="167"/>
      <c r="C24" s="164">
        <f ca="1">IF(ISERROR(VLOOKUP("Hospitalizace *",INDIRECT("HI!$A:$G"),6,0)),0,VLOOKUP("Hospitalizace *",INDIRECT("HI!$A:$G"),6,0))</f>
        <v>0</v>
      </c>
      <c r="D24" s="164">
        <f ca="1">IF(ISERROR(VLOOKUP("Hospitalizace *",INDIRECT("HI!$A:$G"),5,0)),0,VLOOKUP("Hospitalizace *",INDIRECT("HI!$A:$G"),5,0))</f>
        <v>0</v>
      </c>
      <c r="E24" s="165">
        <f ca="1">IF(C24=0,0,D24/C24)</f>
        <v>0</v>
      </c>
    </row>
    <row r="25" spans="1:5" ht="14.45" customHeight="1" thickBot="1" x14ac:dyDescent="0.25">
      <c r="A25" s="188" t="s">
        <v>155</v>
      </c>
      <c r="B25" s="174"/>
      <c r="C25" s="175"/>
      <c r="D25" s="175"/>
      <c r="E25" s="176"/>
    </row>
    <row r="26" spans="1:5" ht="14.45" customHeight="1" thickBot="1" x14ac:dyDescent="0.25">
      <c r="A26" s="189"/>
      <c r="B26" s="190"/>
      <c r="C26" s="191"/>
      <c r="D26" s="191"/>
      <c r="E26" s="192"/>
    </row>
    <row r="27" spans="1:5" ht="14.45" customHeight="1" thickBot="1" x14ac:dyDescent="0.25">
      <c r="A27" s="193" t="s">
        <v>156</v>
      </c>
      <c r="B27" s="194"/>
      <c r="C27" s="195"/>
      <c r="D27" s="195"/>
      <c r="E27" s="196"/>
    </row>
  </sheetData>
  <mergeCells count="1">
    <mergeCell ref="A1:E1"/>
  </mergeCells>
  <conditionalFormatting sqref="E5">
    <cfRule type="cellIs" dxfId="73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72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71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70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24">
    <cfRule type="cellIs" dxfId="69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6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9">
    <cfRule type="cellIs" dxfId="67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8 E8 E11:E12 E20:E21">
    <cfRule type="cellIs" dxfId="66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5 E22:E23">
    <cfRule type="cellIs" dxfId="65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 xr:uid="{CF558F22-2812-4322-B7E1-F5477B4F1E70}"/>
  </hyperlinks>
  <pageMargins left="0.25" right="0.25" top="0.75" bottom="0.75" header="0.3" footer="0.3"/>
  <pageSetup paperSize="9" fitToHeight="0" orientation="landscape" r:id="rId1"/>
  <ignoredErrors>
    <ignoredError sqref="E20:E21 E23" evalError="1"/>
    <ignoredError sqref="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List16">
    <tabColor theme="7" tint="0.39997558519241921"/>
  </sheetPr>
  <dimension ref="A1:S196"/>
  <sheetViews>
    <sheetView workbookViewId="0"/>
  </sheetViews>
  <sheetFormatPr defaultRowHeight="15" x14ac:dyDescent="0.25"/>
  <cols>
    <col min="1" max="1" width="9.42578125" customWidth="1"/>
    <col min="5" max="5" width="10.28515625" customWidth="1"/>
    <col min="6" max="6" width="11" customWidth="1"/>
    <col min="7" max="7" width="11.140625" customWidth="1"/>
    <col min="8" max="8" width="12.140625" customWidth="1"/>
    <col min="9" max="9" width="11.7109375" customWidth="1"/>
    <col min="10" max="10" width="12.7109375" customWidth="1"/>
    <col min="11" max="11" width="12.42578125" customWidth="1"/>
    <col min="12" max="12" width="10.7109375" customWidth="1"/>
    <col min="13" max="13" width="9.42578125" customWidth="1"/>
    <col min="14" max="15" width="9.7109375" customWidth="1"/>
    <col min="16" max="16" width="10" customWidth="1"/>
    <col min="17" max="17" width="9.7109375" customWidth="1"/>
    <col min="18" max="18" width="9.42578125" customWidth="1"/>
    <col min="19" max="19" width="9.28515625" customWidth="1"/>
  </cols>
  <sheetData>
    <row r="1" spans="1:19" x14ac:dyDescent="0.25">
      <c r="A1" t="s">
        <v>1207</v>
      </c>
    </row>
    <row r="2" spans="1:19" x14ac:dyDescent="0.25">
      <c r="A2" s="232" t="s">
        <v>270</v>
      </c>
    </row>
    <row r="3" spans="1:19" x14ac:dyDescent="0.25">
      <c r="A3" s="324" t="s">
        <v>166</v>
      </c>
      <c r="B3" s="323">
        <v>2020</v>
      </c>
      <c r="C3" t="s">
        <v>243</v>
      </c>
      <c r="D3" t="s">
        <v>234</v>
      </c>
      <c r="E3" t="s">
        <v>232</v>
      </c>
      <c r="F3" t="s">
        <v>231</v>
      </c>
      <c r="G3" t="s">
        <v>230</v>
      </c>
      <c r="H3" t="s">
        <v>229</v>
      </c>
      <c r="I3" t="s">
        <v>228</v>
      </c>
      <c r="J3" t="s">
        <v>227</v>
      </c>
      <c r="K3" t="s">
        <v>226</v>
      </c>
      <c r="L3" t="s">
        <v>225</v>
      </c>
      <c r="M3" t="s">
        <v>224</v>
      </c>
      <c r="N3" t="s">
        <v>223</v>
      </c>
      <c r="O3" t="s">
        <v>222</v>
      </c>
      <c r="P3" t="s">
        <v>221</v>
      </c>
      <c r="Q3" t="s">
        <v>220</v>
      </c>
      <c r="R3" t="s">
        <v>219</v>
      </c>
      <c r="S3" t="s">
        <v>218</v>
      </c>
    </row>
    <row r="4" spans="1:19" x14ac:dyDescent="0.25">
      <c r="A4" s="322" t="s">
        <v>167</v>
      </c>
      <c r="B4" s="321">
        <v>1</v>
      </c>
      <c r="C4" s="316">
        <v>1</v>
      </c>
      <c r="D4" s="316" t="s">
        <v>215</v>
      </c>
      <c r="E4" s="315">
        <v>5.05</v>
      </c>
      <c r="F4" s="315"/>
      <c r="G4" s="315"/>
      <c r="H4" s="315"/>
      <c r="I4" s="315">
        <v>816</v>
      </c>
      <c r="J4" s="315"/>
      <c r="K4" s="315">
        <v>21</v>
      </c>
      <c r="L4" s="315"/>
      <c r="M4" s="315"/>
      <c r="N4" s="315"/>
      <c r="O4" s="315"/>
      <c r="P4" s="315"/>
      <c r="Q4" s="315">
        <v>363843</v>
      </c>
      <c r="R4" s="315"/>
      <c r="S4" s="315">
        <v>1445.9921798631476</v>
      </c>
    </row>
    <row r="5" spans="1:19" x14ac:dyDescent="0.25">
      <c r="A5" s="320" t="s">
        <v>168</v>
      </c>
      <c r="B5" s="319">
        <v>2</v>
      </c>
      <c r="C5">
        <v>1</v>
      </c>
      <c r="D5">
        <v>99</v>
      </c>
      <c r="E5">
        <v>1.05</v>
      </c>
      <c r="I5">
        <v>176</v>
      </c>
      <c r="Q5">
        <v>40546</v>
      </c>
      <c r="S5">
        <v>1445.9921798631476</v>
      </c>
    </row>
    <row r="6" spans="1:19" x14ac:dyDescent="0.25">
      <c r="A6" s="322" t="s">
        <v>169</v>
      </c>
      <c r="B6" s="321">
        <v>3</v>
      </c>
      <c r="C6">
        <v>1</v>
      </c>
      <c r="D6">
        <v>100</v>
      </c>
      <c r="E6">
        <v>0.6</v>
      </c>
      <c r="I6">
        <v>104</v>
      </c>
      <c r="Q6">
        <v>26172</v>
      </c>
    </row>
    <row r="7" spans="1:19" x14ac:dyDescent="0.25">
      <c r="A7" s="320" t="s">
        <v>170</v>
      </c>
      <c r="B7" s="319">
        <v>4</v>
      </c>
      <c r="C7">
        <v>1</v>
      </c>
      <c r="D7">
        <v>101</v>
      </c>
      <c r="E7">
        <v>3.4</v>
      </c>
      <c r="I7">
        <v>536</v>
      </c>
      <c r="K7">
        <v>21</v>
      </c>
      <c r="Q7">
        <v>297125</v>
      </c>
    </row>
    <row r="8" spans="1:19" x14ac:dyDescent="0.25">
      <c r="A8" s="322" t="s">
        <v>171</v>
      </c>
      <c r="B8" s="321">
        <v>5</v>
      </c>
      <c r="C8">
        <v>1</v>
      </c>
      <c r="D8" t="s">
        <v>1192</v>
      </c>
      <c r="E8">
        <v>10.55</v>
      </c>
      <c r="I8">
        <v>1814.8</v>
      </c>
      <c r="L8">
        <v>36</v>
      </c>
      <c r="Q8">
        <v>539598</v>
      </c>
      <c r="R8">
        <v>10640</v>
      </c>
      <c r="S8">
        <v>1884.5707291818965</v>
      </c>
    </row>
    <row r="9" spans="1:19" x14ac:dyDescent="0.25">
      <c r="A9" s="320" t="s">
        <v>172</v>
      </c>
      <c r="B9" s="319">
        <v>6</v>
      </c>
      <c r="C9">
        <v>1</v>
      </c>
      <c r="D9">
        <v>526</v>
      </c>
      <c r="E9">
        <v>10.5</v>
      </c>
      <c r="I9">
        <v>1805.6</v>
      </c>
      <c r="Q9">
        <v>532998</v>
      </c>
      <c r="R9">
        <v>10640</v>
      </c>
      <c r="S9">
        <v>1884.5707291818965</v>
      </c>
    </row>
    <row r="10" spans="1:19" x14ac:dyDescent="0.25">
      <c r="A10" s="322" t="s">
        <v>173</v>
      </c>
      <c r="B10" s="321">
        <v>7</v>
      </c>
      <c r="C10">
        <v>1</v>
      </c>
      <c r="D10">
        <v>746</v>
      </c>
      <c r="E10">
        <v>0.05</v>
      </c>
      <c r="I10">
        <v>9.1999999999999993</v>
      </c>
      <c r="L10">
        <v>36</v>
      </c>
      <c r="Q10">
        <v>6600</v>
      </c>
    </row>
    <row r="11" spans="1:19" x14ac:dyDescent="0.25">
      <c r="A11" s="320" t="s">
        <v>174</v>
      </c>
      <c r="B11" s="319">
        <v>8</v>
      </c>
      <c r="C11">
        <v>1</v>
      </c>
      <c r="D11" t="s">
        <v>1193</v>
      </c>
      <c r="E11">
        <v>8.8000000000000007</v>
      </c>
      <c r="I11">
        <v>1552</v>
      </c>
      <c r="Q11">
        <v>347255</v>
      </c>
      <c r="S11">
        <v>1166.6666666666667</v>
      </c>
    </row>
    <row r="12" spans="1:19" x14ac:dyDescent="0.25">
      <c r="A12" s="322" t="s">
        <v>175</v>
      </c>
      <c r="B12" s="321">
        <v>9</v>
      </c>
      <c r="C12">
        <v>1</v>
      </c>
      <c r="D12">
        <v>303</v>
      </c>
      <c r="S12">
        <v>1166.6666666666667</v>
      </c>
    </row>
    <row r="13" spans="1:19" x14ac:dyDescent="0.25">
      <c r="A13" s="320" t="s">
        <v>176</v>
      </c>
      <c r="B13" s="319">
        <v>10</v>
      </c>
      <c r="C13">
        <v>1</v>
      </c>
      <c r="D13">
        <v>304</v>
      </c>
      <c r="E13">
        <v>0.8</v>
      </c>
      <c r="I13">
        <v>144</v>
      </c>
      <c r="Q13">
        <v>35782</v>
      </c>
    </row>
    <row r="14" spans="1:19" x14ac:dyDescent="0.25">
      <c r="A14" s="322" t="s">
        <v>177</v>
      </c>
      <c r="B14" s="321">
        <v>11</v>
      </c>
      <c r="C14">
        <v>1</v>
      </c>
      <c r="D14">
        <v>305</v>
      </c>
      <c r="E14">
        <v>1</v>
      </c>
      <c r="I14">
        <v>184</v>
      </c>
      <c r="Q14">
        <v>59620</v>
      </c>
    </row>
    <row r="15" spans="1:19" x14ac:dyDescent="0.25">
      <c r="A15" s="320" t="s">
        <v>178</v>
      </c>
      <c r="B15" s="319">
        <v>12</v>
      </c>
      <c r="C15">
        <v>1</v>
      </c>
      <c r="D15">
        <v>310</v>
      </c>
      <c r="E15">
        <v>1</v>
      </c>
      <c r="I15">
        <v>184</v>
      </c>
      <c r="Q15">
        <v>40400</v>
      </c>
    </row>
    <row r="16" spans="1:19" x14ac:dyDescent="0.25">
      <c r="A16" s="318" t="s">
        <v>166</v>
      </c>
      <c r="B16" s="317">
        <v>2020</v>
      </c>
      <c r="C16">
        <v>1</v>
      </c>
      <c r="D16">
        <v>409</v>
      </c>
      <c r="E16">
        <v>5</v>
      </c>
      <c r="I16">
        <v>864</v>
      </c>
      <c r="Q16">
        <v>187992</v>
      </c>
    </row>
    <row r="17" spans="3:19" x14ac:dyDescent="0.25">
      <c r="C17">
        <v>1</v>
      </c>
      <c r="D17">
        <v>642</v>
      </c>
      <c r="E17">
        <v>1</v>
      </c>
      <c r="I17">
        <v>176</v>
      </c>
      <c r="Q17">
        <v>23461</v>
      </c>
    </row>
    <row r="18" spans="3:19" x14ac:dyDescent="0.25">
      <c r="C18">
        <v>1</v>
      </c>
      <c r="D18" t="s">
        <v>1194</v>
      </c>
      <c r="E18">
        <v>1.8</v>
      </c>
      <c r="I18">
        <v>331.2</v>
      </c>
      <c r="Q18">
        <v>55940</v>
      </c>
    </row>
    <row r="19" spans="3:19" x14ac:dyDescent="0.25">
      <c r="C19">
        <v>1</v>
      </c>
      <c r="D19">
        <v>30</v>
      </c>
      <c r="E19">
        <v>1.8</v>
      </c>
      <c r="I19">
        <v>331.2</v>
      </c>
      <c r="Q19">
        <v>55940</v>
      </c>
    </row>
    <row r="20" spans="3:19" x14ac:dyDescent="0.25">
      <c r="C20" t="s">
        <v>1195</v>
      </c>
      <c r="E20">
        <v>26.200000000000003</v>
      </c>
      <c r="I20">
        <v>4513.9999999999991</v>
      </c>
      <c r="K20">
        <v>21</v>
      </c>
      <c r="L20">
        <v>36</v>
      </c>
      <c r="Q20">
        <v>1306636</v>
      </c>
      <c r="R20">
        <v>10640</v>
      </c>
      <c r="S20">
        <v>4497.2295757117108</v>
      </c>
    </row>
    <row r="21" spans="3:19" x14ac:dyDescent="0.25">
      <c r="C21">
        <v>2</v>
      </c>
      <c r="D21" t="s">
        <v>215</v>
      </c>
      <c r="E21">
        <v>5.05</v>
      </c>
      <c r="I21">
        <v>744</v>
      </c>
      <c r="K21">
        <v>19</v>
      </c>
      <c r="Q21">
        <v>339820</v>
      </c>
    </row>
    <row r="22" spans="3:19" x14ac:dyDescent="0.25">
      <c r="C22">
        <v>2</v>
      </c>
      <c r="D22">
        <v>99</v>
      </c>
      <c r="E22">
        <v>1.05</v>
      </c>
      <c r="I22">
        <v>136</v>
      </c>
      <c r="Q22">
        <v>40072</v>
      </c>
    </row>
    <row r="23" spans="3:19" x14ac:dyDescent="0.25">
      <c r="C23">
        <v>2</v>
      </c>
      <c r="D23">
        <v>100</v>
      </c>
      <c r="E23">
        <v>0.6</v>
      </c>
      <c r="I23">
        <v>96</v>
      </c>
      <c r="Q23">
        <v>26172</v>
      </c>
    </row>
    <row r="24" spans="3:19" x14ac:dyDescent="0.25">
      <c r="C24">
        <v>2</v>
      </c>
      <c r="D24">
        <v>101</v>
      </c>
      <c r="E24">
        <v>3.4</v>
      </c>
      <c r="I24">
        <v>512</v>
      </c>
      <c r="K24">
        <v>19</v>
      </c>
      <c r="Q24">
        <v>273576</v>
      </c>
    </row>
    <row r="25" spans="3:19" x14ac:dyDescent="0.25">
      <c r="C25">
        <v>2</v>
      </c>
      <c r="D25" t="s">
        <v>1192</v>
      </c>
      <c r="E25">
        <v>10.55</v>
      </c>
      <c r="I25">
        <v>1609.2</v>
      </c>
      <c r="L25">
        <v>40</v>
      </c>
      <c r="Q25">
        <v>503050</v>
      </c>
    </row>
    <row r="26" spans="3:19" x14ac:dyDescent="0.25">
      <c r="C26">
        <v>2</v>
      </c>
      <c r="D26">
        <v>526</v>
      </c>
      <c r="E26">
        <v>10.5</v>
      </c>
      <c r="I26">
        <v>1601.2</v>
      </c>
      <c r="Q26">
        <v>495801</v>
      </c>
    </row>
    <row r="27" spans="3:19" x14ac:dyDescent="0.25">
      <c r="C27">
        <v>2</v>
      </c>
      <c r="D27">
        <v>746</v>
      </c>
      <c r="E27">
        <v>0.05</v>
      </c>
      <c r="I27">
        <v>8</v>
      </c>
      <c r="L27">
        <v>40</v>
      </c>
      <c r="Q27">
        <v>7249</v>
      </c>
    </row>
    <row r="28" spans="3:19" x14ac:dyDescent="0.25">
      <c r="C28">
        <v>2</v>
      </c>
      <c r="D28" t="s">
        <v>1193</v>
      </c>
      <c r="E28">
        <v>8.8000000000000007</v>
      </c>
      <c r="I28">
        <v>1248</v>
      </c>
      <c r="J28">
        <v>1</v>
      </c>
      <c r="K28">
        <v>16</v>
      </c>
      <c r="Q28">
        <v>336997</v>
      </c>
    </row>
    <row r="29" spans="3:19" x14ac:dyDescent="0.25">
      <c r="C29">
        <v>2</v>
      </c>
      <c r="D29">
        <v>304</v>
      </c>
      <c r="E29">
        <v>0.8</v>
      </c>
      <c r="I29">
        <v>64</v>
      </c>
      <c r="J29">
        <v>1</v>
      </c>
      <c r="K29">
        <v>16</v>
      </c>
      <c r="Q29">
        <v>31070</v>
      </c>
    </row>
    <row r="30" spans="3:19" x14ac:dyDescent="0.25">
      <c r="C30">
        <v>2</v>
      </c>
      <c r="D30">
        <v>305</v>
      </c>
      <c r="E30">
        <v>1</v>
      </c>
      <c r="I30">
        <v>160</v>
      </c>
      <c r="Q30">
        <v>59620</v>
      </c>
    </row>
    <row r="31" spans="3:19" x14ac:dyDescent="0.25">
      <c r="C31">
        <v>2</v>
      </c>
      <c r="D31">
        <v>310</v>
      </c>
      <c r="E31">
        <v>1</v>
      </c>
      <c r="I31">
        <v>160</v>
      </c>
      <c r="Q31">
        <v>40400</v>
      </c>
    </row>
    <row r="32" spans="3:19" x14ac:dyDescent="0.25">
      <c r="C32">
        <v>2</v>
      </c>
      <c r="D32">
        <v>409</v>
      </c>
      <c r="E32">
        <v>5</v>
      </c>
      <c r="I32">
        <v>704</v>
      </c>
      <c r="Q32">
        <v>182537</v>
      </c>
    </row>
    <row r="33" spans="3:17" x14ac:dyDescent="0.25">
      <c r="C33">
        <v>2</v>
      </c>
      <c r="D33">
        <v>642</v>
      </c>
      <c r="E33">
        <v>1</v>
      </c>
      <c r="I33">
        <v>160</v>
      </c>
      <c r="Q33">
        <v>23370</v>
      </c>
    </row>
    <row r="34" spans="3:17" x14ac:dyDescent="0.25">
      <c r="C34">
        <v>2</v>
      </c>
      <c r="D34" t="s">
        <v>1194</v>
      </c>
      <c r="E34">
        <v>1.8</v>
      </c>
      <c r="I34">
        <v>252.8</v>
      </c>
      <c r="Q34">
        <v>55388</v>
      </c>
    </row>
    <row r="35" spans="3:17" x14ac:dyDescent="0.25">
      <c r="C35">
        <v>2</v>
      </c>
      <c r="D35">
        <v>30</v>
      </c>
      <c r="E35">
        <v>1.8</v>
      </c>
      <c r="I35">
        <v>252.8</v>
      </c>
      <c r="Q35">
        <v>55388</v>
      </c>
    </row>
    <row r="36" spans="3:17" x14ac:dyDescent="0.25">
      <c r="C36" t="s">
        <v>1196</v>
      </c>
      <c r="E36">
        <v>26.200000000000003</v>
      </c>
      <c r="I36">
        <v>3854</v>
      </c>
      <c r="J36">
        <v>1</v>
      </c>
      <c r="K36">
        <v>35</v>
      </c>
      <c r="L36">
        <v>40</v>
      </c>
      <c r="Q36">
        <v>1235255</v>
      </c>
    </row>
    <row r="37" spans="3:17" x14ac:dyDescent="0.25">
      <c r="C37">
        <v>3</v>
      </c>
      <c r="D37" t="s">
        <v>215</v>
      </c>
      <c r="E37">
        <v>5</v>
      </c>
      <c r="I37">
        <v>824</v>
      </c>
      <c r="Q37">
        <v>325692</v>
      </c>
    </row>
    <row r="38" spans="3:17" x14ac:dyDescent="0.25">
      <c r="C38">
        <v>3</v>
      </c>
      <c r="D38">
        <v>99</v>
      </c>
      <c r="E38">
        <v>1.2</v>
      </c>
      <c r="I38">
        <v>200</v>
      </c>
      <c r="Q38">
        <v>63646</v>
      </c>
    </row>
    <row r="39" spans="3:17" x14ac:dyDescent="0.25">
      <c r="C39">
        <v>3</v>
      </c>
      <c r="D39">
        <v>100</v>
      </c>
      <c r="E39">
        <v>0.6</v>
      </c>
      <c r="I39">
        <v>112</v>
      </c>
      <c r="Q39">
        <v>26172</v>
      </c>
    </row>
    <row r="40" spans="3:17" x14ac:dyDescent="0.25">
      <c r="C40">
        <v>3</v>
      </c>
      <c r="D40">
        <v>101</v>
      </c>
      <c r="E40">
        <v>3.2</v>
      </c>
      <c r="I40">
        <v>512</v>
      </c>
      <c r="Q40">
        <v>235874</v>
      </c>
    </row>
    <row r="41" spans="3:17" x14ac:dyDescent="0.25">
      <c r="C41">
        <v>3</v>
      </c>
      <c r="D41" t="s">
        <v>1192</v>
      </c>
      <c r="E41">
        <v>10.55</v>
      </c>
      <c r="I41">
        <v>1615</v>
      </c>
      <c r="L41">
        <v>21</v>
      </c>
      <c r="Q41">
        <v>507271</v>
      </c>
    </row>
    <row r="42" spans="3:17" x14ac:dyDescent="0.25">
      <c r="C42">
        <v>3</v>
      </c>
      <c r="D42">
        <v>526</v>
      </c>
      <c r="E42">
        <v>10.5</v>
      </c>
      <c r="I42">
        <v>1607.2</v>
      </c>
      <c r="Q42">
        <v>502888</v>
      </c>
    </row>
    <row r="43" spans="3:17" x14ac:dyDescent="0.25">
      <c r="C43">
        <v>3</v>
      </c>
      <c r="D43">
        <v>746</v>
      </c>
      <c r="E43">
        <v>0.05</v>
      </c>
      <c r="I43">
        <v>7.8</v>
      </c>
      <c r="L43">
        <v>21</v>
      </c>
      <c r="Q43">
        <v>4383</v>
      </c>
    </row>
    <row r="44" spans="3:17" x14ac:dyDescent="0.25">
      <c r="C44">
        <v>3</v>
      </c>
      <c r="D44" t="s">
        <v>1193</v>
      </c>
      <c r="E44">
        <v>8.8000000000000007</v>
      </c>
      <c r="I44">
        <v>1104</v>
      </c>
      <c r="Q44">
        <v>298404</v>
      </c>
    </row>
    <row r="45" spans="3:17" x14ac:dyDescent="0.25">
      <c r="C45">
        <v>3</v>
      </c>
      <c r="D45">
        <v>304</v>
      </c>
      <c r="E45">
        <v>0.8</v>
      </c>
      <c r="I45">
        <v>80</v>
      </c>
      <c r="Q45">
        <v>27335</v>
      </c>
    </row>
    <row r="46" spans="3:17" x14ac:dyDescent="0.25">
      <c r="C46">
        <v>3</v>
      </c>
      <c r="D46">
        <v>305</v>
      </c>
      <c r="E46">
        <v>1</v>
      </c>
      <c r="I46">
        <v>152</v>
      </c>
      <c r="Q46">
        <v>60817</v>
      </c>
    </row>
    <row r="47" spans="3:17" x14ac:dyDescent="0.25">
      <c r="C47">
        <v>3</v>
      </c>
      <c r="D47">
        <v>310</v>
      </c>
      <c r="E47">
        <v>1</v>
      </c>
      <c r="I47">
        <v>144</v>
      </c>
      <c r="Q47">
        <v>40867</v>
      </c>
    </row>
    <row r="48" spans="3:17" x14ac:dyDescent="0.25">
      <c r="C48">
        <v>3</v>
      </c>
      <c r="D48">
        <v>409</v>
      </c>
      <c r="E48">
        <v>5</v>
      </c>
      <c r="I48">
        <v>588</v>
      </c>
      <c r="Q48">
        <v>145814</v>
      </c>
    </row>
    <row r="49" spans="3:17" x14ac:dyDescent="0.25">
      <c r="C49">
        <v>3</v>
      </c>
      <c r="D49">
        <v>642</v>
      </c>
      <c r="E49">
        <v>1</v>
      </c>
      <c r="I49">
        <v>140</v>
      </c>
      <c r="Q49">
        <v>23571</v>
      </c>
    </row>
    <row r="50" spans="3:17" x14ac:dyDescent="0.25">
      <c r="C50">
        <v>3</v>
      </c>
      <c r="D50" t="s">
        <v>1194</v>
      </c>
      <c r="E50">
        <v>1.8</v>
      </c>
      <c r="I50">
        <v>276.8</v>
      </c>
      <c r="Q50">
        <v>56017</v>
      </c>
    </row>
    <row r="51" spans="3:17" x14ac:dyDescent="0.25">
      <c r="C51">
        <v>3</v>
      </c>
      <c r="D51">
        <v>30</v>
      </c>
      <c r="E51">
        <v>1.8</v>
      </c>
      <c r="I51">
        <v>276.8</v>
      </c>
      <c r="Q51">
        <v>56017</v>
      </c>
    </row>
    <row r="52" spans="3:17" x14ac:dyDescent="0.25">
      <c r="C52" t="s">
        <v>1197</v>
      </c>
      <c r="E52">
        <v>26.150000000000002</v>
      </c>
      <c r="I52">
        <v>3819.8</v>
      </c>
      <c r="L52">
        <v>21</v>
      </c>
      <c r="Q52">
        <v>1187384</v>
      </c>
    </row>
    <row r="53" spans="3:17" x14ac:dyDescent="0.25">
      <c r="C53">
        <v>4</v>
      </c>
      <c r="D53" t="s">
        <v>215</v>
      </c>
      <c r="E53">
        <v>5</v>
      </c>
      <c r="I53">
        <v>820</v>
      </c>
      <c r="J53">
        <v>46.5</v>
      </c>
      <c r="K53">
        <v>14</v>
      </c>
      <c r="Q53">
        <v>343481</v>
      </c>
    </row>
    <row r="54" spans="3:17" x14ac:dyDescent="0.25">
      <c r="C54">
        <v>4</v>
      </c>
      <c r="D54">
        <v>99</v>
      </c>
      <c r="E54">
        <v>1.2</v>
      </c>
      <c r="I54">
        <v>208</v>
      </c>
      <c r="Q54">
        <v>46482</v>
      </c>
    </row>
    <row r="55" spans="3:17" x14ac:dyDescent="0.25">
      <c r="C55">
        <v>4</v>
      </c>
      <c r="D55">
        <v>100</v>
      </c>
      <c r="E55">
        <v>0.6</v>
      </c>
      <c r="I55">
        <v>96</v>
      </c>
      <c r="Q55">
        <v>26172</v>
      </c>
    </row>
    <row r="56" spans="3:17" x14ac:dyDescent="0.25">
      <c r="C56">
        <v>4</v>
      </c>
      <c r="D56">
        <v>101</v>
      </c>
      <c r="E56">
        <v>3.2</v>
      </c>
      <c r="I56">
        <v>516</v>
      </c>
      <c r="J56">
        <v>46.5</v>
      </c>
      <c r="K56">
        <v>14</v>
      </c>
      <c r="Q56">
        <v>270827</v>
      </c>
    </row>
    <row r="57" spans="3:17" x14ac:dyDescent="0.25">
      <c r="C57">
        <v>4</v>
      </c>
      <c r="D57" t="s">
        <v>1192</v>
      </c>
      <c r="E57">
        <v>10.55</v>
      </c>
      <c r="I57">
        <v>1768.8</v>
      </c>
      <c r="L57">
        <v>22</v>
      </c>
      <c r="Q57">
        <v>478113</v>
      </c>
    </row>
    <row r="58" spans="3:17" x14ac:dyDescent="0.25">
      <c r="C58">
        <v>4</v>
      </c>
      <c r="D58">
        <v>526</v>
      </c>
      <c r="E58">
        <v>10.5</v>
      </c>
      <c r="I58">
        <v>1760</v>
      </c>
      <c r="Q58">
        <v>473564</v>
      </c>
    </row>
    <row r="59" spans="3:17" x14ac:dyDescent="0.25">
      <c r="C59">
        <v>4</v>
      </c>
      <c r="D59">
        <v>746</v>
      </c>
      <c r="E59">
        <v>0.05</v>
      </c>
      <c r="I59">
        <v>8.8000000000000007</v>
      </c>
      <c r="L59">
        <v>22</v>
      </c>
      <c r="Q59">
        <v>4549</v>
      </c>
    </row>
    <row r="60" spans="3:17" x14ac:dyDescent="0.25">
      <c r="C60">
        <v>4</v>
      </c>
      <c r="D60" t="s">
        <v>1193</v>
      </c>
      <c r="E60">
        <v>8.8000000000000007</v>
      </c>
      <c r="I60">
        <v>1024</v>
      </c>
      <c r="K60">
        <v>12</v>
      </c>
      <c r="Q60">
        <v>268852</v>
      </c>
    </row>
    <row r="61" spans="3:17" x14ac:dyDescent="0.25">
      <c r="C61">
        <v>4</v>
      </c>
      <c r="D61">
        <v>304</v>
      </c>
      <c r="E61">
        <v>0.8</v>
      </c>
      <c r="I61">
        <v>136</v>
      </c>
      <c r="K61">
        <v>12</v>
      </c>
      <c r="Q61">
        <v>38614</v>
      </c>
    </row>
    <row r="62" spans="3:17" x14ac:dyDescent="0.25">
      <c r="C62">
        <v>4</v>
      </c>
      <c r="D62">
        <v>305</v>
      </c>
      <c r="E62">
        <v>1</v>
      </c>
      <c r="I62">
        <v>160</v>
      </c>
      <c r="Q62">
        <v>55428</v>
      </c>
    </row>
    <row r="63" spans="3:17" x14ac:dyDescent="0.25">
      <c r="C63">
        <v>4</v>
      </c>
      <c r="D63">
        <v>310</v>
      </c>
      <c r="E63">
        <v>1</v>
      </c>
      <c r="I63">
        <v>168</v>
      </c>
      <c r="Q63">
        <v>35436</v>
      </c>
    </row>
    <row r="64" spans="3:17" x14ac:dyDescent="0.25">
      <c r="C64">
        <v>4</v>
      </c>
      <c r="D64">
        <v>409</v>
      </c>
      <c r="E64">
        <v>5</v>
      </c>
      <c r="I64">
        <v>560</v>
      </c>
      <c r="Q64">
        <v>139374</v>
      </c>
    </row>
    <row r="65" spans="3:17" x14ac:dyDescent="0.25">
      <c r="C65">
        <v>4</v>
      </c>
      <c r="D65">
        <v>642</v>
      </c>
      <c r="E65">
        <v>1</v>
      </c>
    </row>
    <row r="66" spans="3:17" x14ac:dyDescent="0.25">
      <c r="C66">
        <v>4</v>
      </c>
      <c r="D66" t="s">
        <v>1194</v>
      </c>
      <c r="E66">
        <v>1.8</v>
      </c>
      <c r="I66">
        <v>278.39999999999998</v>
      </c>
      <c r="Q66">
        <v>56279</v>
      </c>
    </row>
    <row r="67" spans="3:17" x14ac:dyDescent="0.25">
      <c r="C67">
        <v>4</v>
      </c>
      <c r="D67">
        <v>30</v>
      </c>
      <c r="E67">
        <v>1.8</v>
      </c>
      <c r="I67">
        <v>278.39999999999998</v>
      </c>
      <c r="Q67">
        <v>56279</v>
      </c>
    </row>
    <row r="68" spans="3:17" x14ac:dyDescent="0.25">
      <c r="C68" t="s">
        <v>1198</v>
      </c>
      <c r="E68">
        <v>26.150000000000002</v>
      </c>
      <c r="I68">
        <v>3891.2000000000003</v>
      </c>
      <c r="J68">
        <v>46.5</v>
      </c>
      <c r="K68">
        <v>26</v>
      </c>
      <c r="L68">
        <v>22</v>
      </c>
      <c r="Q68">
        <v>1146725</v>
      </c>
    </row>
    <row r="69" spans="3:17" x14ac:dyDescent="0.25">
      <c r="C69">
        <v>5</v>
      </c>
      <c r="D69" t="s">
        <v>215</v>
      </c>
      <c r="E69">
        <v>5</v>
      </c>
      <c r="I69">
        <v>844</v>
      </c>
      <c r="J69">
        <v>5</v>
      </c>
      <c r="K69">
        <v>34</v>
      </c>
      <c r="Q69">
        <v>343946</v>
      </c>
    </row>
    <row r="70" spans="3:17" x14ac:dyDescent="0.25">
      <c r="C70">
        <v>5</v>
      </c>
      <c r="D70">
        <v>99</v>
      </c>
      <c r="E70">
        <v>1.2</v>
      </c>
      <c r="I70">
        <v>200</v>
      </c>
      <c r="Q70">
        <v>46482</v>
      </c>
    </row>
    <row r="71" spans="3:17" x14ac:dyDescent="0.25">
      <c r="C71">
        <v>5</v>
      </c>
      <c r="D71">
        <v>100</v>
      </c>
      <c r="E71">
        <v>0.6</v>
      </c>
      <c r="I71">
        <v>104</v>
      </c>
      <c r="Q71">
        <v>26172</v>
      </c>
    </row>
    <row r="72" spans="3:17" x14ac:dyDescent="0.25">
      <c r="C72">
        <v>5</v>
      </c>
      <c r="D72">
        <v>101</v>
      </c>
      <c r="E72">
        <v>3.2</v>
      </c>
      <c r="I72">
        <v>540</v>
      </c>
      <c r="J72">
        <v>5</v>
      </c>
      <c r="K72">
        <v>34</v>
      </c>
      <c r="Q72">
        <v>271292</v>
      </c>
    </row>
    <row r="73" spans="3:17" x14ac:dyDescent="0.25">
      <c r="C73">
        <v>5</v>
      </c>
      <c r="D73" t="s">
        <v>1192</v>
      </c>
      <c r="E73">
        <v>10.55</v>
      </c>
      <c r="I73">
        <v>1669.2</v>
      </c>
      <c r="L73">
        <v>26</v>
      </c>
      <c r="Q73">
        <v>487953</v>
      </c>
    </row>
    <row r="74" spans="3:17" x14ac:dyDescent="0.25">
      <c r="C74">
        <v>5</v>
      </c>
      <c r="D74">
        <v>526</v>
      </c>
      <c r="E74">
        <v>10.5</v>
      </c>
      <c r="I74">
        <v>1660.8</v>
      </c>
      <c r="Q74">
        <v>482804</v>
      </c>
    </row>
    <row r="75" spans="3:17" x14ac:dyDescent="0.25">
      <c r="C75">
        <v>5</v>
      </c>
      <c r="D75">
        <v>746</v>
      </c>
      <c r="E75">
        <v>0.05</v>
      </c>
      <c r="I75">
        <v>8.4</v>
      </c>
      <c r="L75">
        <v>26</v>
      </c>
      <c r="Q75">
        <v>5149</v>
      </c>
    </row>
    <row r="76" spans="3:17" x14ac:dyDescent="0.25">
      <c r="C76">
        <v>5</v>
      </c>
      <c r="D76" t="s">
        <v>1193</v>
      </c>
      <c r="E76">
        <v>8.8000000000000007</v>
      </c>
      <c r="I76">
        <v>1344</v>
      </c>
      <c r="K76">
        <v>16</v>
      </c>
      <c r="Q76">
        <v>327569</v>
      </c>
    </row>
    <row r="77" spans="3:17" x14ac:dyDescent="0.25">
      <c r="C77">
        <v>5</v>
      </c>
      <c r="D77">
        <v>304</v>
      </c>
      <c r="E77">
        <v>0.8</v>
      </c>
      <c r="I77">
        <v>136</v>
      </c>
      <c r="K77">
        <v>16</v>
      </c>
      <c r="Q77">
        <v>39677</v>
      </c>
    </row>
    <row r="78" spans="3:17" x14ac:dyDescent="0.25">
      <c r="C78">
        <v>5</v>
      </c>
      <c r="D78">
        <v>305</v>
      </c>
      <c r="E78">
        <v>1</v>
      </c>
      <c r="I78">
        <v>168</v>
      </c>
      <c r="Q78">
        <v>59620</v>
      </c>
    </row>
    <row r="79" spans="3:17" x14ac:dyDescent="0.25">
      <c r="C79">
        <v>5</v>
      </c>
      <c r="D79">
        <v>310</v>
      </c>
      <c r="E79">
        <v>1</v>
      </c>
      <c r="I79">
        <v>168</v>
      </c>
      <c r="Q79">
        <v>40400</v>
      </c>
    </row>
    <row r="80" spans="3:17" x14ac:dyDescent="0.25">
      <c r="C80">
        <v>5</v>
      </c>
      <c r="D80">
        <v>409</v>
      </c>
      <c r="E80">
        <v>5</v>
      </c>
      <c r="I80">
        <v>832</v>
      </c>
      <c r="Q80">
        <v>182307</v>
      </c>
    </row>
    <row r="81" spans="3:17" x14ac:dyDescent="0.25">
      <c r="C81">
        <v>5</v>
      </c>
      <c r="D81">
        <v>642</v>
      </c>
      <c r="E81">
        <v>1</v>
      </c>
      <c r="I81">
        <v>40</v>
      </c>
      <c r="Q81">
        <v>5565</v>
      </c>
    </row>
    <row r="82" spans="3:17" x14ac:dyDescent="0.25">
      <c r="C82">
        <v>5</v>
      </c>
      <c r="D82" t="s">
        <v>1194</v>
      </c>
      <c r="E82">
        <v>1.8</v>
      </c>
      <c r="I82">
        <v>298.39999999999998</v>
      </c>
      <c r="Q82">
        <v>55943</v>
      </c>
    </row>
    <row r="83" spans="3:17" x14ac:dyDescent="0.25">
      <c r="C83">
        <v>5</v>
      </c>
      <c r="D83">
        <v>30</v>
      </c>
      <c r="E83">
        <v>1.8</v>
      </c>
      <c r="I83">
        <v>298.39999999999998</v>
      </c>
      <c r="Q83">
        <v>55943</v>
      </c>
    </row>
    <row r="84" spans="3:17" x14ac:dyDescent="0.25">
      <c r="C84" t="s">
        <v>1199</v>
      </c>
      <c r="E84">
        <v>26.150000000000002</v>
      </c>
      <c r="I84">
        <v>4155.6000000000004</v>
      </c>
      <c r="J84">
        <v>5</v>
      </c>
      <c r="K84">
        <v>50</v>
      </c>
      <c r="L84">
        <v>26</v>
      </c>
      <c r="Q84">
        <v>1215411</v>
      </c>
    </row>
    <row r="85" spans="3:17" x14ac:dyDescent="0.25">
      <c r="C85">
        <v>6</v>
      </c>
      <c r="D85" t="s">
        <v>215</v>
      </c>
      <c r="E85">
        <v>5</v>
      </c>
      <c r="I85">
        <v>872</v>
      </c>
      <c r="K85">
        <v>30</v>
      </c>
      <c r="Q85">
        <v>343461</v>
      </c>
    </row>
    <row r="86" spans="3:17" x14ac:dyDescent="0.25">
      <c r="C86">
        <v>6</v>
      </c>
      <c r="D86">
        <v>99</v>
      </c>
      <c r="E86">
        <v>1.2</v>
      </c>
      <c r="I86">
        <v>208</v>
      </c>
      <c r="Q86">
        <v>46631</v>
      </c>
    </row>
    <row r="87" spans="3:17" x14ac:dyDescent="0.25">
      <c r="C87">
        <v>6</v>
      </c>
      <c r="D87">
        <v>100</v>
      </c>
      <c r="E87">
        <v>0.6</v>
      </c>
      <c r="I87">
        <v>112</v>
      </c>
      <c r="Q87">
        <v>26172</v>
      </c>
    </row>
    <row r="88" spans="3:17" x14ac:dyDescent="0.25">
      <c r="C88">
        <v>6</v>
      </c>
      <c r="D88">
        <v>101</v>
      </c>
      <c r="E88">
        <v>3.2</v>
      </c>
      <c r="I88">
        <v>552</v>
      </c>
      <c r="K88">
        <v>30</v>
      </c>
      <c r="Q88">
        <v>270658</v>
      </c>
    </row>
    <row r="89" spans="3:17" x14ac:dyDescent="0.25">
      <c r="C89">
        <v>6</v>
      </c>
      <c r="D89" t="s">
        <v>1192</v>
      </c>
      <c r="E89">
        <v>10.55</v>
      </c>
      <c r="I89">
        <v>1623.2</v>
      </c>
      <c r="L89">
        <v>70</v>
      </c>
      <c r="Q89">
        <v>479645</v>
      </c>
    </row>
    <row r="90" spans="3:17" x14ac:dyDescent="0.25">
      <c r="C90">
        <v>6</v>
      </c>
      <c r="D90">
        <v>526</v>
      </c>
      <c r="E90">
        <v>10.5</v>
      </c>
      <c r="I90">
        <v>1614.4</v>
      </c>
      <c r="Q90">
        <v>464396</v>
      </c>
    </row>
    <row r="91" spans="3:17" x14ac:dyDescent="0.25">
      <c r="C91">
        <v>6</v>
      </c>
      <c r="D91">
        <v>746</v>
      </c>
      <c r="E91">
        <v>0.05</v>
      </c>
      <c r="I91">
        <v>8.8000000000000007</v>
      </c>
      <c r="L91">
        <v>70</v>
      </c>
      <c r="Q91">
        <v>15249</v>
      </c>
    </row>
    <row r="92" spans="3:17" x14ac:dyDescent="0.25">
      <c r="C92">
        <v>6</v>
      </c>
      <c r="D92" t="s">
        <v>1193</v>
      </c>
      <c r="E92">
        <v>8.8000000000000007</v>
      </c>
      <c r="I92">
        <v>1428</v>
      </c>
      <c r="K92">
        <v>15</v>
      </c>
      <c r="Q92">
        <v>347234</v>
      </c>
    </row>
    <row r="93" spans="3:17" x14ac:dyDescent="0.25">
      <c r="C93">
        <v>6</v>
      </c>
      <c r="D93">
        <v>304</v>
      </c>
      <c r="E93">
        <v>0.8</v>
      </c>
      <c r="I93">
        <v>120</v>
      </c>
      <c r="K93">
        <v>15</v>
      </c>
      <c r="Q93">
        <v>39494</v>
      </c>
    </row>
    <row r="94" spans="3:17" x14ac:dyDescent="0.25">
      <c r="C94">
        <v>6</v>
      </c>
      <c r="D94">
        <v>305</v>
      </c>
      <c r="E94">
        <v>1</v>
      </c>
      <c r="I94">
        <v>176</v>
      </c>
      <c r="Q94">
        <v>59620</v>
      </c>
    </row>
    <row r="95" spans="3:17" x14ac:dyDescent="0.25">
      <c r="C95">
        <v>6</v>
      </c>
      <c r="D95">
        <v>310</v>
      </c>
      <c r="E95">
        <v>1</v>
      </c>
      <c r="I95">
        <v>144</v>
      </c>
      <c r="Q95">
        <v>40898</v>
      </c>
    </row>
    <row r="96" spans="3:17" x14ac:dyDescent="0.25">
      <c r="C96">
        <v>6</v>
      </c>
      <c r="D96">
        <v>409</v>
      </c>
      <c r="E96">
        <v>5</v>
      </c>
      <c r="I96">
        <v>824</v>
      </c>
      <c r="Q96">
        <v>183740</v>
      </c>
    </row>
    <row r="97" spans="3:17" x14ac:dyDescent="0.25">
      <c r="C97">
        <v>6</v>
      </c>
      <c r="D97">
        <v>642</v>
      </c>
      <c r="E97">
        <v>1</v>
      </c>
      <c r="I97">
        <v>164</v>
      </c>
      <c r="Q97">
        <v>23482</v>
      </c>
    </row>
    <row r="98" spans="3:17" x14ac:dyDescent="0.25">
      <c r="C98">
        <v>6</v>
      </c>
      <c r="D98" t="s">
        <v>1194</v>
      </c>
      <c r="E98">
        <v>1.8</v>
      </c>
      <c r="I98">
        <v>282.39999999999998</v>
      </c>
      <c r="Q98">
        <v>56287</v>
      </c>
    </row>
    <row r="99" spans="3:17" x14ac:dyDescent="0.25">
      <c r="C99">
        <v>6</v>
      </c>
      <c r="D99">
        <v>30</v>
      </c>
      <c r="E99">
        <v>1.8</v>
      </c>
      <c r="I99">
        <v>282.39999999999998</v>
      </c>
      <c r="Q99">
        <v>56287</v>
      </c>
    </row>
    <row r="100" spans="3:17" x14ac:dyDescent="0.25">
      <c r="C100" t="s">
        <v>1200</v>
      </c>
      <c r="E100">
        <v>26.150000000000002</v>
      </c>
      <c r="I100">
        <v>4205.6000000000004</v>
      </c>
      <c r="K100">
        <v>45</v>
      </c>
      <c r="L100">
        <v>70</v>
      </c>
      <c r="Q100">
        <v>1226627</v>
      </c>
    </row>
    <row r="101" spans="3:17" x14ac:dyDescent="0.25">
      <c r="C101">
        <v>7</v>
      </c>
      <c r="D101" t="s">
        <v>215</v>
      </c>
      <c r="E101">
        <v>5</v>
      </c>
      <c r="I101">
        <v>740</v>
      </c>
      <c r="J101">
        <v>50</v>
      </c>
      <c r="K101">
        <v>32</v>
      </c>
      <c r="O101">
        <v>412939</v>
      </c>
      <c r="P101">
        <v>412939</v>
      </c>
      <c r="Q101">
        <v>808977</v>
      </c>
    </row>
    <row r="102" spans="3:17" x14ac:dyDescent="0.25">
      <c r="C102">
        <v>7</v>
      </c>
      <c r="D102">
        <v>99</v>
      </c>
      <c r="E102">
        <v>1.2</v>
      </c>
      <c r="I102">
        <v>168</v>
      </c>
      <c r="O102">
        <v>12377</v>
      </c>
      <c r="P102">
        <v>12377</v>
      </c>
      <c r="Q102">
        <v>59193</v>
      </c>
    </row>
    <row r="103" spans="3:17" x14ac:dyDescent="0.25">
      <c r="C103">
        <v>7</v>
      </c>
      <c r="D103">
        <v>100</v>
      </c>
      <c r="E103">
        <v>0.6</v>
      </c>
      <c r="I103">
        <v>88</v>
      </c>
      <c r="O103">
        <v>13443</v>
      </c>
      <c r="P103">
        <v>13443</v>
      </c>
      <c r="Q103">
        <v>39615</v>
      </c>
    </row>
    <row r="104" spans="3:17" x14ac:dyDescent="0.25">
      <c r="C104">
        <v>7</v>
      </c>
      <c r="D104">
        <v>101</v>
      </c>
      <c r="E104">
        <v>3.2</v>
      </c>
      <c r="I104">
        <v>484</v>
      </c>
      <c r="J104">
        <v>50</v>
      </c>
      <c r="K104">
        <v>32</v>
      </c>
      <c r="O104">
        <v>387119</v>
      </c>
      <c r="P104">
        <v>387119</v>
      </c>
      <c r="Q104">
        <v>710169</v>
      </c>
    </row>
    <row r="105" spans="3:17" x14ac:dyDescent="0.25">
      <c r="C105">
        <v>7</v>
      </c>
      <c r="D105" t="s">
        <v>1192</v>
      </c>
      <c r="E105">
        <v>10.55</v>
      </c>
      <c r="I105">
        <v>1436.4</v>
      </c>
      <c r="L105">
        <v>96</v>
      </c>
      <c r="O105">
        <v>248130</v>
      </c>
      <c r="P105">
        <v>248130</v>
      </c>
      <c r="Q105">
        <v>731468</v>
      </c>
    </row>
    <row r="106" spans="3:17" x14ac:dyDescent="0.25">
      <c r="C106">
        <v>7</v>
      </c>
      <c r="D106">
        <v>526</v>
      </c>
      <c r="E106">
        <v>10.5</v>
      </c>
      <c r="I106">
        <v>1428</v>
      </c>
      <c r="O106">
        <v>245216</v>
      </c>
      <c r="P106">
        <v>245216</v>
      </c>
      <c r="Q106">
        <v>708098</v>
      </c>
    </row>
    <row r="107" spans="3:17" x14ac:dyDescent="0.25">
      <c r="C107">
        <v>7</v>
      </c>
      <c r="D107">
        <v>746</v>
      </c>
      <c r="E107">
        <v>0.05</v>
      </c>
      <c r="I107">
        <v>8.4</v>
      </c>
      <c r="L107">
        <v>96</v>
      </c>
      <c r="O107">
        <v>2914</v>
      </c>
      <c r="P107">
        <v>2914</v>
      </c>
      <c r="Q107">
        <v>23370</v>
      </c>
    </row>
    <row r="108" spans="3:17" x14ac:dyDescent="0.25">
      <c r="C108">
        <v>7</v>
      </c>
      <c r="D108" t="s">
        <v>1193</v>
      </c>
      <c r="E108">
        <v>8.8000000000000007</v>
      </c>
      <c r="I108">
        <v>1064</v>
      </c>
      <c r="O108">
        <v>127875</v>
      </c>
      <c r="P108">
        <v>127875</v>
      </c>
      <c r="Q108">
        <v>481652</v>
      </c>
    </row>
    <row r="109" spans="3:17" x14ac:dyDescent="0.25">
      <c r="C109">
        <v>7</v>
      </c>
      <c r="D109">
        <v>304</v>
      </c>
      <c r="E109">
        <v>0.8</v>
      </c>
      <c r="I109">
        <v>116</v>
      </c>
      <c r="O109">
        <v>11320</v>
      </c>
      <c r="P109">
        <v>11320</v>
      </c>
      <c r="Q109">
        <v>47633</v>
      </c>
    </row>
    <row r="110" spans="3:17" x14ac:dyDescent="0.25">
      <c r="C110">
        <v>7</v>
      </c>
      <c r="D110">
        <v>305</v>
      </c>
      <c r="E110">
        <v>1</v>
      </c>
      <c r="I110">
        <v>144</v>
      </c>
      <c r="O110">
        <v>31034</v>
      </c>
      <c r="P110">
        <v>31034</v>
      </c>
      <c r="Q110">
        <v>91598</v>
      </c>
    </row>
    <row r="111" spans="3:17" x14ac:dyDescent="0.25">
      <c r="C111">
        <v>7</v>
      </c>
      <c r="D111">
        <v>310</v>
      </c>
      <c r="E111">
        <v>1</v>
      </c>
      <c r="I111">
        <v>136</v>
      </c>
      <c r="O111">
        <v>13522</v>
      </c>
      <c r="P111">
        <v>13522</v>
      </c>
      <c r="Q111">
        <v>54783</v>
      </c>
    </row>
    <row r="112" spans="3:17" x14ac:dyDescent="0.25">
      <c r="C112">
        <v>7</v>
      </c>
      <c r="D112">
        <v>409</v>
      </c>
      <c r="E112">
        <v>5</v>
      </c>
      <c r="I112">
        <v>548</v>
      </c>
      <c r="O112">
        <v>64280</v>
      </c>
      <c r="P112">
        <v>64280</v>
      </c>
      <c r="Q112">
        <v>256100</v>
      </c>
    </row>
    <row r="113" spans="3:17" x14ac:dyDescent="0.25">
      <c r="C113">
        <v>7</v>
      </c>
      <c r="D113">
        <v>642</v>
      </c>
      <c r="E113">
        <v>1</v>
      </c>
      <c r="I113">
        <v>120</v>
      </c>
      <c r="O113">
        <v>7719</v>
      </c>
      <c r="P113">
        <v>7719</v>
      </c>
      <c r="Q113">
        <v>31538</v>
      </c>
    </row>
    <row r="114" spans="3:17" x14ac:dyDescent="0.25">
      <c r="C114">
        <v>7</v>
      </c>
      <c r="D114" t="s">
        <v>1194</v>
      </c>
      <c r="E114">
        <v>1.8</v>
      </c>
      <c r="I114">
        <v>287.2</v>
      </c>
      <c r="O114">
        <v>15039</v>
      </c>
      <c r="P114">
        <v>15039</v>
      </c>
      <c r="Q114">
        <v>72175</v>
      </c>
    </row>
    <row r="115" spans="3:17" x14ac:dyDescent="0.25">
      <c r="C115">
        <v>7</v>
      </c>
      <c r="D115">
        <v>30</v>
      </c>
      <c r="E115">
        <v>1.8</v>
      </c>
      <c r="I115">
        <v>287.2</v>
      </c>
      <c r="O115">
        <v>15039</v>
      </c>
      <c r="P115">
        <v>15039</v>
      </c>
      <c r="Q115">
        <v>72175</v>
      </c>
    </row>
    <row r="116" spans="3:17" x14ac:dyDescent="0.25">
      <c r="C116" t="s">
        <v>1201</v>
      </c>
      <c r="E116">
        <v>26.150000000000002</v>
      </c>
      <c r="I116">
        <v>3527.6</v>
      </c>
      <c r="J116">
        <v>50</v>
      </c>
      <c r="K116">
        <v>32</v>
      </c>
      <c r="L116">
        <v>96</v>
      </c>
      <c r="O116">
        <v>803983</v>
      </c>
      <c r="P116">
        <v>803983</v>
      </c>
      <c r="Q116">
        <v>2094272</v>
      </c>
    </row>
    <row r="117" spans="3:17" x14ac:dyDescent="0.25">
      <c r="C117">
        <v>8</v>
      </c>
      <c r="D117" t="s">
        <v>215</v>
      </c>
      <c r="E117">
        <v>6</v>
      </c>
      <c r="I117">
        <v>712</v>
      </c>
      <c r="K117">
        <v>6</v>
      </c>
      <c r="Q117">
        <v>333911</v>
      </c>
    </row>
    <row r="118" spans="3:17" x14ac:dyDescent="0.25">
      <c r="C118">
        <v>8</v>
      </c>
      <c r="D118">
        <v>99</v>
      </c>
      <c r="E118">
        <v>2.2000000000000002</v>
      </c>
      <c r="I118">
        <v>296</v>
      </c>
      <c r="Q118">
        <v>81237</v>
      </c>
    </row>
    <row r="119" spans="3:17" x14ac:dyDescent="0.25">
      <c r="C119">
        <v>8</v>
      </c>
      <c r="D119">
        <v>100</v>
      </c>
      <c r="E119">
        <v>0.6</v>
      </c>
      <c r="I119">
        <v>56</v>
      </c>
      <c r="Q119">
        <v>26540</v>
      </c>
    </row>
    <row r="120" spans="3:17" x14ac:dyDescent="0.25">
      <c r="C120">
        <v>8</v>
      </c>
      <c r="D120">
        <v>101</v>
      </c>
      <c r="E120">
        <v>3.2</v>
      </c>
      <c r="I120">
        <v>360</v>
      </c>
      <c r="K120">
        <v>6</v>
      </c>
      <c r="Q120">
        <v>226134</v>
      </c>
    </row>
    <row r="121" spans="3:17" x14ac:dyDescent="0.25">
      <c r="C121">
        <v>8</v>
      </c>
      <c r="D121" t="s">
        <v>1192</v>
      </c>
      <c r="E121">
        <v>10.6</v>
      </c>
      <c r="I121">
        <v>1192.75</v>
      </c>
      <c r="K121">
        <v>95.25</v>
      </c>
      <c r="Q121">
        <v>492757</v>
      </c>
    </row>
    <row r="122" spans="3:17" x14ac:dyDescent="0.25">
      <c r="C122">
        <v>8</v>
      </c>
      <c r="D122">
        <v>526</v>
      </c>
      <c r="E122">
        <v>10.5</v>
      </c>
      <c r="I122">
        <v>1177.5999999999999</v>
      </c>
      <c r="Q122">
        <v>458966</v>
      </c>
    </row>
    <row r="123" spans="3:17" x14ac:dyDescent="0.25">
      <c r="C123">
        <v>8</v>
      </c>
      <c r="D123">
        <v>746</v>
      </c>
      <c r="E123">
        <v>0.1</v>
      </c>
      <c r="I123">
        <v>15.15</v>
      </c>
      <c r="K123">
        <v>95.25</v>
      </c>
      <c r="Q123">
        <v>33791</v>
      </c>
    </row>
    <row r="124" spans="3:17" x14ac:dyDescent="0.25">
      <c r="C124">
        <v>8</v>
      </c>
      <c r="D124" t="s">
        <v>1193</v>
      </c>
      <c r="E124">
        <v>8.8000000000000007</v>
      </c>
      <c r="I124">
        <v>1020</v>
      </c>
      <c r="O124">
        <v>12500</v>
      </c>
      <c r="P124">
        <v>12500</v>
      </c>
      <c r="Q124">
        <v>342595</v>
      </c>
    </row>
    <row r="125" spans="3:17" x14ac:dyDescent="0.25">
      <c r="C125">
        <v>8</v>
      </c>
      <c r="D125">
        <v>304</v>
      </c>
      <c r="E125">
        <v>0.8</v>
      </c>
      <c r="I125">
        <v>92</v>
      </c>
      <c r="Q125">
        <v>34987</v>
      </c>
    </row>
    <row r="126" spans="3:17" x14ac:dyDescent="0.25">
      <c r="C126">
        <v>8</v>
      </c>
      <c r="D126">
        <v>305</v>
      </c>
      <c r="E126">
        <v>1</v>
      </c>
      <c r="I126">
        <v>120</v>
      </c>
      <c r="Q126">
        <v>59271</v>
      </c>
    </row>
    <row r="127" spans="3:17" x14ac:dyDescent="0.25">
      <c r="C127">
        <v>8</v>
      </c>
      <c r="D127">
        <v>310</v>
      </c>
      <c r="E127">
        <v>1</v>
      </c>
      <c r="I127">
        <v>152</v>
      </c>
      <c r="Q127">
        <v>40353</v>
      </c>
    </row>
    <row r="128" spans="3:17" x14ac:dyDescent="0.25">
      <c r="C128">
        <v>8</v>
      </c>
      <c r="D128">
        <v>409</v>
      </c>
      <c r="E128">
        <v>5</v>
      </c>
      <c r="I128">
        <v>552</v>
      </c>
      <c r="O128">
        <v>12500</v>
      </c>
      <c r="P128">
        <v>12500</v>
      </c>
      <c r="Q128">
        <v>184938</v>
      </c>
    </row>
    <row r="129" spans="3:17" x14ac:dyDescent="0.25">
      <c r="C129">
        <v>8</v>
      </c>
      <c r="D129">
        <v>642</v>
      </c>
      <c r="E129">
        <v>1</v>
      </c>
      <c r="I129">
        <v>104</v>
      </c>
      <c r="Q129">
        <v>23046</v>
      </c>
    </row>
    <row r="130" spans="3:17" x14ac:dyDescent="0.25">
      <c r="C130">
        <v>8</v>
      </c>
      <c r="D130" t="s">
        <v>1194</v>
      </c>
      <c r="E130">
        <v>1.8</v>
      </c>
      <c r="I130">
        <v>209.6</v>
      </c>
      <c r="Q130">
        <v>56017</v>
      </c>
    </row>
    <row r="131" spans="3:17" x14ac:dyDescent="0.25">
      <c r="C131">
        <v>8</v>
      </c>
      <c r="D131">
        <v>30</v>
      </c>
      <c r="E131">
        <v>1.8</v>
      </c>
      <c r="I131">
        <v>209.6</v>
      </c>
      <c r="Q131">
        <v>56017</v>
      </c>
    </row>
    <row r="132" spans="3:17" x14ac:dyDescent="0.25">
      <c r="C132" t="s">
        <v>1202</v>
      </c>
      <c r="E132">
        <v>27.200000000000003</v>
      </c>
      <c r="I132">
        <v>3134.35</v>
      </c>
      <c r="K132">
        <v>101.25</v>
      </c>
      <c r="O132">
        <v>12500</v>
      </c>
      <c r="P132">
        <v>12500</v>
      </c>
      <c r="Q132">
        <v>1225280</v>
      </c>
    </row>
    <row r="133" spans="3:17" x14ac:dyDescent="0.25">
      <c r="C133">
        <v>9</v>
      </c>
      <c r="D133" t="s">
        <v>215</v>
      </c>
      <c r="E133">
        <v>6</v>
      </c>
      <c r="I133">
        <v>938</v>
      </c>
      <c r="J133">
        <v>10</v>
      </c>
      <c r="K133">
        <v>10</v>
      </c>
      <c r="Q133">
        <v>367645</v>
      </c>
    </row>
    <row r="134" spans="3:17" x14ac:dyDescent="0.25">
      <c r="C134">
        <v>9</v>
      </c>
      <c r="D134">
        <v>99</v>
      </c>
      <c r="E134">
        <v>2.2000000000000002</v>
      </c>
      <c r="I134">
        <v>360</v>
      </c>
      <c r="Q134">
        <v>82566</v>
      </c>
    </row>
    <row r="135" spans="3:17" x14ac:dyDescent="0.25">
      <c r="C135">
        <v>9</v>
      </c>
      <c r="D135">
        <v>100</v>
      </c>
      <c r="E135">
        <v>0.6</v>
      </c>
      <c r="I135">
        <v>80</v>
      </c>
      <c r="Q135">
        <v>26699</v>
      </c>
    </row>
    <row r="136" spans="3:17" x14ac:dyDescent="0.25">
      <c r="C136">
        <v>9</v>
      </c>
      <c r="D136">
        <v>101</v>
      </c>
      <c r="E136">
        <v>3.2</v>
      </c>
      <c r="I136">
        <v>498</v>
      </c>
      <c r="J136">
        <v>10</v>
      </c>
      <c r="K136">
        <v>10</v>
      </c>
      <c r="Q136">
        <v>258380</v>
      </c>
    </row>
    <row r="137" spans="3:17" x14ac:dyDescent="0.25">
      <c r="C137">
        <v>9</v>
      </c>
      <c r="D137" t="s">
        <v>1192</v>
      </c>
      <c r="E137">
        <v>11.1</v>
      </c>
      <c r="I137">
        <v>1411.25</v>
      </c>
      <c r="Q137">
        <v>446265</v>
      </c>
    </row>
    <row r="138" spans="3:17" x14ac:dyDescent="0.25">
      <c r="C138">
        <v>9</v>
      </c>
      <c r="D138">
        <v>526</v>
      </c>
      <c r="E138">
        <v>11</v>
      </c>
      <c r="I138">
        <v>1395.2</v>
      </c>
      <c r="Q138">
        <v>442244</v>
      </c>
    </row>
    <row r="139" spans="3:17" x14ac:dyDescent="0.25">
      <c r="C139">
        <v>9</v>
      </c>
      <c r="D139">
        <v>746</v>
      </c>
      <c r="E139">
        <v>0.1</v>
      </c>
      <c r="I139">
        <v>16.05</v>
      </c>
      <c r="Q139">
        <v>4021</v>
      </c>
    </row>
    <row r="140" spans="3:17" x14ac:dyDescent="0.25">
      <c r="C140">
        <v>9</v>
      </c>
      <c r="D140" t="s">
        <v>1193</v>
      </c>
      <c r="E140">
        <v>8.8000000000000007</v>
      </c>
      <c r="I140">
        <v>1400</v>
      </c>
      <c r="K140">
        <v>13</v>
      </c>
      <c r="Q140">
        <v>342346</v>
      </c>
    </row>
    <row r="141" spans="3:17" x14ac:dyDescent="0.25">
      <c r="C141">
        <v>9</v>
      </c>
      <c r="D141">
        <v>304</v>
      </c>
      <c r="E141">
        <v>0.8</v>
      </c>
      <c r="I141">
        <v>140</v>
      </c>
      <c r="K141">
        <v>13</v>
      </c>
      <c r="Q141">
        <v>38797</v>
      </c>
    </row>
    <row r="142" spans="3:17" x14ac:dyDescent="0.25">
      <c r="C142">
        <v>9</v>
      </c>
      <c r="D142">
        <v>305</v>
      </c>
      <c r="E142">
        <v>1</v>
      </c>
      <c r="I142">
        <v>176</v>
      </c>
      <c r="Q142">
        <v>59620</v>
      </c>
    </row>
    <row r="143" spans="3:17" x14ac:dyDescent="0.25">
      <c r="C143">
        <v>9</v>
      </c>
      <c r="D143">
        <v>310</v>
      </c>
      <c r="E143">
        <v>1</v>
      </c>
      <c r="I143">
        <v>128</v>
      </c>
      <c r="Q143">
        <v>40783</v>
      </c>
    </row>
    <row r="144" spans="3:17" x14ac:dyDescent="0.25">
      <c r="C144">
        <v>9</v>
      </c>
      <c r="D144">
        <v>409</v>
      </c>
      <c r="E144">
        <v>5</v>
      </c>
      <c r="I144">
        <v>828</v>
      </c>
      <c r="Q144">
        <v>185077</v>
      </c>
    </row>
    <row r="145" spans="3:17" x14ac:dyDescent="0.25">
      <c r="C145">
        <v>9</v>
      </c>
      <c r="D145">
        <v>642</v>
      </c>
      <c r="E145">
        <v>1</v>
      </c>
      <c r="I145">
        <v>128</v>
      </c>
      <c r="Q145">
        <v>18069</v>
      </c>
    </row>
    <row r="146" spans="3:17" x14ac:dyDescent="0.25">
      <c r="C146">
        <v>9</v>
      </c>
      <c r="D146" t="s">
        <v>1194</v>
      </c>
      <c r="E146">
        <v>1.8</v>
      </c>
      <c r="I146">
        <v>284.8</v>
      </c>
      <c r="Q146">
        <v>56640</v>
      </c>
    </row>
    <row r="147" spans="3:17" x14ac:dyDescent="0.25">
      <c r="C147">
        <v>9</v>
      </c>
      <c r="D147">
        <v>30</v>
      </c>
      <c r="E147">
        <v>1.8</v>
      </c>
      <c r="I147">
        <v>284.8</v>
      </c>
      <c r="Q147">
        <v>56640</v>
      </c>
    </row>
    <row r="148" spans="3:17" x14ac:dyDescent="0.25">
      <c r="C148" t="s">
        <v>1203</v>
      </c>
      <c r="E148">
        <v>27.700000000000003</v>
      </c>
      <c r="I148">
        <v>4034.05</v>
      </c>
      <c r="J148">
        <v>10</v>
      </c>
      <c r="K148">
        <v>23</v>
      </c>
      <c r="Q148">
        <v>1212896</v>
      </c>
    </row>
    <row r="149" spans="3:17" x14ac:dyDescent="0.25">
      <c r="C149">
        <v>10</v>
      </c>
      <c r="D149" t="s">
        <v>215</v>
      </c>
      <c r="E149">
        <v>6.1</v>
      </c>
      <c r="I149">
        <v>998</v>
      </c>
      <c r="J149">
        <v>10</v>
      </c>
      <c r="K149">
        <v>48</v>
      </c>
      <c r="L149">
        <v>7</v>
      </c>
      <c r="Q149">
        <v>693995</v>
      </c>
    </row>
    <row r="150" spans="3:17" x14ac:dyDescent="0.25">
      <c r="C150">
        <v>10</v>
      </c>
      <c r="D150">
        <v>99</v>
      </c>
      <c r="E150">
        <v>2</v>
      </c>
      <c r="I150">
        <v>344</v>
      </c>
      <c r="L150">
        <v>7</v>
      </c>
      <c r="Q150">
        <v>156893</v>
      </c>
    </row>
    <row r="151" spans="3:17" x14ac:dyDescent="0.25">
      <c r="C151">
        <v>10</v>
      </c>
      <c r="D151">
        <v>100</v>
      </c>
      <c r="E151">
        <v>0.8</v>
      </c>
      <c r="I151">
        <v>136</v>
      </c>
      <c r="Q151">
        <v>72398</v>
      </c>
    </row>
    <row r="152" spans="3:17" x14ac:dyDescent="0.25">
      <c r="C152">
        <v>10</v>
      </c>
      <c r="D152">
        <v>101</v>
      </c>
      <c r="E152">
        <v>3.3</v>
      </c>
      <c r="I152">
        <v>518</v>
      </c>
      <c r="J152">
        <v>10</v>
      </c>
      <c r="K152">
        <v>48</v>
      </c>
      <c r="Q152">
        <v>464704</v>
      </c>
    </row>
    <row r="153" spans="3:17" x14ac:dyDescent="0.25">
      <c r="C153">
        <v>10</v>
      </c>
      <c r="D153" t="s">
        <v>1192</v>
      </c>
      <c r="E153">
        <v>11.1</v>
      </c>
      <c r="I153">
        <v>1615.2</v>
      </c>
      <c r="K153">
        <v>167.5</v>
      </c>
      <c r="L153">
        <v>1</v>
      </c>
      <c r="Q153">
        <v>1207291</v>
      </c>
    </row>
    <row r="154" spans="3:17" x14ac:dyDescent="0.25">
      <c r="C154">
        <v>10</v>
      </c>
      <c r="D154">
        <v>526</v>
      </c>
      <c r="E154">
        <v>11</v>
      </c>
      <c r="I154">
        <v>1599.2</v>
      </c>
      <c r="Q154">
        <v>1132354</v>
      </c>
    </row>
    <row r="155" spans="3:17" x14ac:dyDescent="0.25">
      <c r="C155">
        <v>10</v>
      </c>
      <c r="D155">
        <v>746</v>
      </c>
      <c r="E155">
        <v>0.1</v>
      </c>
      <c r="I155">
        <v>16</v>
      </c>
      <c r="K155">
        <v>167.5</v>
      </c>
      <c r="L155">
        <v>1</v>
      </c>
      <c r="Q155">
        <v>74937</v>
      </c>
    </row>
    <row r="156" spans="3:17" x14ac:dyDescent="0.25">
      <c r="C156">
        <v>10</v>
      </c>
      <c r="D156" t="s">
        <v>1193</v>
      </c>
      <c r="E156">
        <v>8.8000000000000007</v>
      </c>
      <c r="I156">
        <v>1372</v>
      </c>
      <c r="K156">
        <v>20.5</v>
      </c>
      <c r="Q156">
        <v>834995</v>
      </c>
    </row>
    <row r="157" spans="3:17" x14ac:dyDescent="0.25">
      <c r="C157">
        <v>10</v>
      </c>
      <c r="D157">
        <v>304</v>
      </c>
      <c r="E157">
        <v>0.8</v>
      </c>
      <c r="I157">
        <v>140</v>
      </c>
      <c r="K157">
        <v>20.5</v>
      </c>
      <c r="Q157">
        <v>90966</v>
      </c>
    </row>
    <row r="158" spans="3:17" x14ac:dyDescent="0.25">
      <c r="C158">
        <v>10</v>
      </c>
      <c r="D158">
        <v>305</v>
      </c>
      <c r="E158">
        <v>1</v>
      </c>
      <c r="I158">
        <v>128</v>
      </c>
      <c r="Q158">
        <v>132547</v>
      </c>
    </row>
    <row r="159" spans="3:17" x14ac:dyDescent="0.25">
      <c r="C159">
        <v>10</v>
      </c>
      <c r="D159">
        <v>310</v>
      </c>
      <c r="E159">
        <v>1</v>
      </c>
      <c r="I159">
        <v>176</v>
      </c>
      <c r="Q159">
        <v>109718</v>
      </c>
    </row>
    <row r="160" spans="3:17" x14ac:dyDescent="0.25">
      <c r="C160">
        <v>10</v>
      </c>
      <c r="D160">
        <v>409</v>
      </c>
      <c r="E160">
        <v>5</v>
      </c>
      <c r="I160">
        <v>848</v>
      </c>
      <c r="Q160">
        <v>464199</v>
      </c>
    </row>
    <row r="161" spans="3:17" x14ac:dyDescent="0.25">
      <c r="C161">
        <v>10</v>
      </c>
      <c r="D161">
        <v>642</v>
      </c>
      <c r="E161">
        <v>1</v>
      </c>
      <c r="I161">
        <v>80</v>
      </c>
      <c r="Q161">
        <v>37565</v>
      </c>
    </row>
    <row r="162" spans="3:17" x14ac:dyDescent="0.25">
      <c r="C162">
        <v>10</v>
      </c>
      <c r="D162" t="s">
        <v>1194</v>
      </c>
      <c r="E162">
        <v>1.8</v>
      </c>
      <c r="I162">
        <v>298.39999999999998</v>
      </c>
      <c r="Q162">
        <v>104155</v>
      </c>
    </row>
    <row r="163" spans="3:17" x14ac:dyDescent="0.25">
      <c r="C163">
        <v>10</v>
      </c>
      <c r="D163">
        <v>30</v>
      </c>
      <c r="E163">
        <v>1.8</v>
      </c>
      <c r="I163">
        <v>298.39999999999998</v>
      </c>
      <c r="Q163">
        <v>104155</v>
      </c>
    </row>
    <row r="164" spans="3:17" x14ac:dyDescent="0.25">
      <c r="C164" t="s">
        <v>1204</v>
      </c>
      <c r="E164">
        <v>27.800000000000004</v>
      </c>
      <c r="I164">
        <v>4283.5999999999995</v>
      </c>
      <c r="J164">
        <v>10</v>
      </c>
      <c r="K164">
        <v>236</v>
      </c>
      <c r="L164">
        <v>8</v>
      </c>
      <c r="Q164">
        <v>2840436</v>
      </c>
    </row>
    <row r="165" spans="3:17" x14ac:dyDescent="0.25">
      <c r="C165">
        <v>11</v>
      </c>
      <c r="D165" t="s">
        <v>215</v>
      </c>
      <c r="E165">
        <v>6.1</v>
      </c>
      <c r="I165">
        <v>1012</v>
      </c>
      <c r="J165">
        <v>10</v>
      </c>
      <c r="K165">
        <v>32</v>
      </c>
      <c r="L165">
        <v>9.5</v>
      </c>
      <c r="O165">
        <v>117381</v>
      </c>
      <c r="P165">
        <v>117381</v>
      </c>
      <c r="Q165">
        <v>539237</v>
      </c>
    </row>
    <row r="166" spans="3:17" x14ac:dyDescent="0.25">
      <c r="C166">
        <v>11</v>
      </c>
      <c r="D166">
        <v>99</v>
      </c>
      <c r="E166">
        <v>2</v>
      </c>
      <c r="I166">
        <v>328</v>
      </c>
      <c r="L166">
        <v>9.5</v>
      </c>
      <c r="O166">
        <v>26587</v>
      </c>
      <c r="P166">
        <v>26587</v>
      </c>
      <c r="Q166">
        <v>101990</v>
      </c>
    </row>
    <row r="167" spans="3:17" x14ac:dyDescent="0.25">
      <c r="C167">
        <v>11</v>
      </c>
      <c r="D167">
        <v>100</v>
      </c>
      <c r="E167">
        <v>0.8</v>
      </c>
      <c r="I167">
        <v>136</v>
      </c>
      <c r="O167">
        <v>22902</v>
      </c>
      <c r="P167">
        <v>22902</v>
      </c>
      <c r="Q167">
        <v>58710</v>
      </c>
    </row>
    <row r="168" spans="3:17" x14ac:dyDescent="0.25">
      <c r="C168">
        <v>11</v>
      </c>
      <c r="D168">
        <v>101</v>
      </c>
      <c r="E168">
        <v>3.3</v>
      </c>
      <c r="I168">
        <v>548</v>
      </c>
      <c r="J168">
        <v>10</v>
      </c>
      <c r="K168">
        <v>32</v>
      </c>
      <c r="O168">
        <v>67892</v>
      </c>
      <c r="P168">
        <v>67892</v>
      </c>
      <c r="Q168">
        <v>378537</v>
      </c>
    </row>
    <row r="169" spans="3:17" x14ac:dyDescent="0.25">
      <c r="C169">
        <v>11</v>
      </c>
      <c r="D169" t="s">
        <v>1192</v>
      </c>
      <c r="E169">
        <v>11.1</v>
      </c>
      <c r="I169">
        <v>1574.75</v>
      </c>
      <c r="K169">
        <v>63.25</v>
      </c>
      <c r="N169">
        <v>314000</v>
      </c>
      <c r="O169">
        <v>157862</v>
      </c>
      <c r="P169">
        <v>471862</v>
      </c>
      <c r="Q169">
        <v>969442</v>
      </c>
    </row>
    <row r="170" spans="3:17" x14ac:dyDescent="0.25">
      <c r="C170">
        <v>11</v>
      </c>
      <c r="D170">
        <v>526</v>
      </c>
      <c r="E170">
        <v>11</v>
      </c>
      <c r="I170">
        <v>1557.6</v>
      </c>
      <c r="N170">
        <v>314000</v>
      </c>
      <c r="O170">
        <v>152744</v>
      </c>
      <c r="P170">
        <v>466744</v>
      </c>
      <c r="Q170">
        <v>940118</v>
      </c>
    </row>
    <row r="171" spans="3:17" x14ac:dyDescent="0.25">
      <c r="C171">
        <v>11</v>
      </c>
      <c r="D171">
        <v>746</v>
      </c>
      <c r="E171">
        <v>0.1</v>
      </c>
      <c r="I171">
        <v>17.149999999999999</v>
      </c>
      <c r="K171">
        <v>63.25</v>
      </c>
      <c r="O171">
        <v>5118</v>
      </c>
      <c r="P171">
        <v>5118</v>
      </c>
      <c r="Q171">
        <v>29324</v>
      </c>
    </row>
    <row r="172" spans="3:17" x14ac:dyDescent="0.25">
      <c r="C172">
        <v>11</v>
      </c>
      <c r="D172" t="s">
        <v>1193</v>
      </c>
      <c r="E172">
        <v>8.8000000000000007</v>
      </c>
      <c r="I172">
        <v>1284</v>
      </c>
      <c r="K172">
        <v>18</v>
      </c>
      <c r="N172">
        <v>127250</v>
      </c>
      <c r="O172">
        <v>164094</v>
      </c>
      <c r="P172">
        <v>291344</v>
      </c>
      <c r="Q172">
        <v>620034</v>
      </c>
    </row>
    <row r="173" spans="3:17" x14ac:dyDescent="0.25">
      <c r="C173">
        <v>11</v>
      </c>
      <c r="D173">
        <v>304</v>
      </c>
      <c r="E173">
        <v>0.8</v>
      </c>
      <c r="I173">
        <v>100</v>
      </c>
      <c r="K173">
        <v>18</v>
      </c>
      <c r="O173">
        <v>14880</v>
      </c>
      <c r="P173">
        <v>14880</v>
      </c>
      <c r="Q173">
        <v>55077</v>
      </c>
    </row>
    <row r="174" spans="3:17" x14ac:dyDescent="0.25">
      <c r="C174">
        <v>11</v>
      </c>
      <c r="D174">
        <v>305</v>
      </c>
      <c r="E174">
        <v>1</v>
      </c>
      <c r="I174">
        <v>168</v>
      </c>
      <c r="O174">
        <v>35710</v>
      </c>
      <c r="P174">
        <v>35710</v>
      </c>
      <c r="Q174">
        <v>95330</v>
      </c>
    </row>
    <row r="175" spans="3:17" x14ac:dyDescent="0.25">
      <c r="C175">
        <v>11</v>
      </c>
      <c r="D175">
        <v>310</v>
      </c>
      <c r="E175">
        <v>1</v>
      </c>
      <c r="I175">
        <v>136</v>
      </c>
      <c r="O175">
        <v>17328</v>
      </c>
      <c r="P175">
        <v>17328</v>
      </c>
      <c r="Q175">
        <v>57811</v>
      </c>
    </row>
    <row r="176" spans="3:17" x14ac:dyDescent="0.25">
      <c r="C176">
        <v>11</v>
      </c>
      <c r="D176">
        <v>409</v>
      </c>
      <c r="E176">
        <v>5</v>
      </c>
      <c r="I176">
        <v>792</v>
      </c>
      <c r="N176">
        <v>127250</v>
      </c>
      <c r="O176">
        <v>86763</v>
      </c>
      <c r="P176">
        <v>214013</v>
      </c>
      <c r="Q176">
        <v>390161</v>
      </c>
    </row>
    <row r="177" spans="3:17" x14ac:dyDescent="0.25">
      <c r="C177">
        <v>11</v>
      </c>
      <c r="D177">
        <v>642</v>
      </c>
      <c r="E177">
        <v>1</v>
      </c>
      <c r="I177">
        <v>88</v>
      </c>
      <c r="O177">
        <v>9413</v>
      </c>
      <c r="P177">
        <v>9413</v>
      </c>
      <c r="Q177">
        <v>21655</v>
      </c>
    </row>
    <row r="178" spans="3:17" x14ac:dyDescent="0.25">
      <c r="C178">
        <v>11</v>
      </c>
      <c r="D178" t="s">
        <v>1194</v>
      </c>
      <c r="E178">
        <v>1.8</v>
      </c>
      <c r="I178">
        <v>294.39999999999998</v>
      </c>
      <c r="O178">
        <v>20411</v>
      </c>
      <c r="P178">
        <v>20411</v>
      </c>
      <c r="Q178">
        <v>77096</v>
      </c>
    </row>
    <row r="179" spans="3:17" x14ac:dyDescent="0.25">
      <c r="C179">
        <v>11</v>
      </c>
      <c r="D179">
        <v>30</v>
      </c>
      <c r="E179">
        <v>1.8</v>
      </c>
      <c r="I179">
        <v>294.39999999999998</v>
      </c>
      <c r="O179">
        <v>20411</v>
      </c>
      <c r="P179">
        <v>20411</v>
      </c>
      <c r="Q179">
        <v>77096</v>
      </c>
    </row>
    <row r="180" spans="3:17" x14ac:dyDescent="0.25">
      <c r="C180" t="s">
        <v>1205</v>
      </c>
      <c r="E180">
        <v>27.800000000000004</v>
      </c>
      <c r="I180">
        <v>4165.1499999999996</v>
      </c>
      <c r="J180">
        <v>10</v>
      </c>
      <c r="K180">
        <v>113.25</v>
      </c>
      <c r="L180">
        <v>9.5</v>
      </c>
      <c r="N180">
        <v>441250</v>
      </c>
      <c r="O180">
        <v>459748</v>
      </c>
      <c r="P180">
        <v>900998</v>
      </c>
      <c r="Q180">
        <v>2205809</v>
      </c>
    </row>
    <row r="181" spans="3:17" x14ac:dyDescent="0.25">
      <c r="C181">
        <v>12</v>
      </c>
      <c r="D181" t="s">
        <v>215</v>
      </c>
      <c r="E181">
        <v>6.1</v>
      </c>
      <c r="I181">
        <v>868</v>
      </c>
      <c r="J181">
        <v>5.5</v>
      </c>
      <c r="K181">
        <v>12</v>
      </c>
      <c r="L181">
        <v>9</v>
      </c>
      <c r="O181">
        <v>355368</v>
      </c>
      <c r="P181">
        <v>355368</v>
      </c>
      <c r="Q181">
        <v>666927</v>
      </c>
    </row>
    <row r="182" spans="3:17" x14ac:dyDescent="0.25">
      <c r="C182">
        <v>12</v>
      </c>
      <c r="D182">
        <v>99</v>
      </c>
      <c r="E182">
        <v>2</v>
      </c>
      <c r="I182">
        <v>240</v>
      </c>
      <c r="L182">
        <v>9</v>
      </c>
      <c r="Q182">
        <v>77223</v>
      </c>
    </row>
    <row r="183" spans="3:17" x14ac:dyDescent="0.25">
      <c r="C183">
        <v>12</v>
      </c>
      <c r="D183">
        <v>100</v>
      </c>
      <c r="E183">
        <v>0.8</v>
      </c>
      <c r="I183">
        <v>128</v>
      </c>
      <c r="Q183">
        <v>36266</v>
      </c>
    </row>
    <row r="184" spans="3:17" x14ac:dyDescent="0.25">
      <c r="C184">
        <v>12</v>
      </c>
      <c r="D184">
        <v>101</v>
      </c>
      <c r="E184">
        <v>3.3</v>
      </c>
      <c r="I184">
        <v>500</v>
      </c>
      <c r="J184">
        <v>5.5</v>
      </c>
      <c r="K184">
        <v>12</v>
      </c>
      <c r="O184">
        <v>355368</v>
      </c>
      <c r="P184">
        <v>355368</v>
      </c>
      <c r="Q184">
        <v>553438</v>
      </c>
    </row>
    <row r="185" spans="3:17" x14ac:dyDescent="0.25">
      <c r="C185">
        <v>12</v>
      </c>
      <c r="D185" t="s">
        <v>1192</v>
      </c>
      <c r="E185">
        <v>11.1</v>
      </c>
      <c r="I185">
        <v>1424.45</v>
      </c>
      <c r="K185">
        <v>74.75</v>
      </c>
      <c r="O185">
        <v>127387</v>
      </c>
      <c r="P185">
        <v>127387</v>
      </c>
      <c r="Q185">
        <v>668095</v>
      </c>
    </row>
    <row r="186" spans="3:17" x14ac:dyDescent="0.25">
      <c r="C186">
        <v>12</v>
      </c>
      <c r="D186">
        <v>526</v>
      </c>
      <c r="E186">
        <v>11</v>
      </c>
      <c r="I186">
        <v>1408</v>
      </c>
      <c r="O186">
        <v>127387</v>
      </c>
      <c r="P186">
        <v>127387</v>
      </c>
      <c r="Q186">
        <v>641395</v>
      </c>
    </row>
    <row r="187" spans="3:17" x14ac:dyDescent="0.25">
      <c r="C187">
        <v>12</v>
      </c>
      <c r="D187">
        <v>746</v>
      </c>
      <c r="E187">
        <v>0.1</v>
      </c>
      <c r="I187">
        <v>16.45</v>
      </c>
      <c r="K187">
        <v>74.75</v>
      </c>
      <c r="Q187">
        <v>26700</v>
      </c>
    </row>
    <row r="188" spans="3:17" x14ac:dyDescent="0.25">
      <c r="C188">
        <v>12</v>
      </c>
      <c r="D188" t="s">
        <v>1193</v>
      </c>
      <c r="E188">
        <v>8.8000000000000007</v>
      </c>
      <c r="I188">
        <v>1336.8</v>
      </c>
      <c r="J188">
        <v>14</v>
      </c>
      <c r="K188">
        <v>15</v>
      </c>
      <c r="Q188">
        <v>365242</v>
      </c>
    </row>
    <row r="189" spans="3:17" x14ac:dyDescent="0.25">
      <c r="C189">
        <v>12</v>
      </c>
      <c r="D189">
        <v>304</v>
      </c>
      <c r="E189">
        <v>0.8</v>
      </c>
      <c r="I189">
        <v>136.80000000000001</v>
      </c>
      <c r="K189">
        <v>15</v>
      </c>
      <c r="Q189">
        <v>39333</v>
      </c>
    </row>
    <row r="190" spans="3:17" x14ac:dyDescent="0.25">
      <c r="C190">
        <v>12</v>
      </c>
      <c r="D190">
        <v>305</v>
      </c>
      <c r="E190">
        <v>1</v>
      </c>
      <c r="I190">
        <v>152</v>
      </c>
      <c r="Q190">
        <v>61019</v>
      </c>
    </row>
    <row r="191" spans="3:17" x14ac:dyDescent="0.25">
      <c r="C191">
        <v>12</v>
      </c>
      <c r="D191">
        <v>310</v>
      </c>
      <c r="E191">
        <v>1</v>
      </c>
      <c r="I191">
        <v>112</v>
      </c>
      <c r="Q191">
        <v>42094</v>
      </c>
    </row>
    <row r="192" spans="3:17" x14ac:dyDescent="0.25">
      <c r="C192">
        <v>12</v>
      </c>
      <c r="D192">
        <v>409</v>
      </c>
      <c r="E192">
        <v>5</v>
      </c>
      <c r="I192">
        <v>784</v>
      </c>
      <c r="J192">
        <v>14</v>
      </c>
      <c r="Q192">
        <v>199010</v>
      </c>
    </row>
    <row r="193" spans="3:17" x14ac:dyDescent="0.25">
      <c r="C193">
        <v>12</v>
      </c>
      <c r="D193">
        <v>642</v>
      </c>
      <c r="E193">
        <v>1</v>
      </c>
      <c r="I193">
        <v>152</v>
      </c>
      <c r="Q193">
        <v>23786</v>
      </c>
    </row>
    <row r="194" spans="3:17" x14ac:dyDescent="0.25">
      <c r="C194">
        <v>12</v>
      </c>
      <c r="D194" t="s">
        <v>1194</v>
      </c>
      <c r="E194">
        <v>1.8</v>
      </c>
      <c r="I194">
        <v>283.2</v>
      </c>
      <c r="Q194">
        <v>57373</v>
      </c>
    </row>
    <row r="195" spans="3:17" x14ac:dyDescent="0.25">
      <c r="C195">
        <v>12</v>
      </c>
      <c r="D195">
        <v>30</v>
      </c>
      <c r="E195">
        <v>1.8</v>
      </c>
      <c r="I195">
        <v>283.2</v>
      </c>
      <c r="Q195">
        <v>57373</v>
      </c>
    </row>
    <row r="196" spans="3:17" x14ac:dyDescent="0.25">
      <c r="C196" t="s">
        <v>1206</v>
      </c>
      <c r="E196">
        <v>27.800000000000004</v>
      </c>
      <c r="I196">
        <v>3912.45</v>
      </c>
      <c r="J196">
        <v>19.5</v>
      </c>
      <c r="K196">
        <v>101.75</v>
      </c>
      <c r="L196">
        <v>9</v>
      </c>
      <c r="O196">
        <v>482755</v>
      </c>
      <c r="P196">
        <v>482755</v>
      </c>
      <c r="Q196">
        <v>1757637</v>
      </c>
    </row>
  </sheetData>
  <hyperlinks>
    <hyperlink ref="A2" location="Obsah!A1" display="Zpět na Obsah  KL 01  1.-4.měsíc" xr:uid="{0781B564-6A4C-4B81-81DE-2F78500C5DC4}"/>
  </hyperlinks>
  <pageMargins left="0.7" right="0.7" top="0.78740157499999996" bottom="0.78740157499999996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List3">
    <tabColor theme="5" tint="0.39997558519241921"/>
    <outlinePr summaryRight="0"/>
    <pageSetUpPr fitToPage="1"/>
  </sheetPr>
  <dimension ref="A1:AB18"/>
  <sheetViews>
    <sheetView showGridLines="0" showRowColHeaders="0" workbookViewId="0">
      <pane ySplit="5" topLeftCell="A6" activePane="bottomLeft" state="frozen"/>
      <selection activeCell="A2" sqref="A2:M2"/>
      <selection pane="bottomLeft" sqref="A1:AB1"/>
    </sheetView>
  </sheetViews>
  <sheetFormatPr defaultColWidth="8.85546875" defaultRowHeight="14.45" customHeight="1" outlineLevelCol="1" x14ac:dyDescent="0.2"/>
  <cols>
    <col min="1" max="1" width="50" style="129" customWidth="1" collapsed="1"/>
    <col min="2" max="2" width="7.7109375" style="106" hidden="1" customWidth="1" outlineLevel="1"/>
    <col min="3" max="4" width="5.42578125" style="129" hidden="1" customWidth="1"/>
    <col min="5" max="5" width="7.7109375" style="106" customWidth="1"/>
    <col min="6" max="6" width="7.7109375" style="106" hidden="1" customWidth="1"/>
    <col min="7" max="7" width="5.42578125" style="129" hidden="1" customWidth="1"/>
    <col min="8" max="8" width="7.7109375" style="106" customWidth="1" collapsed="1"/>
    <col min="9" max="9" width="7.7109375" style="210" hidden="1" customWidth="1" outlineLevel="1"/>
    <col min="10" max="10" width="7.7109375" style="210" customWidth="1" collapsed="1"/>
    <col min="11" max="12" width="7.7109375" style="106" hidden="1" customWidth="1"/>
    <col min="13" max="13" width="5.42578125" style="129" hidden="1" customWidth="1"/>
    <col min="14" max="14" width="7.7109375" style="106" customWidth="1"/>
    <col min="15" max="15" width="7.7109375" style="106" hidden="1" customWidth="1"/>
    <col min="16" max="16" width="5.42578125" style="129" hidden="1" customWidth="1"/>
    <col min="17" max="17" width="7.7109375" style="106" customWidth="1" collapsed="1"/>
    <col min="18" max="18" width="7.7109375" style="210" hidden="1" customWidth="1" outlineLevel="1"/>
    <col min="19" max="19" width="7.7109375" style="210" customWidth="1" collapsed="1"/>
    <col min="20" max="21" width="7.7109375" style="106" hidden="1" customWidth="1"/>
    <col min="22" max="22" width="5" style="129" hidden="1" customWidth="1"/>
    <col min="23" max="23" width="7.7109375" style="106" customWidth="1"/>
    <col min="24" max="24" width="7.7109375" style="106" hidden="1" customWidth="1"/>
    <col min="25" max="25" width="5" style="129" hidden="1" customWidth="1"/>
    <col min="26" max="26" width="7.7109375" style="106" customWidth="1" collapsed="1"/>
    <col min="27" max="27" width="7.7109375" style="210" hidden="1" customWidth="1" outlineLevel="1"/>
    <col min="28" max="28" width="7.7109375" style="210" customWidth="1" collapsed="1"/>
    <col min="29" max="16384" width="8.85546875" style="129"/>
  </cols>
  <sheetData>
    <row r="1" spans="1:28" ht="18.600000000000001" customHeight="1" thickBot="1" x14ac:dyDescent="0.35">
      <c r="A1" s="438" t="s">
        <v>1223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</row>
    <row r="2" spans="1:28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  <c r="H2" s="111"/>
      <c r="I2" s="227"/>
      <c r="J2" s="227"/>
      <c r="K2" s="111"/>
      <c r="L2" s="111"/>
      <c r="M2" s="111"/>
      <c r="N2" s="111"/>
      <c r="O2" s="111"/>
      <c r="P2" s="111"/>
      <c r="Q2" s="111"/>
      <c r="R2" s="227"/>
      <c r="S2" s="227"/>
      <c r="T2" s="111"/>
      <c r="U2" s="111"/>
      <c r="V2" s="111"/>
      <c r="W2" s="111"/>
      <c r="X2" s="111"/>
      <c r="Y2" s="111"/>
      <c r="Z2" s="111"/>
      <c r="AA2" s="227"/>
      <c r="AB2" s="227"/>
    </row>
    <row r="3" spans="1:28" ht="14.45" customHeight="1" thickBot="1" x14ac:dyDescent="0.25">
      <c r="A3" s="220" t="s">
        <v>127</v>
      </c>
      <c r="B3" s="221">
        <f>SUBTOTAL(9,B6:B1048576)/4</f>
        <v>40872590.460000008</v>
      </c>
      <c r="C3" s="222">
        <f t="shared" ref="C3:Z3" si="0">SUBTOTAL(9,C6:C1048576)</f>
        <v>8</v>
      </c>
      <c r="D3" s="222"/>
      <c r="E3" s="222">
        <f>SUBTOTAL(9,E6:E1048576)/4</f>
        <v>43939259.729999997</v>
      </c>
      <c r="F3" s="222"/>
      <c r="G3" s="222">
        <f t="shared" si="0"/>
        <v>7</v>
      </c>
      <c r="H3" s="222">
        <f>SUBTOTAL(9,H6:H1048576)/4</f>
        <v>49592384.149999991</v>
      </c>
      <c r="I3" s="225">
        <f>IF(B3&lt;&gt;0,H3/B3,"")</f>
        <v>1.2133408622224133</v>
      </c>
      <c r="J3" s="223">
        <f>IF(E3&lt;&gt;0,H3/E3,"")</f>
        <v>1.12865770736097</v>
      </c>
      <c r="K3" s="224">
        <f t="shared" si="0"/>
        <v>0</v>
      </c>
      <c r="L3" s="224"/>
      <c r="M3" s="222">
        <f t="shared" si="0"/>
        <v>0</v>
      </c>
      <c r="N3" s="222">
        <f t="shared" si="0"/>
        <v>0</v>
      </c>
      <c r="O3" s="222"/>
      <c r="P3" s="222">
        <f t="shared" si="0"/>
        <v>0</v>
      </c>
      <c r="Q3" s="222">
        <f t="shared" si="0"/>
        <v>0</v>
      </c>
      <c r="R3" s="225" t="str">
        <f>IF(K3&lt;&gt;0,Q3/K3,"")</f>
        <v/>
      </c>
      <c r="S3" s="225" t="str">
        <f>IF(N3&lt;&gt;0,Q3/N3,"")</f>
        <v/>
      </c>
      <c r="T3" s="221">
        <f t="shared" si="0"/>
        <v>0</v>
      </c>
      <c r="U3" s="224"/>
      <c r="V3" s="222">
        <f t="shared" si="0"/>
        <v>0</v>
      </c>
      <c r="W3" s="222">
        <f t="shared" si="0"/>
        <v>0</v>
      </c>
      <c r="X3" s="222"/>
      <c r="Y3" s="222">
        <f t="shared" si="0"/>
        <v>0</v>
      </c>
      <c r="Z3" s="222">
        <f t="shared" si="0"/>
        <v>0</v>
      </c>
      <c r="AA3" s="225" t="str">
        <f>IF(T3&lt;&gt;0,Z3/T3,"")</f>
        <v/>
      </c>
      <c r="AB3" s="223" t="str">
        <f>IF(W3&lt;&gt;0,Z3/W3,"")</f>
        <v/>
      </c>
    </row>
    <row r="4" spans="1:28" ht="14.45" customHeight="1" x14ac:dyDescent="0.2">
      <c r="A4" s="439" t="s">
        <v>210</v>
      </c>
      <c r="B4" s="440" t="s">
        <v>98</v>
      </c>
      <c r="C4" s="441"/>
      <c r="D4" s="442"/>
      <c r="E4" s="441"/>
      <c r="F4" s="442"/>
      <c r="G4" s="441"/>
      <c r="H4" s="441"/>
      <c r="I4" s="442"/>
      <c r="J4" s="443"/>
      <c r="K4" s="440" t="s">
        <v>99</v>
      </c>
      <c r="L4" s="442"/>
      <c r="M4" s="441"/>
      <c r="N4" s="441"/>
      <c r="O4" s="442"/>
      <c r="P4" s="441"/>
      <c r="Q4" s="441"/>
      <c r="R4" s="442"/>
      <c r="S4" s="443"/>
      <c r="T4" s="440" t="s">
        <v>100</v>
      </c>
      <c r="U4" s="442"/>
      <c r="V4" s="441"/>
      <c r="W4" s="441"/>
      <c r="X4" s="442"/>
      <c r="Y4" s="441"/>
      <c r="Z4" s="441"/>
      <c r="AA4" s="442"/>
      <c r="AB4" s="443"/>
    </row>
    <row r="5" spans="1:28" ht="14.45" customHeight="1" thickBot="1" x14ac:dyDescent="0.25">
      <c r="A5" s="603"/>
      <c r="B5" s="604">
        <v>2018</v>
      </c>
      <c r="C5" s="605"/>
      <c r="D5" s="605"/>
      <c r="E5" s="605">
        <v>2019</v>
      </c>
      <c r="F5" s="605"/>
      <c r="G5" s="605"/>
      <c r="H5" s="605">
        <v>2020</v>
      </c>
      <c r="I5" s="606" t="s">
        <v>269</v>
      </c>
      <c r="J5" s="607" t="s">
        <v>2</v>
      </c>
      <c r="K5" s="604">
        <v>2015</v>
      </c>
      <c r="L5" s="605"/>
      <c r="M5" s="605"/>
      <c r="N5" s="605">
        <v>2019</v>
      </c>
      <c r="O5" s="605"/>
      <c r="P5" s="605"/>
      <c r="Q5" s="605">
        <v>2020</v>
      </c>
      <c r="R5" s="606" t="s">
        <v>269</v>
      </c>
      <c r="S5" s="607" t="s">
        <v>2</v>
      </c>
      <c r="T5" s="604">
        <v>2015</v>
      </c>
      <c r="U5" s="605"/>
      <c r="V5" s="605"/>
      <c r="W5" s="605">
        <v>2019</v>
      </c>
      <c r="X5" s="605"/>
      <c r="Y5" s="605"/>
      <c r="Z5" s="605">
        <v>2020</v>
      </c>
      <c r="AA5" s="606" t="s">
        <v>269</v>
      </c>
      <c r="AB5" s="607" t="s">
        <v>2</v>
      </c>
    </row>
    <row r="6" spans="1:28" ht="14.45" customHeight="1" x14ac:dyDescent="0.25">
      <c r="A6" s="608" t="s">
        <v>1220</v>
      </c>
      <c r="B6" s="609">
        <v>40872590.460000008</v>
      </c>
      <c r="C6" s="610">
        <v>1</v>
      </c>
      <c r="D6" s="610">
        <v>0.93020662412511723</v>
      </c>
      <c r="E6" s="609">
        <v>43939259.729999997</v>
      </c>
      <c r="F6" s="610">
        <v>1.0750299708309701</v>
      </c>
      <c r="G6" s="610">
        <v>1</v>
      </c>
      <c r="H6" s="609">
        <v>49592384.149999991</v>
      </c>
      <c r="I6" s="610">
        <v>1.2133408622224133</v>
      </c>
      <c r="J6" s="610">
        <v>1.12865770736097</v>
      </c>
      <c r="K6" s="609"/>
      <c r="L6" s="610"/>
      <c r="M6" s="610"/>
      <c r="N6" s="609"/>
      <c r="O6" s="610"/>
      <c r="P6" s="610"/>
      <c r="Q6" s="609"/>
      <c r="R6" s="610"/>
      <c r="S6" s="610"/>
      <c r="T6" s="609"/>
      <c r="U6" s="610"/>
      <c r="V6" s="610"/>
      <c r="W6" s="609"/>
      <c r="X6" s="610"/>
      <c r="Y6" s="610"/>
      <c r="Z6" s="609"/>
      <c r="AA6" s="610"/>
      <c r="AB6" s="611"/>
    </row>
    <row r="7" spans="1:28" ht="14.45" customHeight="1" x14ac:dyDescent="0.25">
      <c r="A7" s="618" t="s">
        <v>1221</v>
      </c>
      <c r="B7" s="612">
        <v>7131450.9500000067</v>
      </c>
      <c r="C7" s="613">
        <v>1</v>
      </c>
      <c r="D7" s="613">
        <v>0.9094426206610452</v>
      </c>
      <c r="E7" s="612">
        <v>7841562.2800000068</v>
      </c>
      <c r="F7" s="613">
        <v>1.0995745935825303</v>
      </c>
      <c r="G7" s="613">
        <v>1</v>
      </c>
      <c r="H7" s="612">
        <v>7645298.7499999972</v>
      </c>
      <c r="I7" s="613">
        <v>1.0720537522592075</v>
      </c>
      <c r="J7" s="613">
        <v>0.97497137394412059</v>
      </c>
      <c r="K7" s="612"/>
      <c r="L7" s="613"/>
      <c r="M7" s="613"/>
      <c r="N7" s="612"/>
      <c r="O7" s="613"/>
      <c r="P7" s="613"/>
      <c r="Q7" s="612"/>
      <c r="R7" s="613"/>
      <c r="S7" s="613"/>
      <c r="T7" s="612"/>
      <c r="U7" s="613"/>
      <c r="V7" s="613"/>
      <c r="W7" s="612"/>
      <c r="X7" s="613"/>
      <c r="Y7" s="613"/>
      <c r="Z7" s="612"/>
      <c r="AA7" s="613"/>
      <c r="AB7" s="614"/>
    </row>
    <row r="8" spans="1:28" ht="14.45" customHeight="1" thickBot="1" x14ac:dyDescent="0.3">
      <c r="A8" s="619" t="s">
        <v>1222</v>
      </c>
      <c r="B8" s="615">
        <v>33741139.510000005</v>
      </c>
      <c r="C8" s="616">
        <v>1</v>
      </c>
      <c r="D8" s="616">
        <v>0.93471722280170022</v>
      </c>
      <c r="E8" s="615">
        <v>36097697.449999988</v>
      </c>
      <c r="F8" s="616">
        <v>1.0698422748674969</v>
      </c>
      <c r="G8" s="616">
        <v>1</v>
      </c>
      <c r="H8" s="615">
        <v>41947085.399999991</v>
      </c>
      <c r="I8" s="616">
        <v>1.2432029863000909</v>
      </c>
      <c r="J8" s="616">
        <v>1.162043242733201</v>
      </c>
      <c r="K8" s="615"/>
      <c r="L8" s="616"/>
      <c r="M8" s="616"/>
      <c r="N8" s="615"/>
      <c r="O8" s="616"/>
      <c r="P8" s="616"/>
      <c r="Q8" s="615"/>
      <c r="R8" s="616"/>
      <c r="S8" s="616"/>
      <c r="T8" s="615"/>
      <c r="U8" s="616"/>
      <c r="V8" s="616"/>
      <c r="W8" s="615"/>
      <c r="X8" s="616"/>
      <c r="Y8" s="616"/>
      <c r="Z8" s="615"/>
      <c r="AA8" s="616"/>
      <c r="AB8" s="617"/>
    </row>
    <row r="9" spans="1:28" ht="14.45" customHeight="1" thickBot="1" x14ac:dyDescent="0.25"/>
    <row r="10" spans="1:28" ht="14.45" customHeight="1" x14ac:dyDescent="0.25">
      <c r="A10" s="608" t="s">
        <v>482</v>
      </c>
      <c r="B10" s="609">
        <v>7131450.9500000067</v>
      </c>
      <c r="C10" s="610">
        <v>1</v>
      </c>
      <c r="D10" s="610">
        <v>0.9094426206610452</v>
      </c>
      <c r="E10" s="609">
        <v>7841562.2800000068</v>
      </c>
      <c r="F10" s="610">
        <v>1.0995745935825303</v>
      </c>
      <c r="G10" s="610">
        <v>1</v>
      </c>
      <c r="H10" s="609">
        <v>7645298.7499999963</v>
      </c>
      <c r="I10" s="610">
        <v>1.0720537522592073</v>
      </c>
      <c r="J10" s="611">
        <v>0.97497137394412048</v>
      </c>
    </row>
    <row r="11" spans="1:28" ht="14.45" customHeight="1" x14ac:dyDescent="0.25">
      <c r="A11" s="618" t="s">
        <v>1224</v>
      </c>
      <c r="B11" s="612">
        <v>7130178.6200000066</v>
      </c>
      <c r="C11" s="613">
        <v>1</v>
      </c>
      <c r="D11" s="613">
        <v>0.90928036600380102</v>
      </c>
      <c r="E11" s="612">
        <v>7841562.2800000068</v>
      </c>
      <c r="F11" s="613">
        <v>1.0997708049002564</v>
      </c>
      <c r="G11" s="613">
        <v>1</v>
      </c>
      <c r="H11" s="612">
        <v>7643725.7499999963</v>
      </c>
      <c r="I11" s="613">
        <v>1.0720244410931727</v>
      </c>
      <c r="J11" s="614">
        <v>0.9747707761622203</v>
      </c>
    </row>
    <row r="12" spans="1:28" ht="14.45" customHeight="1" x14ac:dyDescent="0.25">
      <c r="A12" s="618" t="s">
        <v>1225</v>
      </c>
      <c r="B12" s="612">
        <v>1272.33</v>
      </c>
      <c r="C12" s="613">
        <v>1</v>
      </c>
      <c r="D12" s="613"/>
      <c r="E12" s="612"/>
      <c r="F12" s="613"/>
      <c r="G12" s="613"/>
      <c r="H12" s="612">
        <v>1573</v>
      </c>
      <c r="I12" s="613">
        <v>1.236314478162112</v>
      </c>
      <c r="J12" s="614"/>
    </row>
    <row r="13" spans="1:28" ht="14.45" customHeight="1" x14ac:dyDescent="0.25">
      <c r="A13" s="620" t="s">
        <v>487</v>
      </c>
      <c r="B13" s="621">
        <v>33741139.510000005</v>
      </c>
      <c r="C13" s="622">
        <v>1</v>
      </c>
      <c r="D13" s="622">
        <v>0.9347172228017</v>
      </c>
      <c r="E13" s="621">
        <v>36097697.449999996</v>
      </c>
      <c r="F13" s="622">
        <v>1.0698422748674972</v>
      </c>
      <c r="G13" s="622">
        <v>1</v>
      </c>
      <c r="H13" s="621">
        <v>41947085.399999991</v>
      </c>
      <c r="I13" s="622">
        <v>1.2432029863000909</v>
      </c>
      <c r="J13" s="623">
        <v>1.1620432427332008</v>
      </c>
    </row>
    <row r="14" spans="1:28" ht="14.45" customHeight="1" thickBot="1" x14ac:dyDescent="0.3">
      <c r="A14" s="619" t="s">
        <v>1224</v>
      </c>
      <c r="B14" s="615">
        <v>33741139.510000005</v>
      </c>
      <c r="C14" s="616">
        <v>1</v>
      </c>
      <c r="D14" s="616">
        <v>0.9347172228017</v>
      </c>
      <c r="E14" s="615">
        <v>36097697.449999996</v>
      </c>
      <c r="F14" s="616">
        <v>1.0698422748674972</v>
      </c>
      <c r="G14" s="616">
        <v>1</v>
      </c>
      <c r="H14" s="615">
        <v>41947085.399999991</v>
      </c>
      <c r="I14" s="616">
        <v>1.2432029863000909</v>
      </c>
      <c r="J14" s="617">
        <v>1.1620432427332008</v>
      </c>
    </row>
    <row r="15" spans="1:28" ht="14.45" customHeight="1" x14ac:dyDescent="0.2">
      <c r="A15" s="543" t="s">
        <v>244</v>
      </c>
    </row>
    <row r="16" spans="1:28" ht="14.45" customHeight="1" x14ac:dyDescent="0.2">
      <c r="A16" s="544" t="s">
        <v>527</v>
      </c>
    </row>
    <row r="17" spans="1:1" ht="14.45" customHeight="1" x14ac:dyDescent="0.2">
      <c r="A17" s="543" t="s">
        <v>1226</v>
      </c>
    </row>
    <row r="18" spans="1:1" ht="14.45" customHeight="1" x14ac:dyDescent="0.2">
      <c r="A18" s="543" t="s">
        <v>1227</v>
      </c>
    </row>
  </sheetData>
  <mergeCells count="5">
    <mergeCell ref="A1:AB1"/>
    <mergeCell ref="A4:A5"/>
    <mergeCell ref="B4:J4"/>
    <mergeCell ref="K4:S4"/>
    <mergeCell ref="T4:AB4"/>
  </mergeCells>
  <conditionalFormatting sqref="J4:J1048576">
    <cfRule type="cellIs" dxfId="0" priority="4" stopIfTrue="1" operator="lessThan">
      <formula>0.95</formula>
    </cfRule>
  </conditionalFormatting>
  <hyperlinks>
    <hyperlink ref="A2" location="Obsah!A1" display="Zpět na Obsah  KL 01  1.-4.měsíc" xr:uid="{E0C52684-7983-4482-9C1C-C7708B6268B2}"/>
  </hyperlinks>
  <pageMargins left="0.25" right="0.25" top="0.75" bottom="0.75" header="0.3" footer="0.3"/>
  <pageSetup paperSize="9" fitToHeight="0" orientation="landscape" r:id="rId1"/>
  <ignoredErrors>
    <ignoredError sqref="K3 N3 Q3 T3 W3 Z3 B3 E3 H3" formulaRange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List57">
    <tabColor theme="0" tint="-0.249977111117893"/>
    <pageSetUpPr fitToPage="1"/>
  </sheetPr>
  <dimension ref="A1:G11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ColWidth="8.85546875" defaultRowHeight="14.45" customHeight="1" outlineLevelCol="1" x14ac:dyDescent="0.2"/>
  <cols>
    <col min="1" max="1" width="46.7109375" style="129" bestFit="1" customWidth="1"/>
    <col min="2" max="2" width="7.7109375" style="207" hidden="1" customWidth="1" outlineLevel="1"/>
    <col min="3" max="3" width="7.7109375" style="207" customWidth="1" collapsed="1"/>
    <col min="4" max="4" width="7.7109375" style="207" customWidth="1"/>
    <col min="5" max="5" width="7.7109375" style="106" hidden="1" customWidth="1" outlineLevel="1"/>
    <col min="6" max="6" width="7.7109375" style="106" customWidth="1" collapsed="1"/>
    <col min="7" max="7" width="7.7109375" style="106" customWidth="1"/>
    <col min="8" max="16384" width="8.85546875" style="129"/>
  </cols>
  <sheetData>
    <row r="1" spans="1:7" ht="18.600000000000001" customHeight="1" thickBot="1" x14ac:dyDescent="0.35">
      <c r="A1" s="438" t="s">
        <v>1229</v>
      </c>
      <c r="B1" s="329"/>
      <c r="C1" s="329"/>
      <c r="D1" s="329"/>
      <c r="E1" s="329"/>
      <c r="F1" s="329"/>
      <c r="G1" s="329"/>
    </row>
    <row r="2" spans="1:7" ht="14.45" customHeight="1" thickBot="1" x14ac:dyDescent="0.25">
      <c r="A2" s="232" t="s">
        <v>270</v>
      </c>
      <c r="B2" s="111"/>
      <c r="C2" s="111"/>
      <c r="D2" s="111"/>
      <c r="E2" s="111"/>
      <c r="F2" s="111"/>
      <c r="G2" s="111"/>
    </row>
    <row r="3" spans="1:7" ht="14.45" customHeight="1" thickBot="1" x14ac:dyDescent="0.25">
      <c r="A3" s="273" t="s">
        <v>127</v>
      </c>
      <c r="B3" s="259">
        <f t="shared" ref="B3:G3" si="0">SUBTOTAL(9,B6:B1048576)</f>
        <v>18836</v>
      </c>
      <c r="C3" s="260">
        <f t="shared" si="0"/>
        <v>20992</v>
      </c>
      <c r="D3" s="272">
        <f t="shared" si="0"/>
        <v>20873</v>
      </c>
      <c r="E3" s="224">
        <f t="shared" si="0"/>
        <v>40872590.459999889</v>
      </c>
      <c r="F3" s="222">
        <f t="shared" si="0"/>
        <v>43939259.72999987</v>
      </c>
      <c r="G3" s="261">
        <f t="shared" si="0"/>
        <v>49592384.149999857</v>
      </c>
    </row>
    <row r="4" spans="1:7" ht="14.45" customHeight="1" x14ac:dyDescent="0.2">
      <c r="A4" s="439" t="s">
        <v>135</v>
      </c>
      <c r="B4" s="444" t="s">
        <v>208</v>
      </c>
      <c r="C4" s="442"/>
      <c r="D4" s="445"/>
      <c r="E4" s="444" t="s">
        <v>98</v>
      </c>
      <c r="F4" s="442"/>
      <c r="G4" s="445"/>
    </row>
    <row r="5" spans="1:7" ht="14.45" customHeight="1" thickBot="1" x14ac:dyDescent="0.25">
      <c r="A5" s="603"/>
      <c r="B5" s="604">
        <v>2018</v>
      </c>
      <c r="C5" s="605">
        <v>2019</v>
      </c>
      <c r="D5" s="624">
        <v>2020</v>
      </c>
      <c r="E5" s="604">
        <v>2018</v>
      </c>
      <c r="F5" s="605">
        <v>2019</v>
      </c>
      <c r="G5" s="624">
        <v>2020</v>
      </c>
    </row>
    <row r="6" spans="1:7" ht="14.45" customHeight="1" x14ac:dyDescent="0.2">
      <c r="A6" s="594" t="s">
        <v>1224</v>
      </c>
      <c r="B6" s="116">
        <v>18820</v>
      </c>
      <c r="C6" s="116">
        <v>20992</v>
      </c>
      <c r="D6" s="116">
        <v>20871</v>
      </c>
      <c r="E6" s="625">
        <v>40871318.129999891</v>
      </c>
      <c r="F6" s="625">
        <v>43939259.72999987</v>
      </c>
      <c r="G6" s="626">
        <v>49590811.149999857</v>
      </c>
    </row>
    <row r="7" spans="1:7" ht="14.45" customHeight="1" x14ac:dyDescent="0.2">
      <c r="A7" s="595" t="s">
        <v>531</v>
      </c>
      <c r="B7" s="587">
        <v>2</v>
      </c>
      <c r="C7" s="587"/>
      <c r="D7" s="587">
        <v>2</v>
      </c>
      <c r="E7" s="627">
        <v>384.33</v>
      </c>
      <c r="F7" s="627"/>
      <c r="G7" s="628">
        <v>1573</v>
      </c>
    </row>
    <row r="8" spans="1:7" ht="14.45" customHeight="1" thickBot="1" x14ac:dyDescent="0.25">
      <c r="A8" s="631" t="s">
        <v>1228</v>
      </c>
      <c r="B8" s="589">
        <v>14</v>
      </c>
      <c r="C8" s="589"/>
      <c r="D8" s="589"/>
      <c r="E8" s="629">
        <v>888</v>
      </c>
      <c r="F8" s="629"/>
      <c r="G8" s="630"/>
    </row>
    <row r="9" spans="1:7" ht="14.45" customHeight="1" x14ac:dyDescent="0.2">
      <c r="A9" s="543" t="s">
        <v>244</v>
      </c>
    </row>
    <row r="10" spans="1:7" ht="14.45" customHeight="1" x14ac:dyDescent="0.2">
      <c r="A10" s="544" t="s">
        <v>527</v>
      </c>
    </row>
    <row r="11" spans="1:7" ht="14.45" customHeight="1" x14ac:dyDescent="0.2">
      <c r="A11" s="543" t="s">
        <v>1226</v>
      </c>
    </row>
  </sheetData>
  <autoFilter ref="A4:A5" xr:uid="{00000000-0009-0000-0000-000021000000}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 xr:uid="{22C16080-BD34-4DAF-BA5A-5A5B825F19D6}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List2">
    <tabColor theme="0" tint="-0.249977111117893"/>
    <outlinePr summaryRight="0"/>
    <pageSetUpPr fitToPage="1"/>
  </sheetPr>
  <dimension ref="A1:R53"/>
  <sheetViews>
    <sheetView showGridLines="0" showRowColHeaders="0" workbookViewId="0">
      <pane ySplit="5" topLeftCell="A6" activePane="bottomLeft" state="frozen"/>
      <selection activeCell="U26" sqref="U26"/>
      <selection pane="bottomLeft" sqref="A1:R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.140625" style="129" bestFit="1" customWidth="1"/>
    <col min="5" max="5" width="8" style="129" customWidth="1"/>
    <col min="6" max="6" width="50.85546875" style="129" bestFit="1" customWidth="1" collapsed="1"/>
    <col min="7" max="8" width="11.140625" style="207" hidden="1" customWidth="1" outlineLevel="1"/>
    <col min="9" max="10" width="9.28515625" style="129" hidden="1" customWidth="1"/>
    <col min="11" max="12" width="11.140625" style="207" customWidth="1"/>
    <col min="13" max="14" width="9.28515625" style="129" hidden="1" customWidth="1"/>
    <col min="15" max="16" width="11.140625" style="207" customWidth="1"/>
    <col min="17" max="17" width="11.140625" style="210" customWidth="1"/>
    <col min="18" max="18" width="11.140625" style="207" customWidth="1"/>
    <col min="19" max="16384" width="8.85546875" style="129"/>
  </cols>
  <sheetData>
    <row r="1" spans="1:18" ht="18.600000000000001" customHeight="1" thickBot="1" x14ac:dyDescent="0.35">
      <c r="A1" s="329" t="s">
        <v>1331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</row>
    <row r="2" spans="1:18" ht="14.45" customHeight="1" thickBot="1" x14ac:dyDescent="0.25">
      <c r="A2" s="232" t="s">
        <v>270</v>
      </c>
      <c r="B2" s="197"/>
      <c r="C2" s="197"/>
      <c r="D2" s="111"/>
      <c r="E2" s="111"/>
      <c r="F2" s="111"/>
      <c r="G2" s="230"/>
      <c r="H2" s="230"/>
      <c r="I2" s="111"/>
      <c r="J2" s="111"/>
      <c r="K2" s="230"/>
      <c r="L2" s="230"/>
      <c r="M2" s="111"/>
      <c r="N2" s="111"/>
      <c r="O2" s="230"/>
      <c r="P2" s="230"/>
      <c r="Q2" s="227"/>
      <c r="R2" s="230"/>
    </row>
    <row r="3" spans="1:18" ht="14.45" customHeight="1" thickBot="1" x14ac:dyDescent="0.25">
      <c r="F3" s="87" t="s">
        <v>127</v>
      </c>
      <c r="G3" s="102">
        <f t="shared" ref="G3:P3" si="0">SUBTOTAL(9,G6:G1048576)</f>
        <v>18836</v>
      </c>
      <c r="H3" s="103">
        <f t="shared" si="0"/>
        <v>40872590.460000001</v>
      </c>
      <c r="I3" s="74"/>
      <c r="J3" s="74"/>
      <c r="K3" s="103">
        <f t="shared" si="0"/>
        <v>20992</v>
      </c>
      <c r="L3" s="103">
        <f t="shared" si="0"/>
        <v>43939259.729999997</v>
      </c>
      <c r="M3" s="74"/>
      <c r="N3" s="74"/>
      <c r="O3" s="103">
        <f t="shared" si="0"/>
        <v>20873</v>
      </c>
      <c r="P3" s="103">
        <f t="shared" si="0"/>
        <v>49592384.150000006</v>
      </c>
      <c r="Q3" s="75">
        <f>IF(L3=0,0,P3/L3)</f>
        <v>1.1286577073609703</v>
      </c>
      <c r="R3" s="104">
        <f>IF(O3=0,0,P3/O3)</f>
        <v>2375.9107052172667</v>
      </c>
    </row>
    <row r="4" spans="1:18" ht="14.45" customHeight="1" x14ac:dyDescent="0.2">
      <c r="A4" s="446" t="s">
        <v>211</v>
      </c>
      <c r="B4" s="446" t="s">
        <v>94</v>
      </c>
      <c r="C4" s="454" t="s">
        <v>0</v>
      </c>
      <c r="D4" s="448" t="s">
        <v>95</v>
      </c>
      <c r="E4" s="453" t="s">
        <v>70</v>
      </c>
      <c r="F4" s="449" t="s">
        <v>69</v>
      </c>
      <c r="G4" s="450">
        <v>2018</v>
      </c>
      <c r="H4" s="451"/>
      <c r="I4" s="101"/>
      <c r="J4" s="101"/>
      <c r="K4" s="450">
        <v>2019</v>
      </c>
      <c r="L4" s="451"/>
      <c r="M4" s="101"/>
      <c r="N4" s="101"/>
      <c r="O4" s="450">
        <v>2020</v>
      </c>
      <c r="P4" s="451"/>
      <c r="Q4" s="452" t="s">
        <v>2</v>
      </c>
      <c r="R4" s="447" t="s">
        <v>97</v>
      </c>
    </row>
    <row r="5" spans="1:18" ht="14.45" customHeight="1" thickBot="1" x14ac:dyDescent="0.25">
      <c r="A5" s="632"/>
      <c r="B5" s="632"/>
      <c r="C5" s="633"/>
      <c r="D5" s="634"/>
      <c r="E5" s="635"/>
      <c r="F5" s="636"/>
      <c r="G5" s="637" t="s">
        <v>71</v>
      </c>
      <c r="H5" s="638" t="s">
        <v>14</v>
      </c>
      <c r="I5" s="639"/>
      <c r="J5" s="639"/>
      <c r="K5" s="637" t="s">
        <v>71</v>
      </c>
      <c r="L5" s="638" t="s">
        <v>14</v>
      </c>
      <c r="M5" s="639"/>
      <c r="N5" s="639"/>
      <c r="O5" s="637" t="s">
        <v>71</v>
      </c>
      <c r="P5" s="638" t="s">
        <v>14</v>
      </c>
      <c r="Q5" s="640"/>
      <c r="R5" s="641"/>
    </row>
    <row r="6" spans="1:18" ht="14.45" customHeight="1" x14ac:dyDescent="0.2">
      <c r="A6" s="562" t="s">
        <v>1230</v>
      </c>
      <c r="B6" s="563" t="s">
        <v>1231</v>
      </c>
      <c r="C6" s="563" t="s">
        <v>482</v>
      </c>
      <c r="D6" s="563" t="s">
        <v>1232</v>
      </c>
      <c r="E6" s="563" t="s">
        <v>1233</v>
      </c>
      <c r="F6" s="563" t="s">
        <v>1234</v>
      </c>
      <c r="G6" s="116">
        <v>126</v>
      </c>
      <c r="H6" s="116">
        <v>8316</v>
      </c>
      <c r="I6" s="563">
        <v>0.78062517600675863</v>
      </c>
      <c r="J6" s="563">
        <v>66</v>
      </c>
      <c r="K6" s="116">
        <v>159</v>
      </c>
      <c r="L6" s="116">
        <v>10653</v>
      </c>
      <c r="M6" s="563">
        <v>1</v>
      </c>
      <c r="N6" s="563">
        <v>67</v>
      </c>
      <c r="O6" s="116">
        <v>154</v>
      </c>
      <c r="P6" s="116">
        <v>10472</v>
      </c>
      <c r="Q6" s="568">
        <v>0.98300948089739981</v>
      </c>
      <c r="R6" s="586">
        <v>68</v>
      </c>
    </row>
    <row r="7" spans="1:18" ht="14.45" customHeight="1" x14ac:dyDescent="0.2">
      <c r="A7" s="569" t="s">
        <v>1230</v>
      </c>
      <c r="B7" s="570" t="s">
        <v>1231</v>
      </c>
      <c r="C7" s="570" t="s">
        <v>482</v>
      </c>
      <c r="D7" s="570" t="s">
        <v>1232</v>
      </c>
      <c r="E7" s="570" t="s">
        <v>1235</v>
      </c>
      <c r="F7" s="570" t="s">
        <v>1236</v>
      </c>
      <c r="G7" s="587">
        <v>280</v>
      </c>
      <c r="H7" s="587">
        <v>10360</v>
      </c>
      <c r="I7" s="570">
        <v>0.92105263157894735</v>
      </c>
      <c r="J7" s="570">
        <v>37</v>
      </c>
      <c r="K7" s="587">
        <v>296</v>
      </c>
      <c r="L7" s="587">
        <v>11248</v>
      </c>
      <c r="M7" s="570">
        <v>1</v>
      </c>
      <c r="N7" s="570">
        <v>38</v>
      </c>
      <c r="O7" s="587">
        <v>228</v>
      </c>
      <c r="P7" s="587">
        <v>8664</v>
      </c>
      <c r="Q7" s="575">
        <v>0.77027027027027029</v>
      </c>
      <c r="R7" s="588">
        <v>38</v>
      </c>
    </row>
    <row r="8" spans="1:18" ht="14.45" customHeight="1" x14ac:dyDescent="0.2">
      <c r="A8" s="569" t="s">
        <v>1230</v>
      </c>
      <c r="B8" s="570" t="s">
        <v>1231</v>
      </c>
      <c r="C8" s="570" t="s">
        <v>482</v>
      </c>
      <c r="D8" s="570" t="s">
        <v>1232</v>
      </c>
      <c r="E8" s="570" t="s">
        <v>1237</v>
      </c>
      <c r="F8" s="570" t="s">
        <v>1238</v>
      </c>
      <c r="G8" s="587"/>
      <c r="H8" s="587"/>
      <c r="I8" s="570"/>
      <c r="J8" s="570"/>
      <c r="K8" s="587"/>
      <c r="L8" s="587"/>
      <c r="M8" s="570"/>
      <c r="N8" s="570"/>
      <c r="O8" s="587">
        <v>1</v>
      </c>
      <c r="P8" s="587">
        <v>5</v>
      </c>
      <c r="Q8" s="575"/>
      <c r="R8" s="588">
        <v>5</v>
      </c>
    </row>
    <row r="9" spans="1:18" ht="14.45" customHeight="1" x14ac:dyDescent="0.2">
      <c r="A9" s="569" t="s">
        <v>1230</v>
      </c>
      <c r="B9" s="570" t="s">
        <v>1231</v>
      </c>
      <c r="C9" s="570" t="s">
        <v>482</v>
      </c>
      <c r="D9" s="570" t="s">
        <v>1232</v>
      </c>
      <c r="E9" s="570" t="s">
        <v>1239</v>
      </c>
      <c r="F9" s="570" t="s">
        <v>1240</v>
      </c>
      <c r="G9" s="587">
        <v>1058</v>
      </c>
      <c r="H9" s="587">
        <v>2627014</v>
      </c>
      <c r="I9" s="570">
        <v>0.88746575319327192</v>
      </c>
      <c r="J9" s="570">
        <v>2483</v>
      </c>
      <c r="K9" s="587">
        <v>1185</v>
      </c>
      <c r="L9" s="587">
        <v>2960130</v>
      </c>
      <c r="M9" s="570">
        <v>1</v>
      </c>
      <c r="N9" s="570">
        <v>2498</v>
      </c>
      <c r="O9" s="587">
        <v>1185</v>
      </c>
      <c r="P9" s="587">
        <v>2974350</v>
      </c>
      <c r="Q9" s="575">
        <v>1.0048038430744595</v>
      </c>
      <c r="R9" s="588">
        <v>2510</v>
      </c>
    </row>
    <row r="10" spans="1:18" ht="14.45" customHeight="1" x14ac:dyDescent="0.2">
      <c r="A10" s="569" t="s">
        <v>1230</v>
      </c>
      <c r="B10" s="570" t="s">
        <v>1231</v>
      </c>
      <c r="C10" s="570" t="s">
        <v>482</v>
      </c>
      <c r="D10" s="570" t="s">
        <v>1232</v>
      </c>
      <c r="E10" s="570" t="s">
        <v>1241</v>
      </c>
      <c r="F10" s="570" t="s">
        <v>1242</v>
      </c>
      <c r="G10" s="587">
        <v>209</v>
      </c>
      <c r="H10" s="587">
        <v>72523</v>
      </c>
      <c r="I10" s="570">
        <v>0.90880952380952384</v>
      </c>
      <c r="J10" s="570">
        <v>347</v>
      </c>
      <c r="K10" s="587">
        <v>228</v>
      </c>
      <c r="L10" s="587">
        <v>79800</v>
      </c>
      <c r="M10" s="570">
        <v>1</v>
      </c>
      <c r="N10" s="570">
        <v>350</v>
      </c>
      <c r="O10" s="587">
        <v>129</v>
      </c>
      <c r="P10" s="587">
        <v>45408</v>
      </c>
      <c r="Q10" s="575">
        <v>0.56902255639097743</v>
      </c>
      <c r="R10" s="588">
        <v>352</v>
      </c>
    </row>
    <row r="11" spans="1:18" ht="14.45" customHeight="1" x14ac:dyDescent="0.2">
      <c r="A11" s="569" t="s">
        <v>1230</v>
      </c>
      <c r="B11" s="570" t="s">
        <v>1231</v>
      </c>
      <c r="C11" s="570" t="s">
        <v>482</v>
      </c>
      <c r="D11" s="570" t="s">
        <v>1232</v>
      </c>
      <c r="E11" s="570" t="s">
        <v>1243</v>
      </c>
      <c r="F11" s="570" t="s">
        <v>1244</v>
      </c>
      <c r="G11" s="587">
        <v>2058</v>
      </c>
      <c r="H11" s="587">
        <v>722358</v>
      </c>
      <c r="I11" s="570">
        <v>0.91669331627758233</v>
      </c>
      <c r="J11" s="570">
        <v>351</v>
      </c>
      <c r="K11" s="587">
        <v>2226</v>
      </c>
      <c r="L11" s="587">
        <v>788004</v>
      </c>
      <c r="M11" s="570">
        <v>1</v>
      </c>
      <c r="N11" s="570">
        <v>354</v>
      </c>
      <c r="O11" s="587">
        <v>2311</v>
      </c>
      <c r="P11" s="587">
        <v>822716</v>
      </c>
      <c r="Q11" s="575">
        <v>1.0440505378145288</v>
      </c>
      <c r="R11" s="588">
        <v>356</v>
      </c>
    </row>
    <row r="12" spans="1:18" ht="14.45" customHeight="1" x14ac:dyDescent="0.2">
      <c r="A12" s="569" t="s">
        <v>1230</v>
      </c>
      <c r="B12" s="570" t="s">
        <v>1231</v>
      </c>
      <c r="C12" s="570" t="s">
        <v>482</v>
      </c>
      <c r="D12" s="570" t="s">
        <v>1232</v>
      </c>
      <c r="E12" s="570" t="s">
        <v>1245</v>
      </c>
      <c r="F12" s="570" t="s">
        <v>1246</v>
      </c>
      <c r="G12" s="587">
        <v>3181</v>
      </c>
      <c r="H12" s="587">
        <v>106032.95000000017</v>
      </c>
      <c r="I12" s="570">
        <v>0.71467013933354784</v>
      </c>
      <c r="J12" s="570">
        <v>33.333212826155354</v>
      </c>
      <c r="K12" s="587">
        <v>4451</v>
      </c>
      <c r="L12" s="587">
        <v>148366.28</v>
      </c>
      <c r="M12" s="570">
        <v>1</v>
      </c>
      <c r="N12" s="570">
        <v>33.333246461469329</v>
      </c>
      <c r="O12" s="587">
        <v>4388</v>
      </c>
      <c r="P12" s="587">
        <v>169936.74999999994</v>
      </c>
      <c r="Q12" s="575">
        <v>1.1453866067141398</v>
      </c>
      <c r="R12" s="588">
        <v>38.727609389243376</v>
      </c>
    </row>
    <row r="13" spans="1:18" ht="14.45" customHeight="1" x14ac:dyDescent="0.2">
      <c r="A13" s="569" t="s">
        <v>1230</v>
      </c>
      <c r="B13" s="570" t="s">
        <v>1231</v>
      </c>
      <c r="C13" s="570" t="s">
        <v>482</v>
      </c>
      <c r="D13" s="570" t="s">
        <v>1232</v>
      </c>
      <c r="E13" s="570" t="s">
        <v>1247</v>
      </c>
      <c r="F13" s="570" t="s">
        <v>1248</v>
      </c>
      <c r="G13" s="587">
        <v>2293</v>
      </c>
      <c r="H13" s="587">
        <v>3489946</v>
      </c>
      <c r="I13" s="570">
        <v>0.93430302459182502</v>
      </c>
      <c r="J13" s="570">
        <v>1522</v>
      </c>
      <c r="K13" s="587">
        <v>2443</v>
      </c>
      <c r="L13" s="587">
        <v>3735347</v>
      </c>
      <c r="M13" s="570">
        <v>1</v>
      </c>
      <c r="N13" s="570">
        <v>1529</v>
      </c>
      <c r="O13" s="587">
        <v>2280</v>
      </c>
      <c r="P13" s="587">
        <v>3499800</v>
      </c>
      <c r="Q13" s="575">
        <v>0.93694106598396343</v>
      </c>
      <c r="R13" s="588">
        <v>1535</v>
      </c>
    </row>
    <row r="14" spans="1:18" ht="14.45" customHeight="1" x14ac:dyDescent="0.2">
      <c r="A14" s="569" t="s">
        <v>1230</v>
      </c>
      <c r="B14" s="570" t="s">
        <v>1231</v>
      </c>
      <c r="C14" s="570" t="s">
        <v>482</v>
      </c>
      <c r="D14" s="570" t="s">
        <v>1232</v>
      </c>
      <c r="E14" s="570" t="s">
        <v>1249</v>
      </c>
      <c r="F14" s="570" t="s">
        <v>1250</v>
      </c>
      <c r="G14" s="587">
        <v>438</v>
      </c>
      <c r="H14" s="587">
        <v>50663</v>
      </c>
      <c r="I14" s="570">
        <v>0.9473969631236443</v>
      </c>
      <c r="J14" s="570">
        <v>115.6689497716895</v>
      </c>
      <c r="K14" s="587">
        <v>461</v>
      </c>
      <c r="L14" s="587">
        <v>53476</v>
      </c>
      <c r="M14" s="570">
        <v>1</v>
      </c>
      <c r="N14" s="570">
        <v>116</v>
      </c>
      <c r="O14" s="587">
        <v>549</v>
      </c>
      <c r="P14" s="587">
        <v>64233</v>
      </c>
      <c r="Q14" s="575">
        <v>1.2011556586132097</v>
      </c>
      <c r="R14" s="588">
        <v>117</v>
      </c>
    </row>
    <row r="15" spans="1:18" ht="14.45" customHeight="1" x14ac:dyDescent="0.2">
      <c r="A15" s="569" t="s">
        <v>1230</v>
      </c>
      <c r="B15" s="570" t="s">
        <v>1231</v>
      </c>
      <c r="C15" s="570" t="s">
        <v>482</v>
      </c>
      <c r="D15" s="570" t="s">
        <v>1232</v>
      </c>
      <c r="E15" s="570" t="s">
        <v>1251</v>
      </c>
      <c r="F15" s="570" t="s">
        <v>1252</v>
      </c>
      <c r="G15" s="587">
        <v>1124</v>
      </c>
      <c r="H15" s="587">
        <v>41588</v>
      </c>
      <c r="I15" s="570">
        <v>0.9150677697588453</v>
      </c>
      <c r="J15" s="570">
        <v>37</v>
      </c>
      <c r="K15" s="587">
        <v>1196</v>
      </c>
      <c r="L15" s="587">
        <v>45448</v>
      </c>
      <c r="M15" s="570">
        <v>1</v>
      </c>
      <c r="N15" s="570">
        <v>38</v>
      </c>
      <c r="O15" s="587">
        <v>1171</v>
      </c>
      <c r="P15" s="587">
        <v>44498</v>
      </c>
      <c r="Q15" s="575">
        <v>0.97909698996655514</v>
      </c>
      <c r="R15" s="588">
        <v>38</v>
      </c>
    </row>
    <row r="16" spans="1:18" ht="14.45" customHeight="1" x14ac:dyDescent="0.2">
      <c r="A16" s="569" t="s">
        <v>1230</v>
      </c>
      <c r="B16" s="570" t="s">
        <v>1231</v>
      </c>
      <c r="C16" s="570" t="s">
        <v>482</v>
      </c>
      <c r="D16" s="570" t="s">
        <v>1232</v>
      </c>
      <c r="E16" s="570" t="s">
        <v>1253</v>
      </c>
      <c r="F16" s="570" t="s">
        <v>1254</v>
      </c>
      <c r="G16" s="587">
        <v>35</v>
      </c>
      <c r="H16" s="587">
        <v>2590</v>
      </c>
      <c r="I16" s="570">
        <v>0.51542288557213933</v>
      </c>
      <c r="J16" s="570">
        <v>74</v>
      </c>
      <c r="K16" s="587">
        <v>67</v>
      </c>
      <c r="L16" s="587">
        <v>5025</v>
      </c>
      <c r="M16" s="570">
        <v>1</v>
      </c>
      <c r="N16" s="570">
        <v>75</v>
      </c>
      <c r="O16" s="587">
        <v>67</v>
      </c>
      <c r="P16" s="587">
        <v>5092</v>
      </c>
      <c r="Q16" s="575">
        <v>1.0133333333333334</v>
      </c>
      <c r="R16" s="588">
        <v>76</v>
      </c>
    </row>
    <row r="17" spans="1:18" ht="14.45" customHeight="1" x14ac:dyDescent="0.2">
      <c r="A17" s="569" t="s">
        <v>1230</v>
      </c>
      <c r="B17" s="570" t="s">
        <v>1231</v>
      </c>
      <c r="C17" s="570" t="s">
        <v>482</v>
      </c>
      <c r="D17" s="570" t="s">
        <v>1232</v>
      </c>
      <c r="E17" s="570" t="s">
        <v>1255</v>
      </c>
      <c r="F17" s="570" t="s">
        <v>1256</v>
      </c>
      <c r="G17" s="587">
        <v>1</v>
      </c>
      <c r="H17" s="587">
        <v>60</v>
      </c>
      <c r="I17" s="570"/>
      <c r="J17" s="570">
        <v>60</v>
      </c>
      <c r="K17" s="587"/>
      <c r="L17" s="587"/>
      <c r="M17" s="570"/>
      <c r="N17" s="570"/>
      <c r="O17" s="587">
        <v>2</v>
      </c>
      <c r="P17" s="587">
        <v>124</v>
      </c>
      <c r="Q17" s="575"/>
      <c r="R17" s="588">
        <v>62</v>
      </c>
    </row>
    <row r="18" spans="1:18" ht="14.45" customHeight="1" x14ac:dyDescent="0.2">
      <c r="A18" s="569" t="s">
        <v>1230</v>
      </c>
      <c r="B18" s="570" t="s">
        <v>1231</v>
      </c>
      <c r="C18" s="570" t="s">
        <v>482</v>
      </c>
      <c r="D18" s="570" t="s">
        <v>1232</v>
      </c>
      <c r="E18" s="570" t="s">
        <v>1257</v>
      </c>
      <c r="F18" s="570" t="s">
        <v>1258</v>
      </c>
      <c r="G18" s="587"/>
      <c r="H18" s="587"/>
      <c r="I18" s="570"/>
      <c r="J18" s="570"/>
      <c r="K18" s="587">
        <v>1</v>
      </c>
      <c r="L18" s="587">
        <v>4065</v>
      </c>
      <c r="M18" s="570">
        <v>1</v>
      </c>
      <c r="N18" s="570">
        <v>4065</v>
      </c>
      <c r="O18" s="587"/>
      <c r="P18" s="587"/>
      <c r="Q18" s="575"/>
      <c r="R18" s="588"/>
    </row>
    <row r="19" spans="1:18" ht="14.45" customHeight="1" x14ac:dyDescent="0.2">
      <c r="A19" s="569" t="s">
        <v>1259</v>
      </c>
      <c r="B19" s="570" t="s">
        <v>1260</v>
      </c>
      <c r="C19" s="570" t="s">
        <v>487</v>
      </c>
      <c r="D19" s="570" t="s">
        <v>1232</v>
      </c>
      <c r="E19" s="570" t="s">
        <v>1261</v>
      </c>
      <c r="F19" s="570" t="s">
        <v>1262</v>
      </c>
      <c r="G19" s="587">
        <v>105</v>
      </c>
      <c r="H19" s="587">
        <v>1306410</v>
      </c>
      <c r="I19" s="570">
        <v>1.014281665974387</v>
      </c>
      <c r="J19" s="570">
        <v>12442</v>
      </c>
      <c r="K19" s="587">
        <v>103</v>
      </c>
      <c r="L19" s="587">
        <v>1288015</v>
      </c>
      <c r="M19" s="570">
        <v>1</v>
      </c>
      <c r="N19" s="570">
        <v>12505</v>
      </c>
      <c r="O19" s="587">
        <v>95</v>
      </c>
      <c r="P19" s="587">
        <v>1193105</v>
      </c>
      <c r="Q19" s="575">
        <v>0.926312969957648</v>
      </c>
      <c r="R19" s="588">
        <v>12559</v>
      </c>
    </row>
    <row r="20" spans="1:18" ht="14.45" customHeight="1" x14ac:dyDescent="0.2">
      <c r="A20" s="569" t="s">
        <v>1259</v>
      </c>
      <c r="B20" s="570" t="s">
        <v>1260</v>
      </c>
      <c r="C20" s="570" t="s">
        <v>487</v>
      </c>
      <c r="D20" s="570" t="s">
        <v>1232</v>
      </c>
      <c r="E20" s="570" t="s">
        <v>1263</v>
      </c>
      <c r="F20" s="570" t="s">
        <v>1264</v>
      </c>
      <c r="G20" s="587">
        <v>2468</v>
      </c>
      <c r="H20" s="587">
        <v>737932</v>
      </c>
      <c r="I20" s="570">
        <v>1.0043088547918657</v>
      </c>
      <c r="J20" s="570">
        <v>299</v>
      </c>
      <c r="K20" s="587">
        <v>2433</v>
      </c>
      <c r="L20" s="587">
        <v>734766</v>
      </c>
      <c r="M20" s="570">
        <v>1</v>
      </c>
      <c r="N20" s="570">
        <v>302</v>
      </c>
      <c r="O20" s="587">
        <v>2299</v>
      </c>
      <c r="P20" s="587">
        <v>698896</v>
      </c>
      <c r="Q20" s="575">
        <v>0.95118173677061812</v>
      </c>
      <c r="R20" s="588">
        <v>304</v>
      </c>
    </row>
    <row r="21" spans="1:18" ht="14.45" customHeight="1" x14ac:dyDescent="0.2">
      <c r="A21" s="569" t="s">
        <v>1259</v>
      </c>
      <c r="B21" s="570" t="s">
        <v>1260</v>
      </c>
      <c r="C21" s="570" t="s">
        <v>487</v>
      </c>
      <c r="D21" s="570" t="s">
        <v>1232</v>
      </c>
      <c r="E21" s="570" t="s">
        <v>1265</v>
      </c>
      <c r="F21" s="570" t="s">
        <v>1266</v>
      </c>
      <c r="G21" s="587">
        <v>80</v>
      </c>
      <c r="H21" s="587">
        <v>837360</v>
      </c>
      <c r="I21" s="570">
        <v>1.2460714285714285</v>
      </c>
      <c r="J21" s="570">
        <v>10467</v>
      </c>
      <c r="K21" s="587">
        <v>64</v>
      </c>
      <c r="L21" s="587">
        <v>672000</v>
      </c>
      <c r="M21" s="570">
        <v>1</v>
      </c>
      <c r="N21" s="570">
        <v>10500</v>
      </c>
      <c r="O21" s="587">
        <v>74</v>
      </c>
      <c r="P21" s="587">
        <v>779220</v>
      </c>
      <c r="Q21" s="575">
        <v>1.1595535714285714</v>
      </c>
      <c r="R21" s="588">
        <v>10530</v>
      </c>
    </row>
    <row r="22" spans="1:18" ht="14.45" customHeight="1" x14ac:dyDescent="0.2">
      <c r="A22" s="569" t="s">
        <v>1259</v>
      </c>
      <c r="B22" s="570" t="s">
        <v>1260</v>
      </c>
      <c r="C22" s="570" t="s">
        <v>487</v>
      </c>
      <c r="D22" s="570" t="s">
        <v>1232</v>
      </c>
      <c r="E22" s="570" t="s">
        <v>1267</v>
      </c>
      <c r="F22" s="570" t="s">
        <v>1268</v>
      </c>
      <c r="G22" s="587"/>
      <c r="H22" s="587"/>
      <c r="I22" s="570"/>
      <c r="J22" s="570"/>
      <c r="K22" s="587"/>
      <c r="L22" s="587"/>
      <c r="M22" s="570"/>
      <c r="N22" s="570"/>
      <c r="O22" s="587">
        <v>1</v>
      </c>
      <c r="P22" s="587">
        <v>480</v>
      </c>
      <c r="Q22" s="575"/>
      <c r="R22" s="588">
        <v>480</v>
      </c>
    </row>
    <row r="23" spans="1:18" ht="14.45" customHeight="1" x14ac:dyDescent="0.2">
      <c r="A23" s="569" t="s">
        <v>1259</v>
      </c>
      <c r="B23" s="570" t="s">
        <v>1260</v>
      </c>
      <c r="C23" s="570" t="s">
        <v>487</v>
      </c>
      <c r="D23" s="570" t="s">
        <v>1232</v>
      </c>
      <c r="E23" s="570" t="s">
        <v>1269</v>
      </c>
      <c r="F23" s="570" t="s">
        <v>1270</v>
      </c>
      <c r="G23" s="587">
        <v>107</v>
      </c>
      <c r="H23" s="587">
        <v>70647</v>
      </c>
      <c r="I23" s="570">
        <v>1.0007224205337413</v>
      </c>
      <c r="J23" s="570">
        <v>660.25233644859816</v>
      </c>
      <c r="K23" s="587">
        <v>106</v>
      </c>
      <c r="L23" s="587">
        <v>70596</v>
      </c>
      <c r="M23" s="570">
        <v>1</v>
      </c>
      <c r="N23" s="570">
        <v>666</v>
      </c>
      <c r="O23" s="587">
        <v>100</v>
      </c>
      <c r="P23" s="587">
        <v>67000</v>
      </c>
      <c r="Q23" s="575">
        <v>0.94906226981698683</v>
      </c>
      <c r="R23" s="588">
        <v>670</v>
      </c>
    </row>
    <row r="24" spans="1:18" ht="14.45" customHeight="1" x14ac:dyDescent="0.2">
      <c r="A24" s="569" t="s">
        <v>1259</v>
      </c>
      <c r="B24" s="570" t="s">
        <v>1260</v>
      </c>
      <c r="C24" s="570" t="s">
        <v>487</v>
      </c>
      <c r="D24" s="570" t="s">
        <v>1232</v>
      </c>
      <c r="E24" s="570" t="s">
        <v>1271</v>
      </c>
      <c r="F24" s="570" t="s">
        <v>1272</v>
      </c>
      <c r="G24" s="587">
        <v>204</v>
      </c>
      <c r="H24" s="587">
        <v>196248</v>
      </c>
      <c r="I24" s="570">
        <v>1.1572932330827068</v>
      </c>
      <c r="J24" s="570">
        <v>962</v>
      </c>
      <c r="K24" s="587">
        <v>175</v>
      </c>
      <c r="L24" s="587">
        <v>169575</v>
      </c>
      <c r="M24" s="570">
        <v>1</v>
      </c>
      <c r="N24" s="570">
        <v>969</v>
      </c>
      <c r="O24" s="587">
        <v>160</v>
      </c>
      <c r="P24" s="587">
        <v>156000</v>
      </c>
      <c r="Q24" s="575">
        <v>0.91994692613887663</v>
      </c>
      <c r="R24" s="588">
        <v>975</v>
      </c>
    </row>
    <row r="25" spans="1:18" ht="14.45" customHeight="1" x14ac:dyDescent="0.2">
      <c r="A25" s="569" t="s">
        <v>1259</v>
      </c>
      <c r="B25" s="570" t="s">
        <v>1260</v>
      </c>
      <c r="C25" s="570" t="s">
        <v>487</v>
      </c>
      <c r="D25" s="570" t="s">
        <v>1232</v>
      </c>
      <c r="E25" s="570" t="s">
        <v>1273</v>
      </c>
      <c r="F25" s="570" t="s">
        <v>1274</v>
      </c>
      <c r="G25" s="587">
        <v>528</v>
      </c>
      <c r="H25" s="587">
        <v>3985872</v>
      </c>
      <c r="I25" s="570">
        <v>0.99219511175124331</v>
      </c>
      <c r="J25" s="570">
        <v>7549</v>
      </c>
      <c r="K25" s="587">
        <v>529</v>
      </c>
      <c r="L25" s="587">
        <v>4017226</v>
      </c>
      <c r="M25" s="570">
        <v>1</v>
      </c>
      <c r="N25" s="570">
        <v>7594</v>
      </c>
      <c r="O25" s="587">
        <v>498</v>
      </c>
      <c r="P25" s="587">
        <v>3801234</v>
      </c>
      <c r="Q25" s="575">
        <v>0.94623354523743497</v>
      </c>
      <c r="R25" s="588">
        <v>7633</v>
      </c>
    </row>
    <row r="26" spans="1:18" ht="14.45" customHeight="1" x14ac:dyDescent="0.2">
      <c r="A26" s="569" t="s">
        <v>1259</v>
      </c>
      <c r="B26" s="570" t="s">
        <v>1260</v>
      </c>
      <c r="C26" s="570" t="s">
        <v>487</v>
      </c>
      <c r="D26" s="570" t="s">
        <v>1232</v>
      </c>
      <c r="E26" s="570" t="s">
        <v>1275</v>
      </c>
      <c r="F26" s="570" t="s">
        <v>1276</v>
      </c>
      <c r="G26" s="587">
        <v>41</v>
      </c>
      <c r="H26" s="587">
        <v>216152</v>
      </c>
      <c r="I26" s="570">
        <v>2.0391698113207548</v>
      </c>
      <c r="J26" s="570">
        <v>5272</v>
      </c>
      <c r="K26" s="587">
        <v>20</v>
      </c>
      <c r="L26" s="587">
        <v>106000</v>
      </c>
      <c r="M26" s="570">
        <v>1</v>
      </c>
      <c r="N26" s="570">
        <v>5300</v>
      </c>
      <c r="O26" s="587">
        <v>9</v>
      </c>
      <c r="P26" s="587">
        <v>47925</v>
      </c>
      <c r="Q26" s="575">
        <v>0.45212264150943399</v>
      </c>
      <c r="R26" s="588">
        <v>5325</v>
      </c>
    </row>
    <row r="27" spans="1:18" ht="14.45" customHeight="1" x14ac:dyDescent="0.2">
      <c r="A27" s="569" t="s">
        <v>1259</v>
      </c>
      <c r="B27" s="570" t="s">
        <v>1260</v>
      </c>
      <c r="C27" s="570" t="s">
        <v>487</v>
      </c>
      <c r="D27" s="570" t="s">
        <v>1232</v>
      </c>
      <c r="E27" s="570" t="s">
        <v>1277</v>
      </c>
      <c r="F27" s="570" t="s">
        <v>1278</v>
      </c>
      <c r="G27" s="587">
        <v>100</v>
      </c>
      <c r="H27" s="587">
        <v>1052400</v>
      </c>
      <c r="I27" s="570">
        <v>1.4422859492239695</v>
      </c>
      <c r="J27" s="570">
        <v>10524</v>
      </c>
      <c r="K27" s="587">
        <v>69</v>
      </c>
      <c r="L27" s="587">
        <v>729675</v>
      </c>
      <c r="M27" s="570">
        <v>1</v>
      </c>
      <c r="N27" s="570">
        <v>10575</v>
      </c>
      <c r="O27" s="587">
        <v>60</v>
      </c>
      <c r="P27" s="587">
        <v>637140</v>
      </c>
      <c r="Q27" s="575">
        <v>0.87318326652276701</v>
      </c>
      <c r="R27" s="588">
        <v>10619</v>
      </c>
    </row>
    <row r="28" spans="1:18" ht="14.45" customHeight="1" x14ac:dyDescent="0.2">
      <c r="A28" s="569" t="s">
        <v>1259</v>
      </c>
      <c r="B28" s="570" t="s">
        <v>1260</v>
      </c>
      <c r="C28" s="570" t="s">
        <v>487</v>
      </c>
      <c r="D28" s="570" t="s">
        <v>1232</v>
      </c>
      <c r="E28" s="570" t="s">
        <v>1279</v>
      </c>
      <c r="F28" s="570" t="s">
        <v>1280</v>
      </c>
      <c r="G28" s="587">
        <v>6</v>
      </c>
      <c r="H28" s="587">
        <v>74652</v>
      </c>
      <c r="I28" s="570">
        <v>0.66330801012928164</v>
      </c>
      <c r="J28" s="570">
        <v>12442</v>
      </c>
      <c r="K28" s="587">
        <v>9</v>
      </c>
      <c r="L28" s="587">
        <v>112545</v>
      </c>
      <c r="M28" s="570">
        <v>1</v>
      </c>
      <c r="N28" s="570">
        <v>12505</v>
      </c>
      <c r="O28" s="587">
        <v>14</v>
      </c>
      <c r="P28" s="587">
        <v>175826</v>
      </c>
      <c r="Q28" s="575">
        <v>1.5622728686303256</v>
      </c>
      <c r="R28" s="588">
        <v>12559</v>
      </c>
    </row>
    <row r="29" spans="1:18" ht="14.45" customHeight="1" x14ac:dyDescent="0.2">
      <c r="A29" s="569" t="s">
        <v>1259</v>
      </c>
      <c r="B29" s="570" t="s">
        <v>1260</v>
      </c>
      <c r="C29" s="570" t="s">
        <v>487</v>
      </c>
      <c r="D29" s="570" t="s">
        <v>1232</v>
      </c>
      <c r="E29" s="570" t="s">
        <v>1281</v>
      </c>
      <c r="F29" s="570" t="s">
        <v>1282</v>
      </c>
      <c r="G29" s="587">
        <v>4</v>
      </c>
      <c r="H29" s="587">
        <v>4456</v>
      </c>
      <c r="I29" s="570">
        <v>0.56684900139931305</v>
      </c>
      <c r="J29" s="570">
        <v>1114</v>
      </c>
      <c r="K29" s="587">
        <v>7</v>
      </c>
      <c r="L29" s="587">
        <v>7861</v>
      </c>
      <c r="M29" s="570">
        <v>1</v>
      </c>
      <c r="N29" s="570">
        <v>1123</v>
      </c>
      <c r="O29" s="587">
        <v>1</v>
      </c>
      <c r="P29" s="587">
        <v>1132</v>
      </c>
      <c r="Q29" s="575">
        <v>0.14400203536445744</v>
      </c>
      <c r="R29" s="588">
        <v>1132</v>
      </c>
    </row>
    <row r="30" spans="1:18" ht="14.45" customHeight="1" x14ac:dyDescent="0.2">
      <c r="A30" s="569" t="s">
        <v>1259</v>
      </c>
      <c r="B30" s="570" t="s">
        <v>1260</v>
      </c>
      <c r="C30" s="570" t="s">
        <v>487</v>
      </c>
      <c r="D30" s="570" t="s">
        <v>1232</v>
      </c>
      <c r="E30" s="570" t="s">
        <v>1283</v>
      </c>
      <c r="F30" s="570" t="s">
        <v>1284</v>
      </c>
      <c r="G30" s="587">
        <v>4</v>
      </c>
      <c r="H30" s="587">
        <v>2496</v>
      </c>
      <c r="I30" s="570"/>
      <c r="J30" s="570">
        <v>624</v>
      </c>
      <c r="K30" s="587"/>
      <c r="L30" s="587"/>
      <c r="M30" s="570"/>
      <c r="N30" s="570"/>
      <c r="O30" s="587">
        <v>4</v>
      </c>
      <c r="P30" s="587">
        <v>2532</v>
      </c>
      <c r="Q30" s="575"/>
      <c r="R30" s="588">
        <v>633</v>
      </c>
    </row>
    <row r="31" spans="1:18" ht="14.45" customHeight="1" x14ac:dyDescent="0.2">
      <c r="A31" s="569" t="s">
        <v>1259</v>
      </c>
      <c r="B31" s="570" t="s">
        <v>1260</v>
      </c>
      <c r="C31" s="570" t="s">
        <v>487</v>
      </c>
      <c r="D31" s="570" t="s">
        <v>1232</v>
      </c>
      <c r="E31" s="570" t="s">
        <v>1285</v>
      </c>
      <c r="F31" s="570" t="s">
        <v>1286</v>
      </c>
      <c r="G31" s="587">
        <v>246</v>
      </c>
      <c r="H31" s="587">
        <v>149814</v>
      </c>
      <c r="I31" s="570">
        <v>0.92725044563279857</v>
      </c>
      <c r="J31" s="570">
        <v>609</v>
      </c>
      <c r="K31" s="587">
        <v>264</v>
      </c>
      <c r="L31" s="587">
        <v>161568</v>
      </c>
      <c r="M31" s="570">
        <v>1</v>
      </c>
      <c r="N31" s="570">
        <v>612</v>
      </c>
      <c r="O31" s="587">
        <v>233</v>
      </c>
      <c r="P31" s="587">
        <v>143295</v>
      </c>
      <c r="Q31" s="575">
        <v>0.88690210932857994</v>
      </c>
      <c r="R31" s="588">
        <v>615</v>
      </c>
    </row>
    <row r="32" spans="1:18" ht="14.45" customHeight="1" x14ac:dyDescent="0.2">
      <c r="A32" s="569" t="s">
        <v>1259</v>
      </c>
      <c r="B32" s="570" t="s">
        <v>1260</v>
      </c>
      <c r="C32" s="570" t="s">
        <v>487</v>
      </c>
      <c r="D32" s="570" t="s">
        <v>1232</v>
      </c>
      <c r="E32" s="570" t="s">
        <v>1287</v>
      </c>
      <c r="F32" s="570" t="s">
        <v>1288</v>
      </c>
      <c r="G32" s="587">
        <v>197</v>
      </c>
      <c r="H32" s="587">
        <v>882560</v>
      </c>
      <c r="I32" s="570">
        <v>1.092737042815046</v>
      </c>
      <c r="J32" s="570">
        <v>4480</v>
      </c>
      <c r="K32" s="587">
        <v>180</v>
      </c>
      <c r="L32" s="587">
        <v>807660</v>
      </c>
      <c r="M32" s="570">
        <v>1</v>
      </c>
      <c r="N32" s="570">
        <v>4487</v>
      </c>
      <c r="O32" s="587">
        <v>224</v>
      </c>
      <c r="P32" s="587">
        <v>1006432</v>
      </c>
      <c r="Q32" s="575">
        <v>1.2461085110071068</v>
      </c>
      <c r="R32" s="588">
        <v>4493</v>
      </c>
    </row>
    <row r="33" spans="1:18" ht="14.45" customHeight="1" x14ac:dyDescent="0.2">
      <c r="A33" s="569" t="s">
        <v>1259</v>
      </c>
      <c r="B33" s="570" t="s">
        <v>1260</v>
      </c>
      <c r="C33" s="570" t="s">
        <v>487</v>
      </c>
      <c r="D33" s="570" t="s">
        <v>1232</v>
      </c>
      <c r="E33" s="570" t="s">
        <v>1289</v>
      </c>
      <c r="F33" s="570" t="s">
        <v>1290</v>
      </c>
      <c r="G33" s="587">
        <v>1239</v>
      </c>
      <c r="H33" s="587">
        <v>1371160</v>
      </c>
      <c r="I33" s="570">
        <v>0.97036864043933957</v>
      </c>
      <c r="J33" s="570">
        <v>1106.6666666666667</v>
      </c>
      <c r="K33" s="587">
        <v>1273</v>
      </c>
      <c r="L33" s="587">
        <v>1413030</v>
      </c>
      <c r="M33" s="570">
        <v>1</v>
      </c>
      <c r="N33" s="570">
        <v>1110</v>
      </c>
      <c r="O33" s="587">
        <v>1199</v>
      </c>
      <c r="P33" s="587">
        <v>1335686</v>
      </c>
      <c r="Q33" s="575">
        <v>0.94526372405398329</v>
      </c>
      <c r="R33" s="588">
        <v>1114</v>
      </c>
    </row>
    <row r="34" spans="1:18" ht="14.45" customHeight="1" x14ac:dyDescent="0.2">
      <c r="A34" s="569" t="s">
        <v>1259</v>
      </c>
      <c r="B34" s="570" t="s">
        <v>1260</v>
      </c>
      <c r="C34" s="570" t="s">
        <v>487</v>
      </c>
      <c r="D34" s="570" t="s">
        <v>1232</v>
      </c>
      <c r="E34" s="570" t="s">
        <v>1291</v>
      </c>
      <c r="F34" s="570" t="s">
        <v>1292</v>
      </c>
      <c r="G34" s="587">
        <v>546</v>
      </c>
      <c r="H34" s="587">
        <v>4056780</v>
      </c>
      <c r="I34" s="570">
        <v>1.0182310131784862</v>
      </c>
      <c r="J34" s="570">
        <v>7430</v>
      </c>
      <c r="K34" s="587">
        <v>535</v>
      </c>
      <c r="L34" s="587">
        <v>3984145</v>
      </c>
      <c r="M34" s="570">
        <v>1</v>
      </c>
      <c r="N34" s="570">
        <v>7447</v>
      </c>
      <c r="O34" s="587">
        <v>416</v>
      </c>
      <c r="P34" s="587">
        <v>3104192</v>
      </c>
      <c r="Q34" s="575">
        <v>0.77913630151513058</v>
      </c>
      <c r="R34" s="588">
        <v>7462</v>
      </c>
    </row>
    <row r="35" spans="1:18" ht="14.45" customHeight="1" x14ac:dyDescent="0.2">
      <c r="A35" s="569" t="s">
        <v>1259</v>
      </c>
      <c r="B35" s="570" t="s">
        <v>1260</v>
      </c>
      <c r="C35" s="570" t="s">
        <v>487</v>
      </c>
      <c r="D35" s="570" t="s">
        <v>1232</v>
      </c>
      <c r="E35" s="570" t="s">
        <v>1293</v>
      </c>
      <c r="F35" s="570" t="s">
        <v>1294</v>
      </c>
      <c r="G35" s="587">
        <v>656</v>
      </c>
      <c r="H35" s="587">
        <v>2515760</v>
      </c>
      <c r="I35" s="570">
        <v>5.1599723517238125</v>
      </c>
      <c r="J35" s="570">
        <v>3835</v>
      </c>
      <c r="K35" s="587">
        <v>127</v>
      </c>
      <c r="L35" s="587">
        <v>487553</v>
      </c>
      <c r="M35" s="570">
        <v>1</v>
      </c>
      <c r="N35" s="570">
        <v>3839</v>
      </c>
      <c r="O35" s="587">
        <v>136</v>
      </c>
      <c r="P35" s="587">
        <v>522648</v>
      </c>
      <c r="Q35" s="575">
        <v>1.0719819178632888</v>
      </c>
      <c r="R35" s="588">
        <v>3843</v>
      </c>
    </row>
    <row r="36" spans="1:18" ht="14.45" customHeight="1" x14ac:dyDescent="0.2">
      <c r="A36" s="569" t="s">
        <v>1259</v>
      </c>
      <c r="B36" s="570" t="s">
        <v>1260</v>
      </c>
      <c r="C36" s="570" t="s">
        <v>487</v>
      </c>
      <c r="D36" s="570" t="s">
        <v>1232</v>
      </c>
      <c r="E36" s="570" t="s">
        <v>1295</v>
      </c>
      <c r="F36" s="570" t="s">
        <v>1296</v>
      </c>
      <c r="G36" s="587">
        <v>279</v>
      </c>
      <c r="H36" s="587">
        <v>668413</v>
      </c>
      <c r="I36" s="570">
        <v>0.39077350485563467</v>
      </c>
      <c r="J36" s="570">
        <v>2395.7455197132617</v>
      </c>
      <c r="K36" s="587">
        <v>713</v>
      </c>
      <c r="L36" s="587">
        <v>1710487</v>
      </c>
      <c r="M36" s="570">
        <v>1</v>
      </c>
      <c r="N36" s="570">
        <v>2399</v>
      </c>
      <c r="O36" s="587">
        <v>1023</v>
      </c>
      <c r="P36" s="587">
        <v>2457246</v>
      </c>
      <c r="Q36" s="575">
        <v>1.436576834550628</v>
      </c>
      <c r="R36" s="588">
        <v>2402</v>
      </c>
    </row>
    <row r="37" spans="1:18" ht="14.45" customHeight="1" x14ac:dyDescent="0.2">
      <c r="A37" s="569" t="s">
        <v>1259</v>
      </c>
      <c r="B37" s="570" t="s">
        <v>1260</v>
      </c>
      <c r="C37" s="570" t="s">
        <v>487</v>
      </c>
      <c r="D37" s="570" t="s">
        <v>1232</v>
      </c>
      <c r="E37" s="570" t="s">
        <v>1297</v>
      </c>
      <c r="F37" s="570" t="s">
        <v>1298</v>
      </c>
      <c r="G37" s="587">
        <v>25</v>
      </c>
      <c r="H37" s="587">
        <v>887475</v>
      </c>
      <c r="I37" s="570">
        <v>1.6645566058969166</v>
      </c>
      <c r="J37" s="570">
        <v>35499</v>
      </c>
      <c r="K37" s="587">
        <v>15</v>
      </c>
      <c r="L37" s="587">
        <v>533160</v>
      </c>
      <c r="M37" s="570">
        <v>1</v>
      </c>
      <c r="N37" s="570">
        <v>35544</v>
      </c>
      <c r="O37" s="587">
        <v>16</v>
      </c>
      <c r="P37" s="587">
        <v>569344</v>
      </c>
      <c r="Q37" s="575">
        <v>1.0678670567934578</v>
      </c>
      <c r="R37" s="588">
        <v>35584</v>
      </c>
    </row>
    <row r="38" spans="1:18" ht="14.45" customHeight="1" x14ac:dyDescent="0.2">
      <c r="A38" s="569" t="s">
        <v>1259</v>
      </c>
      <c r="B38" s="570" t="s">
        <v>1260</v>
      </c>
      <c r="C38" s="570" t="s">
        <v>487</v>
      </c>
      <c r="D38" s="570" t="s">
        <v>1232</v>
      </c>
      <c r="E38" s="570" t="s">
        <v>1299</v>
      </c>
      <c r="F38" s="570" t="s">
        <v>1300</v>
      </c>
      <c r="G38" s="587">
        <v>23</v>
      </c>
      <c r="H38" s="587">
        <v>202538</v>
      </c>
      <c r="I38" s="570">
        <v>2.298173153296267</v>
      </c>
      <c r="J38" s="570">
        <v>8806</v>
      </c>
      <c r="K38" s="587">
        <v>10</v>
      </c>
      <c r="L38" s="587">
        <v>88130</v>
      </c>
      <c r="M38" s="570">
        <v>1</v>
      </c>
      <c r="N38" s="570">
        <v>8813</v>
      </c>
      <c r="O38" s="587">
        <v>17</v>
      </c>
      <c r="P38" s="587">
        <v>149940</v>
      </c>
      <c r="Q38" s="575">
        <v>1.7013502779984115</v>
      </c>
      <c r="R38" s="588">
        <v>8820</v>
      </c>
    </row>
    <row r="39" spans="1:18" ht="14.45" customHeight="1" x14ac:dyDescent="0.2">
      <c r="A39" s="569" t="s">
        <v>1259</v>
      </c>
      <c r="B39" s="570" t="s">
        <v>1260</v>
      </c>
      <c r="C39" s="570" t="s">
        <v>487</v>
      </c>
      <c r="D39" s="570" t="s">
        <v>1232</v>
      </c>
      <c r="E39" s="570" t="s">
        <v>1301</v>
      </c>
      <c r="F39" s="570" t="s">
        <v>1302</v>
      </c>
      <c r="G39" s="587">
        <v>33</v>
      </c>
      <c r="H39" s="587">
        <v>330000</v>
      </c>
      <c r="I39" s="570">
        <v>0.532258064516129</v>
      </c>
      <c r="J39" s="570">
        <v>10000</v>
      </c>
      <c r="K39" s="587">
        <v>62</v>
      </c>
      <c r="L39" s="587">
        <v>620000</v>
      </c>
      <c r="M39" s="570">
        <v>1</v>
      </c>
      <c r="N39" s="570">
        <v>10000</v>
      </c>
      <c r="O39" s="587">
        <v>54</v>
      </c>
      <c r="P39" s="587">
        <v>540000</v>
      </c>
      <c r="Q39" s="575">
        <v>0.87096774193548387</v>
      </c>
      <c r="R39" s="588">
        <v>10000</v>
      </c>
    </row>
    <row r="40" spans="1:18" ht="14.45" customHeight="1" x14ac:dyDescent="0.2">
      <c r="A40" s="569" t="s">
        <v>1259</v>
      </c>
      <c r="B40" s="570" t="s">
        <v>1260</v>
      </c>
      <c r="C40" s="570" t="s">
        <v>487</v>
      </c>
      <c r="D40" s="570" t="s">
        <v>1232</v>
      </c>
      <c r="E40" s="570" t="s">
        <v>1303</v>
      </c>
      <c r="F40" s="570" t="s">
        <v>1304</v>
      </c>
      <c r="G40" s="587">
        <v>304</v>
      </c>
      <c r="H40" s="587">
        <v>3273066.6899999995</v>
      </c>
      <c r="I40" s="570">
        <v>0.90476190871085271</v>
      </c>
      <c r="J40" s="570">
        <v>10766.66674342105</v>
      </c>
      <c r="K40" s="587">
        <v>336</v>
      </c>
      <c r="L40" s="587">
        <v>3617600.01</v>
      </c>
      <c r="M40" s="570">
        <v>1</v>
      </c>
      <c r="N40" s="570">
        <v>10766.666696428571</v>
      </c>
      <c r="O40" s="587">
        <v>281</v>
      </c>
      <c r="P40" s="587">
        <v>3025433.34</v>
      </c>
      <c r="Q40" s="575">
        <v>0.83630952334058628</v>
      </c>
      <c r="R40" s="588">
        <v>10766.666690391459</v>
      </c>
    </row>
    <row r="41" spans="1:18" ht="14.45" customHeight="1" x14ac:dyDescent="0.2">
      <c r="A41" s="569" t="s">
        <v>1259</v>
      </c>
      <c r="B41" s="570" t="s">
        <v>1260</v>
      </c>
      <c r="C41" s="570" t="s">
        <v>487</v>
      </c>
      <c r="D41" s="570" t="s">
        <v>1232</v>
      </c>
      <c r="E41" s="570" t="s">
        <v>1305</v>
      </c>
      <c r="F41" s="570" t="s">
        <v>1306</v>
      </c>
      <c r="G41" s="587">
        <v>161</v>
      </c>
      <c r="H41" s="587">
        <v>1341666.6599999999</v>
      </c>
      <c r="I41" s="570">
        <v>0.96987952260124832</v>
      </c>
      <c r="J41" s="570">
        <v>8333.3332919254644</v>
      </c>
      <c r="K41" s="587">
        <v>166</v>
      </c>
      <c r="L41" s="587">
        <v>1383333.32</v>
      </c>
      <c r="M41" s="570">
        <v>1</v>
      </c>
      <c r="N41" s="570">
        <v>8333.3332530120479</v>
      </c>
      <c r="O41" s="587">
        <v>164</v>
      </c>
      <c r="P41" s="587">
        <v>1366666.66</v>
      </c>
      <c r="Q41" s="575">
        <v>0.9879518119320656</v>
      </c>
      <c r="R41" s="588">
        <v>8333.3332926829262</v>
      </c>
    </row>
    <row r="42" spans="1:18" ht="14.45" customHeight="1" x14ac:dyDescent="0.2">
      <c r="A42" s="569" t="s">
        <v>1259</v>
      </c>
      <c r="B42" s="570" t="s">
        <v>1260</v>
      </c>
      <c r="C42" s="570" t="s">
        <v>487</v>
      </c>
      <c r="D42" s="570" t="s">
        <v>1232</v>
      </c>
      <c r="E42" s="570" t="s">
        <v>1307</v>
      </c>
      <c r="F42" s="570" t="s">
        <v>1308</v>
      </c>
      <c r="G42" s="587">
        <v>311</v>
      </c>
      <c r="H42" s="587">
        <v>0</v>
      </c>
      <c r="I42" s="570"/>
      <c r="J42" s="570">
        <v>0</v>
      </c>
      <c r="K42" s="587">
        <v>489</v>
      </c>
      <c r="L42" s="587">
        <v>0</v>
      </c>
      <c r="M42" s="570"/>
      <c r="N42" s="570">
        <v>0</v>
      </c>
      <c r="O42" s="587">
        <v>561</v>
      </c>
      <c r="P42" s="587">
        <v>0</v>
      </c>
      <c r="Q42" s="575"/>
      <c r="R42" s="588">
        <v>0</v>
      </c>
    </row>
    <row r="43" spans="1:18" ht="14.45" customHeight="1" x14ac:dyDescent="0.2">
      <c r="A43" s="569" t="s">
        <v>1259</v>
      </c>
      <c r="B43" s="570" t="s">
        <v>1260</v>
      </c>
      <c r="C43" s="570" t="s">
        <v>487</v>
      </c>
      <c r="D43" s="570" t="s">
        <v>1232</v>
      </c>
      <c r="E43" s="570" t="s">
        <v>1309</v>
      </c>
      <c r="F43" s="570" t="s">
        <v>1310</v>
      </c>
      <c r="G43" s="587">
        <v>45</v>
      </c>
      <c r="H43" s="587">
        <v>371250</v>
      </c>
      <c r="I43" s="570">
        <v>0.19565217391304349</v>
      </c>
      <c r="J43" s="570">
        <v>8250</v>
      </c>
      <c r="K43" s="587">
        <v>230</v>
      </c>
      <c r="L43" s="587">
        <v>1897500</v>
      </c>
      <c r="M43" s="570">
        <v>1</v>
      </c>
      <c r="N43" s="570">
        <v>8250</v>
      </c>
      <c r="O43" s="587">
        <v>170</v>
      </c>
      <c r="P43" s="587">
        <v>1402500</v>
      </c>
      <c r="Q43" s="575">
        <v>0.73913043478260865</v>
      </c>
      <c r="R43" s="588">
        <v>8250</v>
      </c>
    </row>
    <row r="44" spans="1:18" ht="14.45" customHeight="1" x14ac:dyDescent="0.2">
      <c r="A44" s="569" t="s">
        <v>1259</v>
      </c>
      <c r="B44" s="570" t="s">
        <v>1260</v>
      </c>
      <c r="C44" s="570" t="s">
        <v>487</v>
      </c>
      <c r="D44" s="570" t="s">
        <v>1232</v>
      </c>
      <c r="E44" s="570" t="s">
        <v>1311</v>
      </c>
      <c r="F44" s="570" t="s">
        <v>1312</v>
      </c>
      <c r="G44" s="587">
        <v>29</v>
      </c>
      <c r="H44" s="587">
        <v>0</v>
      </c>
      <c r="I44" s="570"/>
      <c r="J44" s="570">
        <v>0</v>
      </c>
      <c r="K44" s="587">
        <v>38</v>
      </c>
      <c r="L44" s="587">
        <v>0</v>
      </c>
      <c r="M44" s="570"/>
      <c r="N44" s="570">
        <v>0</v>
      </c>
      <c r="O44" s="587">
        <v>92</v>
      </c>
      <c r="P44" s="587">
        <v>0</v>
      </c>
      <c r="Q44" s="575"/>
      <c r="R44" s="588">
        <v>0</v>
      </c>
    </row>
    <row r="45" spans="1:18" ht="14.45" customHeight="1" x14ac:dyDescent="0.2">
      <c r="A45" s="569" t="s">
        <v>1259</v>
      </c>
      <c r="B45" s="570" t="s">
        <v>1260</v>
      </c>
      <c r="C45" s="570" t="s">
        <v>487</v>
      </c>
      <c r="D45" s="570" t="s">
        <v>1232</v>
      </c>
      <c r="E45" s="570" t="s">
        <v>1313</v>
      </c>
      <c r="F45" s="570" t="s">
        <v>1314</v>
      </c>
      <c r="G45" s="587">
        <v>0</v>
      </c>
      <c r="H45" s="587">
        <v>0</v>
      </c>
      <c r="I45" s="570"/>
      <c r="J45" s="570"/>
      <c r="K45" s="587"/>
      <c r="L45" s="587"/>
      <c r="M45" s="570"/>
      <c r="N45" s="570"/>
      <c r="O45" s="587">
        <v>1</v>
      </c>
      <c r="P45" s="587">
        <v>4059</v>
      </c>
      <c r="Q45" s="575"/>
      <c r="R45" s="588">
        <v>4059</v>
      </c>
    </row>
    <row r="46" spans="1:18" ht="14.45" customHeight="1" x14ac:dyDescent="0.2">
      <c r="A46" s="569" t="s">
        <v>1259</v>
      </c>
      <c r="B46" s="570" t="s">
        <v>1260</v>
      </c>
      <c r="C46" s="570" t="s">
        <v>487</v>
      </c>
      <c r="D46" s="570" t="s">
        <v>1232</v>
      </c>
      <c r="E46" s="570" t="s">
        <v>1315</v>
      </c>
      <c r="F46" s="570" t="s">
        <v>1316</v>
      </c>
      <c r="G46" s="587">
        <v>34</v>
      </c>
      <c r="H46" s="587">
        <v>1038888.9400000003</v>
      </c>
      <c r="I46" s="570">
        <v>0.8717948976152049</v>
      </c>
      <c r="J46" s="570">
        <v>30555.557058823539</v>
      </c>
      <c r="K46" s="587">
        <v>39</v>
      </c>
      <c r="L46" s="587">
        <v>1191666.6900000002</v>
      </c>
      <c r="M46" s="570">
        <v>1</v>
      </c>
      <c r="N46" s="570">
        <v>30555.556153846159</v>
      </c>
      <c r="O46" s="587">
        <v>91</v>
      </c>
      <c r="P46" s="587">
        <v>2780555.620000001</v>
      </c>
      <c r="Q46" s="575">
        <v>2.3333333417249422</v>
      </c>
      <c r="R46" s="588">
        <v>30555.556263736275</v>
      </c>
    </row>
    <row r="47" spans="1:18" ht="14.45" customHeight="1" x14ac:dyDescent="0.2">
      <c r="A47" s="569" t="s">
        <v>1259</v>
      </c>
      <c r="B47" s="570" t="s">
        <v>1260</v>
      </c>
      <c r="C47" s="570" t="s">
        <v>487</v>
      </c>
      <c r="D47" s="570" t="s">
        <v>1232</v>
      </c>
      <c r="E47" s="570" t="s">
        <v>1317</v>
      </c>
      <c r="F47" s="570" t="s">
        <v>1318</v>
      </c>
      <c r="G47" s="587">
        <v>52</v>
      </c>
      <c r="H47" s="587">
        <v>221520</v>
      </c>
      <c r="I47" s="570">
        <v>1.7333333333333334</v>
      </c>
      <c r="J47" s="570">
        <v>4260</v>
      </c>
      <c r="K47" s="587">
        <v>30</v>
      </c>
      <c r="L47" s="587">
        <v>127800</v>
      </c>
      <c r="M47" s="570">
        <v>1</v>
      </c>
      <c r="N47" s="570">
        <v>4260</v>
      </c>
      <c r="O47" s="587">
        <v>22</v>
      </c>
      <c r="P47" s="587">
        <v>93720</v>
      </c>
      <c r="Q47" s="575">
        <v>0.73333333333333328</v>
      </c>
      <c r="R47" s="588">
        <v>4260</v>
      </c>
    </row>
    <row r="48" spans="1:18" ht="14.45" customHeight="1" x14ac:dyDescent="0.2">
      <c r="A48" s="569" t="s">
        <v>1259</v>
      </c>
      <c r="B48" s="570" t="s">
        <v>1260</v>
      </c>
      <c r="C48" s="570" t="s">
        <v>487</v>
      </c>
      <c r="D48" s="570" t="s">
        <v>1232</v>
      </c>
      <c r="E48" s="570" t="s">
        <v>1319</v>
      </c>
      <c r="F48" s="570" t="s">
        <v>1320</v>
      </c>
      <c r="G48" s="587">
        <v>28</v>
      </c>
      <c r="H48" s="587">
        <v>149022.22</v>
      </c>
      <c r="I48" s="570">
        <v>0.96551731734018509</v>
      </c>
      <c r="J48" s="570">
        <v>5322.2221428571429</v>
      </c>
      <c r="K48" s="587">
        <v>29</v>
      </c>
      <c r="L48" s="587">
        <v>154344.43000000002</v>
      </c>
      <c r="M48" s="570">
        <v>1</v>
      </c>
      <c r="N48" s="570">
        <v>5322.2217241379321</v>
      </c>
      <c r="O48" s="587">
        <v>17</v>
      </c>
      <c r="P48" s="587">
        <v>90477.78</v>
      </c>
      <c r="Q48" s="575">
        <v>0.58620696581016873</v>
      </c>
      <c r="R48" s="588">
        <v>5322.2223529411767</v>
      </c>
    </row>
    <row r="49" spans="1:18" ht="14.45" customHeight="1" x14ac:dyDescent="0.2">
      <c r="A49" s="569" t="s">
        <v>1259</v>
      </c>
      <c r="B49" s="570" t="s">
        <v>1260</v>
      </c>
      <c r="C49" s="570" t="s">
        <v>487</v>
      </c>
      <c r="D49" s="570" t="s">
        <v>1232</v>
      </c>
      <c r="E49" s="570" t="s">
        <v>1321</v>
      </c>
      <c r="F49" s="570" t="s">
        <v>1322</v>
      </c>
      <c r="G49" s="587">
        <v>177</v>
      </c>
      <c r="H49" s="587">
        <v>7788000</v>
      </c>
      <c r="I49" s="570">
        <v>0.78666666666666663</v>
      </c>
      <c r="J49" s="570">
        <v>44000</v>
      </c>
      <c r="K49" s="587">
        <v>225</v>
      </c>
      <c r="L49" s="587">
        <v>9900000</v>
      </c>
      <c r="M49" s="570">
        <v>1</v>
      </c>
      <c r="N49" s="570">
        <v>44000</v>
      </c>
      <c r="O49" s="587">
        <v>273</v>
      </c>
      <c r="P49" s="587">
        <v>12012000</v>
      </c>
      <c r="Q49" s="575">
        <v>1.2133333333333334</v>
      </c>
      <c r="R49" s="588">
        <v>44000</v>
      </c>
    </row>
    <row r="50" spans="1:18" ht="14.45" customHeight="1" x14ac:dyDescent="0.2">
      <c r="A50" s="569" t="s">
        <v>1259</v>
      </c>
      <c r="B50" s="570" t="s">
        <v>1260</v>
      </c>
      <c r="C50" s="570" t="s">
        <v>487</v>
      </c>
      <c r="D50" s="570" t="s">
        <v>1232</v>
      </c>
      <c r="E50" s="570" t="s">
        <v>1323</v>
      </c>
      <c r="F50" s="570" t="s">
        <v>1324</v>
      </c>
      <c r="G50" s="587"/>
      <c r="H50" s="587"/>
      <c r="I50" s="570"/>
      <c r="J50" s="570"/>
      <c r="K50" s="587">
        <v>2</v>
      </c>
      <c r="L50" s="587">
        <v>79594</v>
      </c>
      <c r="M50" s="570">
        <v>1</v>
      </c>
      <c r="N50" s="570">
        <v>39797</v>
      </c>
      <c r="O50" s="587">
        <v>90</v>
      </c>
      <c r="P50" s="587">
        <v>3587400</v>
      </c>
      <c r="Q50" s="575">
        <v>45.071236525366231</v>
      </c>
      <c r="R50" s="588">
        <v>39860</v>
      </c>
    </row>
    <row r="51" spans="1:18" ht="14.45" customHeight="1" x14ac:dyDescent="0.2">
      <c r="A51" s="569" t="s">
        <v>1259</v>
      </c>
      <c r="B51" s="570" t="s">
        <v>1260</v>
      </c>
      <c r="C51" s="570" t="s">
        <v>487</v>
      </c>
      <c r="D51" s="570" t="s">
        <v>1232</v>
      </c>
      <c r="E51" s="570" t="s">
        <v>1325</v>
      </c>
      <c r="F51" s="570" t="s">
        <v>1326</v>
      </c>
      <c r="G51" s="587"/>
      <c r="H51" s="587"/>
      <c r="I51" s="570"/>
      <c r="J51" s="570"/>
      <c r="K51" s="587">
        <v>1</v>
      </c>
      <c r="L51" s="587">
        <v>31867</v>
      </c>
      <c r="M51" s="570">
        <v>1</v>
      </c>
      <c r="N51" s="570">
        <v>31867</v>
      </c>
      <c r="O51" s="587"/>
      <c r="P51" s="587"/>
      <c r="Q51" s="575"/>
      <c r="R51" s="588"/>
    </row>
    <row r="52" spans="1:18" ht="14.45" customHeight="1" x14ac:dyDescent="0.2">
      <c r="A52" s="569" t="s">
        <v>1259</v>
      </c>
      <c r="B52" s="570" t="s">
        <v>1260</v>
      </c>
      <c r="C52" s="570" t="s">
        <v>487</v>
      </c>
      <c r="D52" s="570" t="s">
        <v>1232</v>
      </c>
      <c r="E52" s="570" t="s">
        <v>1327</v>
      </c>
      <c r="F52" s="570" t="s">
        <v>1328</v>
      </c>
      <c r="G52" s="587">
        <v>1</v>
      </c>
      <c r="H52" s="587">
        <v>8600</v>
      </c>
      <c r="I52" s="570"/>
      <c r="J52" s="570">
        <v>8600</v>
      </c>
      <c r="K52" s="587"/>
      <c r="L52" s="587"/>
      <c r="M52" s="570"/>
      <c r="N52" s="570"/>
      <c r="O52" s="587"/>
      <c r="P52" s="587"/>
      <c r="Q52" s="575"/>
      <c r="R52" s="588"/>
    </row>
    <row r="53" spans="1:18" ht="14.45" customHeight="1" thickBot="1" x14ac:dyDescent="0.25">
      <c r="A53" s="577" t="s">
        <v>1259</v>
      </c>
      <c r="B53" s="578" t="s">
        <v>1260</v>
      </c>
      <c r="C53" s="578" t="s">
        <v>487</v>
      </c>
      <c r="D53" s="578" t="s">
        <v>1232</v>
      </c>
      <c r="E53" s="578" t="s">
        <v>1329</v>
      </c>
      <c r="F53" s="578" t="s">
        <v>1330</v>
      </c>
      <c r="G53" s="589"/>
      <c r="H53" s="589"/>
      <c r="I53" s="578"/>
      <c r="J53" s="578"/>
      <c r="K53" s="589"/>
      <c r="L53" s="589"/>
      <c r="M53" s="578"/>
      <c r="N53" s="578"/>
      <c r="O53" s="589">
        <v>13</v>
      </c>
      <c r="P53" s="589">
        <v>195000</v>
      </c>
      <c r="Q53" s="583"/>
      <c r="R53" s="590">
        <v>15000</v>
      </c>
    </row>
  </sheetData>
  <autoFilter ref="A5:R5" xr:uid="{00000000-0009-0000-0000-000022000000}"/>
  <mergeCells count="12">
    <mergeCell ref="A1:R1"/>
    <mergeCell ref="A4:A5"/>
    <mergeCell ref="R4:R5"/>
    <mergeCell ref="B4:B5"/>
    <mergeCell ref="D4:D5"/>
    <mergeCell ref="F4:F5"/>
    <mergeCell ref="G4:H4"/>
    <mergeCell ref="K4:L4"/>
    <mergeCell ref="O4:P4"/>
    <mergeCell ref="Q4:Q5"/>
    <mergeCell ref="E4:E5"/>
    <mergeCell ref="C4:C5"/>
  </mergeCells>
  <hyperlinks>
    <hyperlink ref="A2" location="Obsah!A1" display="Zpět na Obsah  KL 01  1.-4.měsíc" xr:uid="{C27EA7B8-2995-4892-AFE5-9599956F6BEC}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58">
    <tabColor theme="0" tint="-0.249977111117893"/>
    <outlinePr summaryRight="0"/>
    <pageSetUpPr fitToPage="1"/>
  </sheetPr>
  <dimension ref="A1:S59"/>
  <sheetViews>
    <sheetView showGridLines="0" showRowColHeaders="0" workbookViewId="0">
      <pane ySplit="5" topLeftCell="A6" activePane="bottomLeft" state="frozen"/>
      <selection activeCell="U26" sqref="U26"/>
      <selection pane="bottomLeft" sqref="A1:S1"/>
    </sheetView>
  </sheetViews>
  <sheetFormatPr defaultColWidth="8.85546875" defaultRowHeight="14.45" customHeight="1" outlineLevelCol="1" x14ac:dyDescent="0.2"/>
  <cols>
    <col min="1" max="1" width="3.28515625" style="129" customWidth="1"/>
    <col min="2" max="2" width="8.7109375" style="129" bestFit="1" customWidth="1"/>
    <col min="3" max="3" width="6.140625" style="129" customWidth="1"/>
    <col min="4" max="4" width="27.7109375" style="129" customWidth="1"/>
    <col min="5" max="5" width="2.140625" style="129" bestFit="1" customWidth="1"/>
    <col min="6" max="6" width="8" style="129" customWidth="1"/>
    <col min="7" max="7" width="50.85546875" style="129" bestFit="1" customWidth="1" collapsed="1"/>
    <col min="8" max="9" width="11.140625" style="207" hidden="1" customWidth="1" outlineLevel="1"/>
    <col min="10" max="11" width="9.28515625" style="129" hidden="1" customWidth="1"/>
    <col min="12" max="13" width="11.140625" style="207" customWidth="1"/>
    <col min="14" max="15" width="9.28515625" style="129" hidden="1" customWidth="1"/>
    <col min="16" max="17" width="11.140625" style="207" customWidth="1"/>
    <col min="18" max="18" width="11.140625" style="210" customWidth="1"/>
    <col min="19" max="19" width="11.140625" style="207" customWidth="1"/>
    <col min="20" max="16384" width="8.85546875" style="129"/>
  </cols>
  <sheetData>
    <row r="1" spans="1:19" ht="18.600000000000001" customHeight="1" thickBot="1" x14ac:dyDescent="0.35">
      <c r="A1" s="329" t="s">
        <v>1332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</row>
    <row r="2" spans="1:19" ht="14.45" customHeight="1" thickBot="1" x14ac:dyDescent="0.25">
      <c r="A2" s="232" t="s">
        <v>270</v>
      </c>
      <c r="B2" s="197"/>
      <c r="C2" s="197"/>
      <c r="D2" s="197"/>
      <c r="E2" s="111"/>
      <c r="F2" s="111"/>
      <c r="G2" s="111"/>
      <c r="H2" s="230"/>
      <c r="I2" s="230"/>
      <c r="J2" s="111"/>
      <c r="K2" s="111"/>
      <c r="L2" s="230"/>
      <c r="M2" s="230"/>
      <c r="N2" s="111"/>
      <c r="O2" s="111"/>
      <c r="P2" s="230"/>
      <c r="Q2" s="230"/>
      <c r="R2" s="227"/>
      <c r="S2" s="230"/>
    </row>
    <row r="3" spans="1:19" ht="14.45" customHeight="1" thickBot="1" x14ac:dyDescent="0.25">
      <c r="G3" s="87" t="s">
        <v>127</v>
      </c>
      <c r="H3" s="102">
        <f t="shared" ref="H3:Q3" si="0">SUBTOTAL(9,H6:H1048576)</f>
        <v>18836</v>
      </c>
      <c r="I3" s="103">
        <f t="shared" si="0"/>
        <v>40872590.460000001</v>
      </c>
      <c r="J3" s="74"/>
      <c r="K3" s="74"/>
      <c r="L3" s="103">
        <f t="shared" si="0"/>
        <v>20992</v>
      </c>
      <c r="M3" s="103">
        <f t="shared" si="0"/>
        <v>43939259.729999997</v>
      </c>
      <c r="N3" s="74"/>
      <c r="O3" s="74"/>
      <c r="P3" s="103">
        <f t="shared" si="0"/>
        <v>20873</v>
      </c>
      <c r="Q3" s="103">
        <f t="shared" si="0"/>
        <v>49592384.150000006</v>
      </c>
      <c r="R3" s="75">
        <f>IF(M3=0,0,Q3/M3)</f>
        <v>1.1286577073609703</v>
      </c>
      <c r="S3" s="104">
        <f>IF(P3=0,0,Q3/P3)</f>
        <v>2375.9107052172667</v>
      </c>
    </row>
    <row r="4" spans="1:19" ht="14.45" customHeight="1" x14ac:dyDescent="0.2">
      <c r="A4" s="446" t="s">
        <v>211</v>
      </c>
      <c r="B4" s="446" t="s">
        <v>94</v>
      </c>
      <c r="C4" s="454" t="s">
        <v>0</v>
      </c>
      <c r="D4" s="266" t="s">
        <v>135</v>
      </c>
      <c r="E4" s="448" t="s">
        <v>95</v>
      </c>
      <c r="F4" s="453" t="s">
        <v>70</v>
      </c>
      <c r="G4" s="449" t="s">
        <v>69</v>
      </c>
      <c r="H4" s="450">
        <v>2018</v>
      </c>
      <c r="I4" s="451"/>
      <c r="J4" s="101"/>
      <c r="K4" s="101"/>
      <c r="L4" s="450">
        <v>2019</v>
      </c>
      <c r="M4" s="451"/>
      <c r="N4" s="101"/>
      <c r="O4" s="101"/>
      <c r="P4" s="450">
        <v>2020</v>
      </c>
      <c r="Q4" s="451"/>
      <c r="R4" s="452" t="s">
        <v>2</v>
      </c>
      <c r="S4" s="447" t="s">
        <v>97</v>
      </c>
    </row>
    <row r="5" spans="1:19" ht="14.45" customHeight="1" thickBot="1" x14ac:dyDescent="0.25">
      <c r="A5" s="632"/>
      <c r="B5" s="632"/>
      <c r="C5" s="633"/>
      <c r="D5" s="642"/>
      <c r="E5" s="634"/>
      <c r="F5" s="635"/>
      <c r="G5" s="636"/>
      <c r="H5" s="637" t="s">
        <v>71</v>
      </c>
      <c r="I5" s="638" t="s">
        <v>14</v>
      </c>
      <c r="J5" s="639"/>
      <c r="K5" s="639"/>
      <c r="L5" s="637" t="s">
        <v>71</v>
      </c>
      <c r="M5" s="638" t="s">
        <v>14</v>
      </c>
      <c r="N5" s="639"/>
      <c r="O5" s="639"/>
      <c r="P5" s="637" t="s">
        <v>71</v>
      </c>
      <c r="Q5" s="638" t="s">
        <v>14</v>
      </c>
      <c r="R5" s="640"/>
      <c r="S5" s="641"/>
    </row>
    <row r="6" spans="1:19" ht="14.45" customHeight="1" x14ac:dyDescent="0.2">
      <c r="A6" s="562" t="s">
        <v>1230</v>
      </c>
      <c r="B6" s="563" t="s">
        <v>1231</v>
      </c>
      <c r="C6" s="563" t="s">
        <v>482</v>
      </c>
      <c r="D6" s="563" t="s">
        <v>1224</v>
      </c>
      <c r="E6" s="563" t="s">
        <v>1232</v>
      </c>
      <c r="F6" s="563" t="s">
        <v>1233</v>
      </c>
      <c r="G6" s="563" t="s">
        <v>1234</v>
      </c>
      <c r="H6" s="116">
        <v>126</v>
      </c>
      <c r="I6" s="116">
        <v>8316</v>
      </c>
      <c r="J6" s="563">
        <v>0.78062517600675863</v>
      </c>
      <c r="K6" s="563">
        <v>66</v>
      </c>
      <c r="L6" s="116">
        <v>159</v>
      </c>
      <c r="M6" s="116">
        <v>10653</v>
      </c>
      <c r="N6" s="563">
        <v>1</v>
      </c>
      <c r="O6" s="563">
        <v>67</v>
      </c>
      <c r="P6" s="116">
        <v>154</v>
      </c>
      <c r="Q6" s="116">
        <v>10472</v>
      </c>
      <c r="R6" s="568">
        <v>0.98300948089739981</v>
      </c>
      <c r="S6" s="586">
        <v>68</v>
      </c>
    </row>
    <row r="7" spans="1:19" ht="14.45" customHeight="1" x14ac:dyDescent="0.2">
      <c r="A7" s="569" t="s">
        <v>1230</v>
      </c>
      <c r="B7" s="570" t="s">
        <v>1231</v>
      </c>
      <c r="C7" s="570" t="s">
        <v>482</v>
      </c>
      <c r="D7" s="570" t="s">
        <v>1224</v>
      </c>
      <c r="E7" s="570" t="s">
        <v>1232</v>
      </c>
      <c r="F7" s="570" t="s">
        <v>1235</v>
      </c>
      <c r="G7" s="570" t="s">
        <v>1236</v>
      </c>
      <c r="H7" s="587">
        <v>276</v>
      </c>
      <c r="I7" s="587">
        <v>10212</v>
      </c>
      <c r="J7" s="570">
        <v>0.90789473684210531</v>
      </c>
      <c r="K7" s="570">
        <v>37</v>
      </c>
      <c r="L7" s="587">
        <v>296</v>
      </c>
      <c r="M7" s="587">
        <v>11248</v>
      </c>
      <c r="N7" s="570">
        <v>1</v>
      </c>
      <c r="O7" s="570">
        <v>38</v>
      </c>
      <c r="P7" s="587">
        <v>228</v>
      </c>
      <c r="Q7" s="587">
        <v>8664</v>
      </c>
      <c r="R7" s="575">
        <v>0.77027027027027029</v>
      </c>
      <c r="S7" s="588">
        <v>38</v>
      </c>
    </row>
    <row r="8" spans="1:19" ht="14.45" customHeight="1" x14ac:dyDescent="0.2">
      <c r="A8" s="569" t="s">
        <v>1230</v>
      </c>
      <c r="B8" s="570" t="s">
        <v>1231</v>
      </c>
      <c r="C8" s="570" t="s">
        <v>482</v>
      </c>
      <c r="D8" s="570" t="s">
        <v>1224</v>
      </c>
      <c r="E8" s="570" t="s">
        <v>1232</v>
      </c>
      <c r="F8" s="570" t="s">
        <v>1237</v>
      </c>
      <c r="G8" s="570" t="s">
        <v>1238</v>
      </c>
      <c r="H8" s="587"/>
      <c r="I8" s="587"/>
      <c r="J8" s="570"/>
      <c r="K8" s="570"/>
      <c r="L8" s="587"/>
      <c r="M8" s="587"/>
      <c r="N8" s="570"/>
      <c r="O8" s="570"/>
      <c r="P8" s="587">
        <v>1</v>
      </c>
      <c r="Q8" s="587">
        <v>5</v>
      </c>
      <c r="R8" s="575"/>
      <c r="S8" s="588">
        <v>5</v>
      </c>
    </row>
    <row r="9" spans="1:19" ht="14.45" customHeight="1" x14ac:dyDescent="0.2">
      <c r="A9" s="569" t="s">
        <v>1230</v>
      </c>
      <c r="B9" s="570" t="s">
        <v>1231</v>
      </c>
      <c r="C9" s="570" t="s">
        <v>482</v>
      </c>
      <c r="D9" s="570" t="s">
        <v>1224</v>
      </c>
      <c r="E9" s="570" t="s">
        <v>1232</v>
      </c>
      <c r="F9" s="570" t="s">
        <v>1239</v>
      </c>
      <c r="G9" s="570" t="s">
        <v>1240</v>
      </c>
      <c r="H9" s="587">
        <v>1058</v>
      </c>
      <c r="I9" s="587">
        <v>2627014</v>
      </c>
      <c r="J9" s="570">
        <v>0.88746575319327192</v>
      </c>
      <c r="K9" s="570">
        <v>2483</v>
      </c>
      <c r="L9" s="587">
        <v>1185</v>
      </c>
      <c r="M9" s="587">
        <v>2960130</v>
      </c>
      <c r="N9" s="570">
        <v>1</v>
      </c>
      <c r="O9" s="570">
        <v>2498</v>
      </c>
      <c r="P9" s="587">
        <v>1185</v>
      </c>
      <c r="Q9" s="587">
        <v>2974350</v>
      </c>
      <c r="R9" s="575">
        <v>1.0048038430744595</v>
      </c>
      <c r="S9" s="588">
        <v>2510</v>
      </c>
    </row>
    <row r="10" spans="1:19" ht="14.45" customHeight="1" x14ac:dyDescent="0.2">
      <c r="A10" s="569" t="s">
        <v>1230</v>
      </c>
      <c r="B10" s="570" t="s">
        <v>1231</v>
      </c>
      <c r="C10" s="570" t="s">
        <v>482</v>
      </c>
      <c r="D10" s="570" t="s">
        <v>1224</v>
      </c>
      <c r="E10" s="570" t="s">
        <v>1232</v>
      </c>
      <c r="F10" s="570" t="s">
        <v>1241</v>
      </c>
      <c r="G10" s="570" t="s">
        <v>1242</v>
      </c>
      <c r="H10" s="587">
        <v>209</v>
      </c>
      <c r="I10" s="587">
        <v>72523</v>
      </c>
      <c r="J10" s="570">
        <v>0.90880952380952384</v>
      </c>
      <c r="K10" s="570">
        <v>347</v>
      </c>
      <c r="L10" s="587">
        <v>228</v>
      </c>
      <c r="M10" s="587">
        <v>79800</v>
      </c>
      <c r="N10" s="570">
        <v>1</v>
      </c>
      <c r="O10" s="570">
        <v>350</v>
      </c>
      <c r="P10" s="587">
        <v>129</v>
      </c>
      <c r="Q10" s="587">
        <v>45408</v>
      </c>
      <c r="R10" s="575">
        <v>0.56902255639097743</v>
      </c>
      <c r="S10" s="588">
        <v>352</v>
      </c>
    </row>
    <row r="11" spans="1:19" ht="14.45" customHeight="1" x14ac:dyDescent="0.2">
      <c r="A11" s="569" t="s">
        <v>1230</v>
      </c>
      <c r="B11" s="570" t="s">
        <v>1231</v>
      </c>
      <c r="C11" s="570" t="s">
        <v>482</v>
      </c>
      <c r="D11" s="570" t="s">
        <v>1224</v>
      </c>
      <c r="E11" s="570" t="s">
        <v>1232</v>
      </c>
      <c r="F11" s="570" t="s">
        <v>1243</v>
      </c>
      <c r="G11" s="570" t="s">
        <v>1244</v>
      </c>
      <c r="H11" s="587">
        <v>2057</v>
      </c>
      <c r="I11" s="587">
        <v>722007</v>
      </c>
      <c r="J11" s="570">
        <v>0.91624788706656313</v>
      </c>
      <c r="K11" s="570">
        <v>351</v>
      </c>
      <c r="L11" s="587">
        <v>2226</v>
      </c>
      <c r="M11" s="587">
        <v>788004</v>
      </c>
      <c r="N11" s="570">
        <v>1</v>
      </c>
      <c r="O11" s="570">
        <v>354</v>
      </c>
      <c r="P11" s="587">
        <v>2311</v>
      </c>
      <c r="Q11" s="587">
        <v>822716</v>
      </c>
      <c r="R11" s="575">
        <v>1.0440505378145288</v>
      </c>
      <c r="S11" s="588">
        <v>356</v>
      </c>
    </row>
    <row r="12" spans="1:19" ht="14.45" customHeight="1" x14ac:dyDescent="0.2">
      <c r="A12" s="569" t="s">
        <v>1230</v>
      </c>
      <c r="B12" s="570" t="s">
        <v>1231</v>
      </c>
      <c r="C12" s="570" t="s">
        <v>482</v>
      </c>
      <c r="D12" s="570" t="s">
        <v>1224</v>
      </c>
      <c r="E12" s="570" t="s">
        <v>1232</v>
      </c>
      <c r="F12" s="570" t="s">
        <v>1245</v>
      </c>
      <c r="G12" s="570" t="s">
        <v>1246</v>
      </c>
      <c r="H12" s="587">
        <v>3180</v>
      </c>
      <c r="I12" s="587">
        <v>105999.62000000017</v>
      </c>
      <c r="J12" s="570">
        <v>0.7144454926011502</v>
      </c>
      <c r="K12" s="570">
        <v>33.333213836478038</v>
      </c>
      <c r="L12" s="587">
        <v>4451</v>
      </c>
      <c r="M12" s="587">
        <v>148366.28</v>
      </c>
      <c r="N12" s="570">
        <v>1</v>
      </c>
      <c r="O12" s="570">
        <v>33.333246461469329</v>
      </c>
      <c r="P12" s="587">
        <v>4388</v>
      </c>
      <c r="Q12" s="587">
        <v>169936.74999999994</v>
      </c>
      <c r="R12" s="575">
        <v>1.1453866067141398</v>
      </c>
      <c r="S12" s="588">
        <v>38.727609389243376</v>
      </c>
    </row>
    <row r="13" spans="1:19" ht="14.45" customHeight="1" x14ac:dyDescent="0.2">
      <c r="A13" s="569" t="s">
        <v>1230</v>
      </c>
      <c r="B13" s="570" t="s">
        <v>1231</v>
      </c>
      <c r="C13" s="570" t="s">
        <v>482</v>
      </c>
      <c r="D13" s="570" t="s">
        <v>1224</v>
      </c>
      <c r="E13" s="570" t="s">
        <v>1232</v>
      </c>
      <c r="F13" s="570" t="s">
        <v>1247</v>
      </c>
      <c r="G13" s="570" t="s">
        <v>1248</v>
      </c>
      <c r="H13" s="587">
        <v>2293</v>
      </c>
      <c r="I13" s="587">
        <v>3489946</v>
      </c>
      <c r="J13" s="570">
        <v>0.93430302459182502</v>
      </c>
      <c r="K13" s="570">
        <v>1522</v>
      </c>
      <c r="L13" s="587">
        <v>2443</v>
      </c>
      <c r="M13" s="587">
        <v>3735347</v>
      </c>
      <c r="N13" s="570">
        <v>1</v>
      </c>
      <c r="O13" s="570">
        <v>1529</v>
      </c>
      <c r="P13" s="587">
        <v>2279</v>
      </c>
      <c r="Q13" s="587">
        <v>3498265</v>
      </c>
      <c r="R13" s="575">
        <v>0.93653012691993542</v>
      </c>
      <c r="S13" s="588">
        <v>1535</v>
      </c>
    </row>
    <row r="14" spans="1:19" ht="14.45" customHeight="1" x14ac:dyDescent="0.2">
      <c r="A14" s="569" t="s">
        <v>1230</v>
      </c>
      <c r="B14" s="570" t="s">
        <v>1231</v>
      </c>
      <c r="C14" s="570" t="s">
        <v>482</v>
      </c>
      <c r="D14" s="570" t="s">
        <v>1224</v>
      </c>
      <c r="E14" s="570" t="s">
        <v>1232</v>
      </c>
      <c r="F14" s="570" t="s">
        <v>1249</v>
      </c>
      <c r="G14" s="570" t="s">
        <v>1250</v>
      </c>
      <c r="H14" s="587">
        <v>438</v>
      </c>
      <c r="I14" s="587">
        <v>50663</v>
      </c>
      <c r="J14" s="570">
        <v>0.9473969631236443</v>
      </c>
      <c r="K14" s="570">
        <v>115.6689497716895</v>
      </c>
      <c r="L14" s="587">
        <v>461</v>
      </c>
      <c r="M14" s="587">
        <v>53476</v>
      </c>
      <c r="N14" s="570">
        <v>1</v>
      </c>
      <c r="O14" s="570">
        <v>116</v>
      </c>
      <c r="P14" s="587">
        <v>549</v>
      </c>
      <c r="Q14" s="587">
        <v>64233</v>
      </c>
      <c r="R14" s="575">
        <v>1.2011556586132097</v>
      </c>
      <c r="S14" s="588">
        <v>117</v>
      </c>
    </row>
    <row r="15" spans="1:19" ht="14.45" customHeight="1" x14ac:dyDescent="0.2">
      <c r="A15" s="569" t="s">
        <v>1230</v>
      </c>
      <c r="B15" s="570" t="s">
        <v>1231</v>
      </c>
      <c r="C15" s="570" t="s">
        <v>482</v>
      </c>
      <c r="D15" s="570" t="s">
        <v>1224</v>
      </c>
      <c r="E15" s="570" t="s">
        <v>1232</v>
      </c>
      <c r="F15" s="570" t="s">
        <v>1251</v>
      </c>
      <c r="G15" s="570" t="s">
        <v>1252</v>
      </c>
      <c r="H15" s="587">
        <v>1124</v>
      </c>
      <c r="I15" s="587">
        <v>41588</v>
      </c>
      <c r="J15" s="570">
        <v>0.9150677697588453</v>
      </c>
      <c r="K15" s="570">
        <v>37</v>
      </c>
      <c r="L15" s="587">
        <v>1196</v>
      </c>
      <c r="M15" s="587">
        <v>45448</v>
      </c>
      <c r="N15" s="570">
        <v>1</v>
      </c>
      <c r="O15" s="570">
        <v>38</v>
      </c>
      <c r="P15" s="587">
        <v>1170</v>
      </c>
      <c r="Q15" s="587">
        <v>44460</v>
      </c>
      <c r="R15" s="575">
        <v>0.97826086956521741</v>
      </c>
      <c r="S15" s="588">
        <v>38</v>
      </c>
    </row>
    <row r="16" spans="1:19" ht="14.45" customHeight="1" x14ac:dyDescent="0.2">
      <c r="A16" s="569" t="s">
        <v>1230</v>
      </c>
      <c r="B16" s="570" t="s">
        <v>1231</v>
      </c>
      <c r="C16" s="570" t="s">
        <v>482</v>
      </c>
      <c r="D16" s="570" t="s">
        <v>1224</v>
      </c>
      <c r="E16" s="570" t="s">
        <v>1232</v>
      </c>
      <c r="F16" s="570" t="s">
        <v>1253</v>
      </c>
      <c r="G16" s="570" t="s">
        <v>1254</v>
      </c>
      <c r="H16" s="587">
        <v>25</v>
      </c>
      <c r="I16" s="587">
        <v>1850</v>
      </c>
      <c r="J16" s="570">
        <v>0.36815920398009949</v>
      </c>
      <c r="K16" s="570">
        <v>74</v>
      </c>
      <c r="L16" s="587">
        <v>67</v>
      </c>
      <c r="M16" s="587">
        <v>5025</v>
      </c>
      <c r="N16" s="570">
        <v>1</v>
      </c>
      <c r="O16" s="570">
        <v>75</v>
      </c>
      <c r="P16" s="587">
        <v>67</v>
      </c>
      <c r="Q16" s="587">
        <v>5092</v>
      </c>
      <c r="R16" s="575">
        <v>1.0133333333333334</v>
      </c>
      <c r="S16" s="588">
        <v>76</v>
      </c>
    </row>
    <row r="17" spans="1:19" ht="14.45" customHeight="1" x14ac:dyDescent="0.2">
      <c r="A17" s="569" t="s">
        <v>1230</v>
      </c>
      <c r="B17" s="570" t="s">
        <v>1231</v>
      </c>
      <c r="C17" s="570" t="s">
        <v>482</v>
      </c>
      <c r="D17" s="570" t="s">
        <v>1224</v>
      </c>
      <c r="E17" s="570" t="s">
        <v>1232</v>
      </c>
      <c r="F17" s="570" t="s">
        <v>1255</v>
      </c>
      <c r="G17" s="570" t="s">
        <v>1256</v>
      </c>
      <c r="H17" s="587">
        <v>1</v>
      </c>
      <c r="I17" s="587">
        <v>60</v>
      </c>
      <c r="J17" s="570"/>
      <c r="K17" s="570">
        <v>60</v>
      </c>
      <c r="L17" s="587"/>
      <c r="M17" s="587"/>
      <c r="N17" s="570"/>
      <c r="O17" s="570"/>
      <c r="P17" s="587">
        <v>2</v>
      </c>
      <c r="Q17" s="587">
        <v>124</v>
      </c>
      <c r="R17" s="575"/>
      <c r="S17" s="588">
        <v>62</v>
      </c>
    </row>
    <row r="18" spans="1:19" ht="14.45" customHeight="1" x14ac:dyDescent="0.2">
      <c r="A18" s="569" t="s">
        <v>1230</v>
      </c>
      <c r="B18" s="570" t="s">
        <v>1231</v>
      </c>
      <c r="C18" s="570" t="s">
        <v>482</v>
      </c>
      <c r="D18" s="570" t="s">
        <v>1224</v>
      </c>
      <c r="E18" s="570" t="s">
        <v>1232</v>
      </c>
      <c r="F18" s="570" t="s">
        <v>1257</v>
      </c>
      <c r="G18" s="570" t="s">
        <v>1258</v>
      </c>
      <c r="H18" s="587"/>
      <c r="I18" s="587"/>
      <c r="J18" s="570"/>
      <c r="K18" s="570"/>
      <c r="L18" s="587">
        <v>1</v>
      </c>
      <c r="M18" s="587">
        <v>4065</v>
      </c>
      <c r="N18" s="570">
        <v>1</v>
      </c>
      <c r="O18" s="570">
        <v>4065</v>
      </c>
      <c r="P18" s="587"/>
      <c r="Q18" s="587"/>
      <c r="R18" s="575"/>
      <c r="S18" s="588"/>
    </row>
    <row r="19" spans="1:19" ht="14.45" customHeight="1" x14ac:dyDescent="0.2">
      <c r="A19" s="569" t="s">
        <v>1230</v>
      </c>
      <c r="B19" s="570" t="s">
        <v>1231</v>
      </c>
      <c r="C19" s="570" t="s">
        <v>482</v>
      </c>
      <c r="D19" s="570" t="s">
        <v>1228</v>
      </c>
      <c r="E19" s="570" t="s">
        <v>1232</v>
      </c>
      <c r="F19" s="570" t="s">
        <v>1235</v>
      </c>
      <c r="G19" s="570" t="s">
        <v>1236</v>
      </c>
      <c r="H19" s="587">
        <v>4</v>
      </c>
      <c r="I19" s="587">
        <v>148</v>
      </c>
      <c r="J19" s="570"/>
      <c r="K19" s="570">
        <v>37</v>
      </c>
      <c r="L19" s="587"/>
      <c r="M19" s="587"/>
      <c r="N19" s="570"/>
      <c r="O19" s="570"/>
      <c r="P19" s="587"/>
      <c r="Q19" s="587"/>
      <c r="R19" s="575"/>
      <c r="S19" s="588"/>
    </row>
    <row r="20" spans="1:19" ht="14.45" customHeight="1" x14ac:dyDescent="0.2">
      <c r="A20" s="569" t="s">
        <v>1230</v>
      </c>
      <c r="B20" s="570" t="s">
        <v>1231</v>
      </c>
      <c r="C20" s="570" t="s">
        <v>482</v>
      </c>
      <c r="D20" s="570" t="s">
        <v>1228</v>
      </c>
      <c r="E20" s="570" t="s">
        <v>1232</v>
      </c>
      <c r="F20" s="570" t="s">
        <v>1253</v>
      </c>
      <c r="G20" s="570" t="s">
        <v>1254</v>
      </c>
      <c r="H20" s="587">
        <v>10</v>
      </c>
      <c r="I20" s="587">
        <v>740</v>
      </c>
      <c r="J20" s="570"/>
      <c r="K20" s="570">
        <v>74</v>
      </c>
      <c r="L20" s="587"/>
      <c r="M20" s="587"/>
      <c r="N20" s="570"/>
      <c r="O20" s="570"/>
      <c r="P20" s="587"/>
      <c r="Q20" s="587"/>
      <c r="R20" s="575"/>
      <c r="S20" s="588"/>
    </row>
    <row r="21" spans="1:19" ht="14.45" customHeight="1" x14ac:dyDescent="0.2">
      <c r="A21" s="569" t="s">
        <v>1230</v>
      </c>
      <c r="B21" s="570" t="s">
        <v>1231</v>
      </c>
      <c r="C21" s="570" t="s">
        <v>482</v>
      </c>
      <c r="D21" s="570" t="s">
        <v>531</v>
      </c>
      <c r="E21" s="570" t="s">
        <v>1232</v>
      </c>
      <c r="F21" s="570" t="s">
        <v>1243</v>
      </c>
      <c r="G21" s="570" t="s">
        <v>1244</v>
      </c>
      <c r="H21" s="587">
        <v>1</v>
      </c>
      <c r="I21" s="587">
        <v>351</v>
      </c>
      <c r="J21" s="570"/>
      <c r="K21" s="570">
        <v>351</v>
      </c>
      <c r="L21" s="587"/>
      <c r="M21" s="587"/>
      <c r="N21" s="570"/>
      <c r="O21" s="570"/>
      <c r="P21" s="587"/>
      <c r="Q21" s="587"/>
      <c r="R21" s="575"/>
      <c r="S21" s="588"/>
    </row>
    <row r="22" spans="1:19" ht="14.45" customHeight="1" x14ac:dyDescent="0.2">
      <c r="A22" s="569" t="s">
        <v>1230</v>
      </c>
      <c r="B22" s="570" t="s">
        <v>1231</v>
      </c>
      <c r="C22" s="570" t="s">
        <v>482</v>
      </c>
      <c r="D22" s="570" t="s">
        <v>531</v>
      </c>
      <c r="E22" s="570" t="s">
        <v>1232</v>
      </c>
      <c r="F22" s="570" t="s">
        <v>1245</v>
      </c>
      <c r="G22" s="570" t="s">
        <v>1246</v>
      </c>
      <c r="H22" s="587">
        <v>1</v>
      </c>
      <c r="I22" s="587">
        <v>33.33</v>
      </c>
      <c r="J22" s="570"/>
      <c r="K22" s="570">
        <v>33.33</v>
      </c>
      <c r="L22" s="587"/>
      <c r="M22" s="587"/>
      <c r="N22" s="570"/>
      <c r="O22" s="570"/>
      <c r="P22" s="587"/>
      <c r="Q22" s="587"/>
      <c r="R22" s="575"/>
      <c r="S22" s="588"/>
    </row>
    <row r="23" spans="1:19" ht="14.45" customHeight="1" x14ac:dyDescent="0.2">
      <c r="A23" s="569" t="s">
        <v>1230</v>
      </c>
      <c r="B23" s="570" t="s">
        <v>1231</v>
      </c>
      <c r="C23" s="570" t="s">
        <v>482</v>
      </c>
      <c r="D23" s="570" t="s">
        <v>531</v>
      </c>
      <c r="E23" s="570" t="s">
        <v>1232</v>
      </c>
      <c r="F23" s="570" t="s">
        <v>1247</v>
      </c>
      <c r="G23" s="570" t="s">
        <v>1248</v>
      </c>
      <c r="H23" s="587"/>
      <c r="I23" s="587"/>
      <c r="J23" s="570"/>
      <c r="K23" s="570"/>
      <c r="L23" s="587"/>
      <c r="M23" s="587"/>
      <c r="N23" s="570"/>
      <c r="O23" s="570"/>
      <c r="P23" s="587">
        <v>1</v>
      </c>
      <c r="Q23" s="587">
        <v>1535</v>
      </c>
      <c r="R23" s="575"/>
      <c r="S23" s="588">
        <v>1535</v>
      </c>
    </row>
    <row r="24" spans="1:19" ht="14.45" customHeight="1" x14ac:dyDescent="0.2">
      <c r="A24" s="569" t="s">
        <v>1230</v>
      </c>
      <c r="B24" s="570" t="s">
        <v>1231</v>
      </c>
      <c r="C24" s="570" t="s">
        <v>482</v>
      </c>
      <c r="D24" s="570" t="s">
        <v>531</v>
      </c>
      <c r="E24" s="570" t="s">
        <v>1232</v>
      </c>
      <c r="F24" s="570" t="s">
        <v>1251</v>
      </c>
      <c r="G24" s="570" t="s">
        <v>1252</v>
      </c>
      <c r="H24" s="587"/>
      <c r="I24" s="587"/>
      <c r="J24" s="570"/>
      <c r="K24" s="570"/>
      <c r="L24" s="587"/>
      <c r="M24" s="587"/>
      <c r="N24" s="570"/>
      <c r="O24" s="570"/>
      <c r="P24" s="587">
        <v>1</v>
      </c>
      <c r="Q24" s="587">
        <v>38</v>
      </c>
      <c r="R24" s="575"/>
      <c r="S24" s="588">
        <v>38</v>
      </c>
    </row>
    <row r="25" spans="1:19" ht="14.45" customHeight="1" x14ac:dyDescent="0.2">
      <c r="A25" s="569" t="s">
        <v>1259</v>
      </c>
      <c r="B25" s="570" t="s">
        <v>1260</v>
      </c>
      <c r="C25" s="570" t="s">
        <v>487</v>
      </c>
      <c r="D25" s="570" t="s">
        <v>1224</v>
      </c>
      <c r="E25" s="570" t="s">
        <v>1232</v>
      </c>
      <c r="F25" s="570" t="s">
        <v>1261</v>
      </c>
      <c r="G25" s="570" t="s">
        <v>1262</v>
      </c>
      <c r="H25" s="587">
        <v>105</v>
      </c>
      <c r="I25" s="587">
        <v>1306410</v>
      </c>
      <c r="J25" s="570">
        <v>1.014281665974387</v>
      </c>
      <c r="K25" s="570">
        <v>12442</v>
      </c>
      <c r="L25" s="587">
        <v>103</v>
      </c>
      <c r="M25" s="587">
        <v>1288015</v>
      </c>
      <c r="N25" s="570">
        <v>1</v>
      </c>
      <c r="O25" s="570">
        <v>12505</v>
      </c>
      <c r="P25" s="587">
        <v>95</v>
      </c>
      <c r="Q25" s="587">
        <v>1193105</v>
      </c>
      <c r="R25" s="575">
        <v>0.926312969957648</v>
      </c>
      <c r="S25" s="588">
        <v>12559</v>
      </c>
    </row>
    <row r="26" spans="1:19" ht="14.45" customHeight="1" x14ac:dyDescent="0.2">
      <c r="A26" s="569" t="s">
        <v>1259</v>
      </c>
      <c r="B26" s="570" t="s">
        <v>1260</v>
      </c>
      <c r="C26" s="570" t="s">
        <v>487</v>
      </c>
      <c r="D26" s="570" t="s">
        <v>1224</v>
      </c>
      <c r="E26" s="570" t="s">
        <v>1232</v>
      </c>
      <c r="F26" s="570" t="s">
        <v>1263</v>
      </c>
      <c r="G26" s="570" t="s">
        <v>1264</v>
      </c>
      <c r="H26" s="587">
        <v>2468</v>
      </c>
      <c r="I26" s="587">
        <v>737932</v>
      </c>
      <c r="J26" s="570">
        <v>1.0043088547918657</v>
      </c>
      <c r="K26" s="570">
        <v>299</v>
      </c>
      <c r="L26" s="587">
        <v>2433</v>
      </c>
      <c r="M26" s="587">
        <v>734766</v>
      </c>
      <c r="N26" s="570">
        <v>1</v>
      </c>
      <c r="O26" s="570">
        <v>302</v>
      </c>
      <c r="P26" s="587">
        <v>2299</v>
      </c>
      <c r="Q26" s="587">
        <v>698896</v>
      </c>
      <c r="R26" s="575">
        <v>0.95118173677061812</v>
      </c>
      <c r="S26" s="588">
        <v>304</v>
      </c>
    </row>
    <row r="27" spans="1:19" ht="14.45" customHeight="1" x14ac:dyDescent="0.2">
      <c r="A27" s="569" t="s">
        <v>1259</v>
      </c>
      <c r="B27" s="570" t="s">
        <v>1260</v>
      </c>
      <c r="C27" s="570" t="s">
        <v>487</v>
      </c>
      <c r="D27" s="570" t="s">
        <v>1224</v>
      </c>
      <c r="E27" s="570" t="s">
        <v>1232</v>
      </c>
      <c r="F27" s="570" t="s">
        <v>1265</v>
      </c>
      <c r="G27" s="570" t="s">
        <v>1266</v>
      </c>
      <c r="H27" s="587">
        <v>80</v>
      </c>
      <c r="I27" s="587">
        <v>837360</v>
      </c>
      <c r="J27" s="570">
        <v>1.2460714285714285</v>
      </c>
      <c r="K27" s="570">
        <v>10467</v>
      </c>
      <c r="L27" s="587">
        <v>64</v>
      </c>
      <c r="M27" s="587">
        <v>672000</v>
      </c>
      <c r="N27" s="570">
        <v>1</v>
      </c>
      <c r="O27" s="570">
        <v>10500</v>
      </c>
      <c r="P27" s="587">
        <v>74</v>
      </c>
      <c r="Q27" s="587">
        <v>779220</v>
      </c>
      <c r="R27" s="575">
        <v>1.1595535714285714</v>
      </c>
      <c r="S27" s="588">
        <v>10530</v>
      </c>
    </row>
    <row r="28" spans="1:19" ht="14.45" customHeight="1" x14ac:dyDescent="0.2">
      <c r="A28" s="569" t="s">
        <v>1259</v>
      </c>
      <c r="B28" s="570" t="s">
        <v>1260</v>
      </c>
      <c r="C28" s="570" t="s">
        <v>487</v>
      </c>
      <c r="D28" s="570" t="s">
        <v>1224</v>
      </c>
      <c r="E28" s="570" t="s">
        <v>1232</v>
      </c>
      <c r="F28" s="570" t="s">
        <v>1267</v>
      </c>
      <c r="G28" s="570" t="s">
        <v>1268</v>
      </c>
      <c r="H28" s="587"/>
      <c r="I28" s="587"/>
      <c r="J28" s="570"/>
      <c r="K28" s="570"/>
      <c r="L28" s="587"/>
      <c r="M28" s="587"/>
      <c r="N28" s="570"/>
      <c r="O28" s="570"/>
      <c r="P28" s="587">
        <v>1</v>
      </c>
      <c r="Q28" s="587">
        <v>480</v>
      </c>
      <c r="R28" s="575"/>
      <c r="S28" s="588">
        <v>480</v>
      </c>
    </row>
    <row r="29" spans="1:19" ht="14.45" customHeight="1" x14ac:dyDescent="0.2">
      <c r="A29" s="569" t="s">
        <v>1259</v>
      </c>
      <c r="B29" s="570" t="s">
        <v>1260</v>
      </c>
      <c r="C29" s="570" t="s">
        <v>487</v>
      </c>
      <c r="D29" s="570" t="s">
        <v>1224</v>
      </c>
      <c r="E29" s="570" t="s">
        <v>1232</v>
      </c>
      <c r="F29" s="570" t="s">
        <v>1269</v>
      </c>
      <c r="G29" s="570" t="s">
        <v>1270</v>
      </c>
      <c r="H29" s="587">
        <v>107</v>
      </c>
      <c r="I29" s="587">
        <v>70647</v>
      </c>
      <c r="J29" s="570">
        <v>1.0007224205337413</v>
      </c>
      <c r="K29" s="570">
        <v>660.25233644859816</v>
      </c>
      <c r="L29" s="587">
        <v>106</v>
      </c>
      <c r="M29" s="587">
        <v>70596</v>
      </c>
      <c r="N29" s="570">
        <v>1</v>
      </c>
      <c r="O29" s="570">
        <v>666</v>
      </c>
      <c r="P29" s="587">
        <v>100</v>
      </c>
      <c r="Q29" s="587">
        <v>67000</v>
      </c>
      <c r="R29" s="575">
        <v>0.94906226981698683</v>
      </c>
      <c r="S29" s="588">
        <v>670</v>
      </c>
    </row>
    <row r="30" spans="1:19" ht="14.45" customHeight="1" x14ac:dyDescent="0.2">
      <c r="A30" s="569" t="s">
        <v>1259</v>
      </c>
      <c r="B30" s="570" t="s">
        <v>1260</v>
      </c>
      <c r="C30" s="570" t="s">
        <v>487</v>
      </c>
      <c r="D30" s="570" t="s">
        <v>1224</v>
      </c>
      <c r="E30" s="570" t="s">
        <v>1232</v>
      </c>
      <c r="F30" s="570" t="s">
        <v>1271</v>
      </c>
      <c r="G30" s="570" t="s">
        <v>1272</v>
      </c>
      <c r="H30" s="587">
        <v>204</v>
      </c>
      <c r="I30" s="587">
        <v>196248</v>
      </c>
      <c r="J30" s="570">
        <v>1.1572932330827068</v>
      </c>
      <c r="K30" s="570">
        <v>962</v>
      </c>
      <c r="L30" s="587">
        <v>175</v>
      </c>
      <c r="M30" s="587">
        <v>169575</v>
      </c>
      <c r="N30" s="570">
        <v>1</v>
      </c>
      <c r="O30" s="570">
        <v>969</v>
      </c>
      <c r="P30" s="587">
        <v>160</v>
      </c>
      <c r="Q30" s="587">
        <v>156000</v>
      </c>
      <c r="R30" s="575">
        <v>0.91994692613887663</v>
      </c>
      <c r="S30" s="588">
        <v>975</v>
      </c>
    </row>
    <row r="31" spans="1:19" ht="14.45" customHeight="1" x14ac:dyDescent="0.2">
      <c r="A31" s="569" t="s">
        <v>1259</v>
      </c>
      <c r="B31" s="570" t="s">
        <v>1260</v>
      </c>
      <c r="C31" s="570" t="s">
        <v>487</v>
      </c>
      <c r="D31" s="570" t="s">
        <v>1224</v>
      </c>
      <c r="E31" s="570" t="s">
        <v>1232</v>
      </c>
      <c r="F31" s="570" t="s">
        <v>1273</v>
      </c>
      <c r="G31" s="570" t="s">
        <v>1274</v>
      </c>
      <c r="H31" s="587">
        <v>528</v>
      </c>
      <c r="I31" s="587">
        <v>3985872</v>
      </c>
      <c r="J31" s="570">
        <v>0.99219511175124331</v>
      </c>
      <c r="K31" s="570">
        <v>7549</v>
      </c>
      <c r="L31" s="587">
        <v>529</v>
      </c>
      <c r="M31" s="587">
        <v>4017226</v>
      </c>
      <c r="N31" s="570">
        <v>1</v>
      </c>
      <c r="O31" s="570">
        <v>7594</v>
      </c>
      <c r="P31" s="587">
        <v>498</v>
      </c>
      <c r="Q31" s="587">
        <v>3801234</v>
      </c>
      <c r="R31" s="575">
        <v>0.94623354523743497</v>
      </c>
      <c r="S31" s="588">
        <v>7633</v>
      </c>
    </row>
    <row r="32" spans="1:19" ht="14.45" customHeight="1" x14ac:dyDescent="0.2">
      <c r="A32" s="569" t="s">
        <v>1259</v>
      </c>
      <c r="B32" s="570" t="s">
        <v>1260</v>
      </c>
      <c r="C32" s="570" t="s">
        <v>487</v>
      </c>
      <c r="D32" s="570" t="s">
        <v>1224</v>
      </c>
      <c r="E32" s="570" t="s">
        <v>1232</v>
      </c>
      <c r="F32" s="570" t="s">
        <v>1275</v>
      </c>
      <c r="G32" s="570" t="s">
        <v>1276</v>
      </c>
      <c r="H32" s="587">
        <v>41</v>
      </c>
      <c r="I32" s="587">
        <v>216152</v>
      </c>
      <c r="J32" s="570">
        <v>2.0391698113207548</v>
      </c>
      <c r="K32" s="570">
        <v>5272</v>
      </c>
      <c r="L32" s="587">
        <v>20</v>
      </c>
      <c r="M32" s="587">
        <v>106000</v>
      </c>
      <c r="N32" s="570">
        <v>1</v>
      </c>
      <c r="O32" s="570">
        <v>5300</v>
      </c>
      <c r="P32" s="587">
        <v>9</v>
      </c>
      <c r="Q32" s="587">
        <v>47925</v>
      </c>
      <c r="R32" s="575">
        <v>0.45212264150943399</v>
      </c>
      <c r="S32" s="588">
        <v>5325</v>
      </c>
    </row>
    <row r="33" spans="1:19" ht="14.45" customHeight="1" x14ac:dyDescent="0.2">
      <c r="A33" s="569" t="s">
        <v>1259</v>
      </c>
      <c r="B33" s="570" t="s">
        <v>1260</v>
      </c>
      <c r="C33" s="570" t="s">
        <v>487</v>
      </c>
      <c r="D33" s="570" t="s">
        <v>1224</v>
      </c>
      <c r="E33" s="570" t="s">
        <v>1232</v>
      </c>
      <c r="F33" s="570" t="s">
        <v>1277</v>
      </c>
      <c r="G33" s="570" t="s">
        <v>1278</v>
      </c>
      <c r="H33" s="587">
        <v>100</v>
      </c>
      <c r="I33" s="587">
        <v>1052400</v>
      </c>
      <c r="J33" s="570">
        <v>1.4422859492239695</v>
      </c>
      <c r="K33" s="570">
        <v>10524</v>
      </c>
      <c r="L33" s="587">
        <v>69</v>
      </c>
      <c r="M33" s="587">
        <v>729675</v>
      </c>
      <c r="N33" s="570">
        <v>1</v>
      </c>
      <c r="O33" s="570">
        <v>10575</v>
      </c>
      <c r="P33" s="587">
        <v>60</v>
      </c>
      <c r="Q33" s="587">
        <v>637140</v>
      </c>
      <c r="R33" s="575">
        <v>0.87318326652276701</v>
      </c>
      <c r="S33" s="588">
        <v>10619</v>
      </c>
    </row>
    <row r="34" spans="1:19" ht="14.45" customHeight="1" x14ac:dyDescent="0.2">
      <c r="A34" s="569" t="s">
        <v>1259</v>
      </c>
      <c r="B34" s="570" t="s">
        <v>1260</v>
      </c>
      <c r="C34" s="570" t="s">
        <v>487</v>
      </c>
      <c r="D34" s="570" t="s">
        <v>1224</v>
      </c>
      <c r="E34" s="570" t="s">
        <v>1232</v>
      </c>
      <c r="F34" s="570" t="s">
        <v>1279</v>
      </c>
      <c r="G34" s="570" t="s">
        <v>1280</v>
      </c>
      <c r="H34" s="587">
        <v>6</v>
      </c>
      <c r="I34" s="587">
        <v>74652</v>
      </c>
      <c r="J34" s="570">
        <v>0.66330801012928164</v>
      </c>
      <c r="K34" s="570">
        <v>12442</v>
      </c>
      <c r="L34" s="587">
        <v>9</v>
      </c>
      <c r="M34" s="587">
        <v>112545</v>
      </c>
      <c r="N34" s="570">
        <v>1</v>
      </c>
      <c r="O34" s="570">
        <v>12505</v>
      </c>
      <c r="P34" s="587">
        <v>14</v>
      </c>
      <c r="Q34" s="587">
        <v>175826</v>
      </c>
      <c r="R34" s="575">
        <v>1.5622728686303256</v>
      </c>
      <c r="S34" s="588">
        <v>12559</v>
      </c>
    </row>
    <row r="35" spans="1:19" ht="14.45" customHeight="1" x14ac:dyDescent="0.2">
      <c r="A35" s="569" t="s">
        <v>1259</v>
      </c>
      <c r="B35" s="570" t="s">
        <v>1260</v>
      </c>
      <c r="C35" s="570" t="s">
        <v>487</v>
      </c>
      <c r="D35" s="570" t="s">
        <v>1224</v>
      </c>
      <c r="E35" s="570" t="s">
        <v>1232</v>
      </c>
      <c r="F35" s="570" t="s">
        <v>1281</v>
      </c>
      <c r="G35" s="570" t="s">
        <v>1282</v>
      </c>
      <c r="H35" s="587">
        <v>4</v>
      </c>
      <c r="I35" s="587">
        <v>4456</v>
      </c>
      <c r="J35" s="570">
        <v>0.56684900139931305</v>
      </c>
      <c r="K35" s="570">
        <v>1114</v>
      </c>
      <c r="L35" s="587">
        <v>7</v>
      </c>
      <c r="M35" s="587">
        <v>7861</v>
      </c>
      <c r="N35" s="570">
        <v>1</v>
      </c>
      <c r="O35" s="570">
        <v>1123</v>
      </c>
      <c r="P35" s="587">
        <v>1</v>
      </c>
      <c r="Q35" s="587">
        <v>1132</v>
      </c>
      <c r="R35" s="575">
        <v>0.14400203536445744</v>
      </c>
      <c r="S35" s="588">
        <v>1132</v>
      </c>
    </row>
    <row r="36" spans="1:19" ht="14.45" customHeight="1" x14ac:dyDescent="0.2">
      <c r="A36" s="569" t="s">
        <v>1259</v>
      </c>
      <c r="B36" s="570" t="s">
        <v>1260</v>
      </c>
      <c r="C36" s="570" t="s">
        <v>487</v>
      </c>
      <c r="D36" s="570" t="s">
        <v>1224</v>
      </c>
      <c r="E36" s="570" t="s">
        <v>1232</v>
      </c>
      <c r="F36" s="570" t="s">
        <v>1283</v>
      </c>
      <c r="G36" s="570" t="s">
        <v>1284</v>
      </c>
      <c r="H36" s="587">
        <v>4</v>
      </c>
      <c r="I36" s="587">
        <v>2496</v>
      </c>
      <c r="J36" s="570"/>
      <c r="K36" s="570">
        <v>624</v>
      </c>
      <c r="L36" s="587"/>
      <c r="M36" s="587"/>
      <c r="N36" s="570"/>
      <c r="O36" s="570"/>
      <c r="P36" s="587">
        <v>4</v>
      </c>
      <c r="Q36" s="587">
        <v>2532</v>
      </c>
      <c r="R36" s="575"/>
      <c r="S36" s="588">
        <v>633</v>
      </c>
    </row>
    <row r="37" spans="1:19" ht="14.45" customHeight="1" x14ac:dyDescent="0.2">
      <c r="A37" s="569" t="s">
        <v>1259</v>
      </c>
      <c r="B37" s="570" t="s">
        <v>1260</v>
      </c>
      <c r="C37" s="570" t="s">
        <v>487</v>
      </c>
      <c r="D37" s="570" t="s">
        <v>1224</v>
      </c>
      <c r="E37" s="570" t="s">
        <v>1232</v>
      </c>
      <c r="F37" s="570" t="s">
        <v>1285</v>
      </c>
      <c r="G37" s="570" t="s">
        <v>1286</v>
      </c>
      <c r="H37" s="587">
        <v>246</v>
      </c>
      <c r="I37" s="587">
        <v>149814</v>
      </c>
      <c r="J37" s="570">
        <v>0.92725044563279857</v>
      </c>
      <c r="K37" s="570">
        <v>609</v>
      </c>
      <c r="L37" s="587">
        <v>264</v>
      </c>
      <c r="M37" s="587">
        <v>161568</v>
      </c>
      <c r="N37" s="570">
        <v>1</v>
      </c>
      <c r="O37" s="570">
        <v>612</v>
      </c>
      <c r="P37" s="587">
        <v>233</v>
      </c>
      <c r="Q37" s="587">
        <v>143295</v>
      </c>
      <c r="R37" s="575">
        <v>0.88690210932857994</v>
      </c>
      <c r="S37" s="588">
        <v>615</v>
      </c>
    </row>
    <row r="38" spans="1:19" ht="14.45" customHeight="1" x14ac:dyDescent="0.2">
      <c r="A38" s="569" t="s">
        <v>1259</v>
      </c>
      <c r="B38" s="570" t="s">
        <v>1260</v>
      </c>
      <c r="C38" s="570" t="s">
        <v>487</v>
      </c>
      <c r="D38" s="570" t="s">
        <v>1224</v>
      </c>
      <c r="E38" s="570" t="s">
        <v>1232</v>
      </c>
      <c r="F38" s="570" t="s">
        <v>1287</v>
      </c>
      <c r="G38" s="570" t="s">
        <v>1288</v>
      </c>
      <c r="H38" s="587">
        <v>197</v>
      </c>
      <c r="I38" s="587">
        <v>882560</v>
      </c>
      <c r="J38" s="570">
        <v>1.092737042815046</v>
      </c>
      <c r="K38" s="570">
        <v>4480</v>
      </c>
      <c r="L38" s="587">
        <v>180</v>
      </c>
      <c r="M38" s="587">
        <v>807660</v>
      </c>
      <c r="N38" s="570">
        <v>1</v>
      </c>
      <c r="O38" s="570">
        <v>4487</v>
      </c>
      <c r="P38" s="587">
        <v>224</v>
      </c>
      <c r="Q38" s="587">
        <v>1006432</v>
      </c>
      <c r="R38" s="575">
        <v>1.2461085110071068</v>
      </c>
      <c r="S38" s="588">
        <v>4493</v>
      </c>
    </row>
    <row r="39" spans="1:19" ht="14.45" customHeight="1" x14ac:dyDescent="0.2">
      <c r="A39" s="569" t="s">
        <v>1259</v>
      </c>
      <c r="B39" s="570" t="s">
        <v>1260</v>
      </c>
      <c r="C39" s="570" t="s">
        <v>487</v>
      </c>
      <c r="D39" s="570" t="s">
        <v>1224</v>
      </c>
      <c r="E39" s="570" t="s">
        <v>1232</v>
      </c>
      <c r="F39" s="570" t="s">
        <v>1289</v>
      </c>
      <c r="G39" s="570" t="s">
        <v>1290</v>
      </c>
      <c r="H39" s="587">
        <v>1239</v>
      </c>
      <c r="I39" s="587">
        <v>1371160</v>
      </c>
      <c r="J39" s="570">
        <v>0.97036864043933957</v>
      </c>
      <c r="K39" s="570">
        <v>1106.6666666666667</v>
      </c>
      <c r="L39" s="587">
        <v>1273</v>
      </c>
      <c r="M39" s="587">
        <v>1413030</v>
      </c>
      <c r="N39" s="570">
        <v>1</v>
      </c>
      <c r="O39" s="570">
        <v>1110</v>
      </c>
      <c r="P39" s="587">
        <v>1199</v>
      </c>
      <c r="Q39" s="587">
        <v>1335686</v>
      </c>
      <c r="R39" s="575">
        <v>0.94526372405398329</v>
      </c>
      <c r="S39" s="588">
        <v>1114</v>
      </c>
    </row>
    <row r="40" spans="1:19" ht="14.45" customHeight="1" x14ac:dyDescent="0.2">
      <c r="A40" s="569" t="s">
        <v>1259</v>
      </c>
      <c r="B40" s="570" t="s">
        <v>1260</v>
      </c>
      <c r="C40" s="570" t="s">
        <v>487</v>
      </c>
      <c r="D40" s="570" t="s">
        <v>1224</v>
      </c>
      <c r="E40" s="570" t="s">
        <v>1232</v>
      </c>
      <c r="F40" s="570" t="s">
        <v>1291</v>
      </c>
      <c r="G40" s="570" t="s">
        <v>1292</v>
      </c>
      <c r="H40" s="587">
        <v>546</v>
      </c>
      <c r="I40" s="587">
        <v>4056780</v>
      </c>
      <c r="J40" s="570">
        <v>1.0182310131784862</v>
      </c>
      <c r="K40" s="570">
        <v>7430</v>
      </c>
      <c r="L40" s="587">
        <v>535</v>
      </c>
      <c r="M40" s="587">
        <v>3984145</v>
      </c>
      <c r="N40" s="570">
        <v>1</v>
      </c>
      <c r="O40" s="570">
        <v>7447</v>
      </c>
      <c r="P40" s="587">
        <v>416</v>
      </c>
      <c r="Q40" s="587">
        <v>3104192</v>
      </c>
      <c r="R40" s="575">
        <v>0.77913630151513058</v>
      </c>
      <c r="S40" s="588">
        <v>7462</v>
      </c>
    </row>
    <row r="41" spans="1:19" ht="14.45" customHeight="1" x14ac:dyDescent="0.2">
      <c r="A41" s="569" t="s">
        <v>1259</v>
      </c>
      <c r="B41" s="570" t="s">
        <v>1260</v>
      </c>
      <c r="C41" s="570" t="s">
        <v>487</v>
      </c>
      <c r="D41" s="570" t="s">
        <v>1224</v>
      </c>
      <c r="E41" s="570" t="s">
        <v>1232</v>
      </c>
      <c r="F41" s="570" t="s">
        <v>1293</v>
      </c>
      <c r="G41" s="570" t="s">
        <v>1294</v>
      </c>
      <c r="H41" s="587">
        <v>656</v>
      </c>
      <c r="I41" s="587">
        <v>2515760</v>
      </c>
      <c r="J41" s="570">
        <v>5.1599723517238125</v>
      </c>
      <c r="K41" s="570">
        <v>3835</v>
      </c>
      <c r="L41" s="587">
        <v>127</v>
      </c>
      <c r="M41" s="587">
        <v>487553</v>
      </c>
      <c r="N41" s="570">
        <v>1</v>
      </c>
      <c r="O41" s="570">
        <v>3839</v>
      </c>
      <c r="P41" s="587">
        <v>136</v>
      </c>
      <c r="Q41" s="587">
        <v>522648</v>
      </c>
      <c r="R41" s="575">
        <v>1.0719819178632888</v>
      </c>
      <c r="S41" s="588">
        <v>3843</v>
      </c>
    </row>
    <row r="42" spans="1:19" ht="14.45" customHeight="1" x14ac:dyDescent="0.2">
      <c r="A42" s="569" t="s">
        <v>1259</v>
      </c>
      <c r="B42" s="570" t="s">
        <v>1260</v>
      </c>
      <c r="C42" s="570" t="s">
        <v>487</v>
      </c>
      <c r="D42" s="570" t="s">
        <v>1224</v>
      </c>
      <c r="E42" s="570" t="s">
        <v>1232</v>
      </c>
      <c r="F42" s="570" t="s">
        <v>1295</v>
      </c>
      <c r="G42" s="570" t="s">
        <v>1296</v>
      </c>
      <c r="H42" s="587">
        <v>279</v>
      </c>
      <c r="I42" s="587">
        <v>668413</v>
      </c>
      <c r="J42" s="570">
        <v>0.39077350485563467</v>
      </c>
      <c r="K42" s="570">
        <v>2395.7455197132617</v>
      </c>
      <c r="L42" s="587">
        <v>713</v>
      </c>
      <c r="M42" s="587">
        <v>1710487</v>
      </c>
      <c r="N42" s="570">
        <v>1</v>
      </c>
      <c r="O42" s="570">
        <v>2399</v>
      </c>
      <c r="P42" s="587">
        <v>1023</v>
      </c>
      <c r="Q42" s="587">
        <v>2457246</v>
      </c>
      <c r="R42" s="575">
        <v>1.436576834550628</v>
      </c>
      <c r="S42" s="588">
        <v>2402</v>
      </c>
    </row>
    <row r="43" spans="1:19" ht="14.45" customHeight="1" x14ac:dyDescent="0.2">
      <c r="A43" s="569" t="s">
        <v>1259</v>
      </c>
      <c r="B43" s="570" t="s">
        <v>1260</v>
      </c>
      <c r="C43" s="570" t="s">
        <v>487</v>
      </c>
      <c r="D43" s="570" t="s">
        <v>1224</v>
      </c>
      <c r="E43" s="570" t="s">
        <v>1232</v>
      </c>
      <c r="F43" s="570" t="s">
        <v>1297</v>
      </c>
      <c r="G43" s="570" t="s">
        <v>1298</v>
      </c>
      <c r="H43" s="587">
        <v>25</v>
      </c>
      <c r="I43" s="587">
        <v>887475</v>
      </c>
      <c r="J43" s="570">
        <v>1.6645566058969166</v>
      </c>
      <c r="K43" s="570">
        <v>35499</v>
      </c>
      <c r="L43" s="587">
        <v>15</v>
      </c>
      <c r="M43" s="587">
        <v>533160</v>
      </c>
      <c r="N43" s="570">
        <v>1</v>
      </c>
      <c r="O43" s="570">
        <v>35544</v>
      </c>
      <c r="P43" s="587">
        <v>16</v>
      </c>
      <c r="Q43" s="587">
        <v>569344</v>
      </c>
      <c r="R43" s="575">
        <v>1.0678670567934578</v>
      </c>
      <c r="S43" s="588">
        <v>35584</v>
      </c>
    </row>
    <row r="44" spans="1:19" ht="14.45" customHeight="1" x14ac:dyDescent="0.2">
      <c r="A44" s="569" t="s">
        <v>1259</v>
      </c>
      <c r="B44" s="570" t="s">
        <v>1260</v>
      </c>
      <c r="C44" s="570" t="s">
        <v>487</v>
      </c>
      <c r="D44" s="570" t="s">
        <v>1224</v>
      </c>
      <c r="E44" s="570" t="s">
        <v>1232</v>
      </c>
      <c r="F44" s="570" t="s">
        <v>1299</v>
      </c>
      <c r="G44" s="570" t="s">
        <v>1300</v>
      </c>
      <c r="H44" s="587">
        <v>23</v>
      </c>
      <c r="I44" s="587">
        <v>202538</v>
      </c>
      <c r="J44" s="570">
        <v>2.298173153296267</v>
      </c>
      <c r="K44" s="570">
        <v>8806</v>
      </c>
      <c r="L44" s="587">
        <v>10</v>
      </c>
      <c r="M44" s="587">
        <v>88130</v>
      </c>
      <c r="N44" s="570">
        <v>1</v>
      </c>
      <c r="O44" s="570">
        <v>8813</v>
      </c>
      <c r="P44" s="587">
        <v>17</v>
      </c>
      <c r="Q44" s="587">
        <v>149940</v>
      </c>
      <c r="R44" s="575">
        <v>1.7013502779984115</v>
      </c>
      <c r="S44" s="588">
        <v>8820</v>
      </c>
    </row>
    <row r="45" spans="1:19" ht="14.45" customHeight="1" x14ac:dyDescent="0.2">
      <c r="A45" s="569" t="s">
        <v>1259</v>
      </c>
      <c r="B45" s="570" t="s">
        <v>1260</v>
      </c>
      <c r="C45" s="570" t="s">
        <v>487</v>
      </c>
      <c r="D45" s="570" t="s">
        <v>1224</v>
      </c>
      <c r="E45" s="570" t="s">
        <v>1232</v>
      </c>
      <c r="F45" s="570" t="s">
        <v>1301</v>
      </c>
      <c r="G45" s="570" t="s">
        <v>1302</v>
      </c>
      <c r="H45" s="587">
        <v>33</v>
      </c>
      <c r="I45" s="587">
        <v>330000</v>
      </c>
      <c r="J45" s="570">
        <v>0.532258064516129</v>
      </c>
      <c r="K45" s="570">
        <v>10000</v>
      </c>
      <c r="L45" s="587">
        <v>62</v>
      </c>
      <c r="M45" s="587">
        <v>620000</v>
      </c>
      <c r="N45" s="570">
        <v>1</v>
      </c>
      <c r="O45" s="570">
        <v>10000</v>
      </c>
      <c r="P45" s="587">
        <v>54</v>
      </c>
      <c r="Q45" s="587">
        <v>540000</v>
      </c>
      <c r="R45" s="575">
        <v>0.87096774193548387</v>
      </c>
      <c r="S45" s="588">
        <v>10000</v>
      </c>
    </row>
    <row r="46" spans="1:19" ht="14.45" customHeight="1" x14ac:dyDescent="0.2">
      <c r="A46" s="569" t="s">
        <v>1259</v>
      </c>
      <c r="B46" s="570" t="s">
        <v>1260</v>
      </c>
      <c r="C46" s="570" t="s">
        <v>487</v>
      </c>
      <c r="D46" s="570" t="s">
        <v>1224</v>
      </c>
      <c r="E46" s="570" t="s">
        <v>1232</v>
      </c>
      <c r="F46" s="570" t="s">
        <v>1303</v>
      </c>
      <c r="G46" s="570" t="s">
        <v>1304</v>
      </c>
      <c r="H46" s="587">
        <v>304</v>
      </c>
      <c r="I46" s="587">
        <v>3273066.6899999995</v>
      </c>
      <c r="J46" s="570">
        <v>0.90476190871085271</v>
      </c>
      <c r="K46" s="570">
        <v>10766.66674342105</v>
      </c>
      <c r="L46" s="587">
        <v>336</v>
      </c>
      <c r="M46" s="587">
        <v>3617600.01</v>
      </c>
      <c r="N46" s="570">
        <v>1</v>
      </c>
      <c r="O46" s="570">
        <v>10766.666696428571</v>
      </c>
      <c r="P46" s="587">
        <v>281</v>
      </c>
      <c r="Q46" s="587">
        <v>3025433.34</v>
      </c>
      <c r="R46" s="575">
        <v>0.83630952334058628</v>
      </c>
      <c r="S46" s="588">
        <v>10766.666690391459</v>
      </c>
    </row>
    <row r="47" spans="1:19" ht="14.45" customHeight="1" x14ac:dyDescent="0.2">
      <c r="A47" s="569" t="s">
        <v>1259</v>
      </c>
      <c r="B47" s="570" t="s">
        <v>1260</v>
      </c>
      <c r="C47" s="570" t="s">
        <v>487</v>
      </c>
      <c r="D47" s="570" t="s">
        <v>1224</v>
      </c>
      <c r="E47" s="570" t="s">
        <v>1232</v>
      </c>
      <c r="F47" s="570" t="s">
        <v>1305</v>
      </c>
      <c r="G47" s="570" t="s">
        <v>1306</v>
      </c>
      <c r="H47" s="587">
        <v>161</v>
      </c>
      <c r="I47" s="587">
        <v>1341666.6599999999</v>
      </c>
      <c r="J47" s="570">
        <v>0.96987952260124832</v>
      </c>
      <c r="K47" s="570">
        <v>8333.3332919254644</v>
      </c>
      <c r="L47" s="587">
        <v>166</v>
      </c>
      <c r="M47" s="587">
        <v>1383333.32</v>
      </c>
      <c r="N47" s="570">
        <v>1</v>
      </c>
      <c r="O47" s="570">
        <v>8333.3332530120479</v>
      </c>
      <c r="P47" s="587">
        <v>164</v>
      </c>
      <c r="Q47" s="587">
        <v>1366666.66</v>
      </c>
      <c r="R47" s="575">
        <v>0.9879518119320656</v>
      </c>
      <c r="S47" s="588">
        <v>8333.3332926829262</v>
      </c>
    </row>
    <row r="48" spans="1:19" ht="14.45" customHeight="1" x14ac:dyDescent="0.2">
      <c r="A48" s="569" t="s">
        <v>1259</v>
      </c>
      <c r="B48" s="570" t="s">
        <v>1260</v>
      </c>
      <c r="C48" s="570" t="s">
        <v>487</v>
      </c>
      <c r="D48" s="570" t="s">
        <v>1224</v>
      </c>
      <c r="E48" s="570" t="s">
        <v>1232</v>
      </c>
      <c r="F48" s="570" t="s">
        <v>1307</v>
      </c>
      <c r="G48" s="570" t="s">
        <v>1308</v>
      </c>
      <c r="H48" s="587">
        <v>311</v>
      </c>
      <c r="I48" s="587">
        <v>0</v>
      </c>
      <c r="J48" s="570"/>
      <c r="K48" s="570">
        <v>0</v>
      </c>
      <c r="L48" s="587">
        <v>489</v>
      </c>
      <c r="M48" s="587">
        <v>0</v>
      </c>
      <c r="N48" s="570"/>
      <c r="O48" s="570">
        <v>0</v>
      </c>
      <c r="P48" s="587">
        <v>561</v>
      </c>
      <c r="Q48" s="587">
        <v>0</v>
      </c>
      <c r="R48" s="575"/>
      <c r="S48" s="588">
        <v>0</v>
      </c>
    </row>
    <row r="49" spans="1:19" ht="14.45" customHeight="1" x14ac:dyDescent="0.2">
      <c r="A49" s="569" t="s">
        <v>1259</v>
      </c>
      <c r="B49" s="570" t="s">
        <v>1260</v>
      </c>
      <c r="C49" s="570" t="s">
        <v>487</v>
      </c>
      <c r="D49" s="570" t="s">
        <v>1224</v>
      </c>
      <c r="E49" s="570" t="s">
        <v>1232</v>
      </c>
      <c r="F49" s="570" t="s">
        <v>1309</v>
      </c>
      <c r="G49" s="570" t="s">
        <v>1310</v>
      </c>
      <c r="H49" s="587">
        <v>45</v>
      </c>
      <c r="I49" s="587">
        <v>371250</v>
      </c>
      <c r="J49" s="570">
        <v>0.19565217391304349</v>
      </c>
      <c r="K49" s="570">
        <v>8250</v>
      </c>
      <c r="L49" s="587">
        <v>230</v>
      </c>
      <c r="M49" s="587">
        <v>1897500</v>
      </c>
      <c r="N49" s="570">
        <v>1</v>
      </c>
      <c r="O49" s="570">
        <v>8250</v>
      </c>
      <c r="P49" s="587">
        <v>170</v>
      </c>
      <c r="Q49" s="587">
        <v>1402500</v>
      </c>
      <c r="R49" s="575">
        <v>0.73913043478260865</v>
      </c>
      <c r="S49" s="588">
        <v>8250</v>
      </c>
    </row>
    <row r="50" spans="1:19" ht="14.45" customHeight="1" x14ac:dyDescent="0.2">
      <c r="A50" s="569" t="s">
        <v>1259</v>
      </c>
      <c r="B50" s="570" t="s">
        <v>1260</v>
      </c>
      <c r="C50" s="570" t="s">
        <v>487</v>
      </c>
      <c r="D50" s="570" t="s">
        <v>1224</v>
      </c>
      <c r="E50" s="570" t="s">
        <v>1232</v>
      </c>
      <c r="F50" s="570" t="s">
        <v>1311</v>
      </c>
      <c r="G50" s="570" t="s">
        <v>1312</v>
      </c>
      <c r="H50" s="587">
        <v>29</v>
      </c>
      <c r="I50" s="587">
        <v>0</v>
      </c>
      <c r="J50" s="570"/>
      <c r="K50" s="570">
        <v>0</v>
      </c>
      <c r="L50" s="587">
        <v>38</v>
      </c>
      <c r="M50" s="587">
        <v>0</v>
      </c>
      <c r="N50" s="570"/>
      <c r="O50" s="570">
        <v>0</v>
      </c>
      <c r="P50" s="587">
        <v>92</v>
      </c>
      <c r="Q50" s="587">
        <v>0</v>
      </c>
      <c r="R50" s="575"/>
      <c r="S50" s="588">
        <v>0</v>
      </c>
    </row>
    <row r="51" spans="1:19" ht="14.45" customHeight="1" x14ac:dyDescent="0.2">
      <c r="A51" s="569" t="s">
        <v>1259</v>
      </c>
      <c r="B51" s="570" t="s">
        <v>1260</v>
      </c>
      <c r="C51" s="570" t="s">
        <v>487</v>
      </c>
      <c r="D51" s="570" t="s">
        <v>1224</v>
      </c>
      <c r="E51" s="570" t="s">
        <v>1232</v>
      </c>
      <c r="F51" s="570" t="s">
        <v>1313</v>
      </c>
      <c r="G51" s="570" t="s">
        <v>1314</v>
      </c>
      <c r="H51" s="587">
        <v>0</v>
      </c>
      <c r="I51" s="587">
        <v>0</v>
      </c>
      <c r="J51" s="570"/>
      <c r="K51" s="570"/>
      <c r="L51" s="587"/>
      <c r="M51" s="587"/>
      <c r="N51" s="570"/>
      <c r="O51" s="570"/>
      <c r="P51" s="587">
        <v>1</v>
      </c>
      <c r="Q51" s="587">
        <v>4059</v>
      </c>
      <c r="R51" s="575"/>
      <c r="S51" s="588">
        <v>4059</v>
      </c>
    </row>
    <row r="52" spans="1:19" ht="14.45" customHeight="1" x14ac:dyDescent="0.2">
      <c r="A52" s="569" t="s">
        <v>1259</v>
      </c>
      <c r="B52" s="570" t="s">
        <v>1260</v>
      </c>
      <c r="C52" s="570" t="s">
        <v>487</v>
      </c>
      <c r="D52" s="570" t="s">
        <v>1224</v>
      </c>
      <c r="E52" s="570" t="s">
        <v>1232</v>
      </c>
      <c r="F52" s="570" t="s">
        <v>1315</v>
      </c>
      <c r="G52" s="570" t="s">
        <v>1316</v>
      </c>
      <c r="H52" s="587">
        <v>34</v>
      </c>
      <c r="I52" s="587">
        <v>1038888.9400000003</v>
      </c>
      <c r="J52" s="570">
        <v>0.8717948976152049</v>
      </c>
      <c r="K52" s="570">
        <v>30555.557058823539</v>
      </c>
      <c r="L52" s="587">
        <v>39</v>
      </c>
      <c r="M52" s="587">
        <v>1191666.6900000002</v>
      </c>
      <c r="N52" s="570">
        <v>1</v>
      </c>
      <c r="O52" s="570">
        <v>30555.556153846159</v>
      </c>
      <c r="P52" s="587">
        <v>91</v>
      </c>
      <c r="Q52" s="587">
        <v>2780555.620000001</v>
      </c>
      <c r="R52" s="575">
        <v>2.3333333417249422</v>
      </c>
      <c r="S52" s="588">
        <v>30555.556263736275</v>
      </c>
    </row>
    <row r="53" spans="1:19" ht="14.45" customHeight="1" x14ac:dyDescent="0.2">
      <c r="A53" s="569" t="s">
        <v>1259</v>
      </c>
      <c r="B53" s="570" t="s">
        <v>1260</v>
      </c>
      <c r="C53" s="570" t="s">
        <v>487</v>
      </c>
      <c r="D53" s="570" t="s">
        <v>1224</v>
      </c>
      <c r="E53" s="570" t="s">
        <v>1232</v>
      </c>
      <c r="F53" s="570" t="s">
        <v>1317</v>
      </c>
      <c r="G53" s="570" t="s">
        <v>1318</v>
      </c>
      <c r="H53" s="587">
        <v>52</v>
      </c>
      <c r="I53" s="587">
        <v>221520</v>
      </c>
      <c r="J53" s="570">
        <v>1.7333333333333334</v>
      </c>
      <c r="K53" s="570">
        <v>4260</v>
      </c>
      <c r="L53" s="587">
        <v>30</v>
      </c>
      <c r="M53" s="587">
        <v>127800</v>
      </c>
      <c r="N53" s="570">
        <v>1</v>
      </c>
      <c r="O53" s="570">
        <v>4260</v>
      </c>
      <c r="P53" s="587">
        <v>22</v>
      </c>
      <c r="Q53" s="587">
        <v>93720</v>
      </c>
      <c r="R53" s="575">
        <v>0.73333333333333328</v>
      </c>
      <c r="S53" s="588">
        <v>4260</v>
      </c>
    </row>
    <row r="54" spans="1:19" ht="14.45" customHeight="1" x14ac:dyDescent="0.2">
      <c r="A54" s="569" t="s">
        <v>1259</v>
      </c>
      <c r="B54" s="570" t="s">
        <v>1260</v>
      </c>
      <c r="C54" s="570" t="s">
        <v>487</v>
      </c>
      <c r="D54" s="570" t="s">
        <v>1224</v>
      </c>
      <c r="E54" s="570" t="s">
        <v>1232</v>
      </c>
      <c r="F54" s="570" t="s">
        <v>1319</v>
      </c>
      <c r="G54" s="570" t="s">
        <v>1320</v>
      </c>
      <c r="H54" s="587">
        <v>28</v>
      </c>
      <c r="I54" s="587">
        <v>149022.22</v>
      </c>
      <c r="J54" s="570">
        <v>0.96551731734018509</v>
      </c>
      <c r="K54" s="570">
        <v>5322.2221428571429</v>
      </c>
      <c r="L54" s="587">
        <v>29</v>
      </c>
      <c r="M54" s="587">
        <v>154344.43000000002</v>
      </c>
      <c r="N54" s="570">
        <v>1</v>
      </c>
      <c r="O54" s="570">
        <v>5322.2217241379321</v>
      </c>
      <c r="P54" s="587">
        <v>17</v>
      </c>
      <c r="Q54" s="587">
        <v>90477.78</v>
      </c>
      <c r="R54" s="575">
        <v>0.58620696581016873</v>
      </c>
      <c r="S54" s="588">
        <v>5322.2223529411767</v>
      </c>
    </row>
    <row r="55" spans="1:19" ht="14.45" customHeight="1" x14ac:dyDescent="0.2">
      <c r="A55" s="569" t="s">
        <v>1259</v>
      </c>
      <c r="B55" s="570" t="s">
        <v>1260</v>
      </c>
      <c r="C55" s="570" t="s">
        <v>487</v>
      </c>
      <c r="D55" s="570" t="s">
        <v>1224</v>
      </c>
      <c r="E55" s="570" t="s">
        <v>1232</v>
      </c>
      <c r="F55" s="570" t="s">
        <v>1321</v>
      </c>
      <c r="G55" s="570" t="s">
        <v>1322</v>
      </c>
      <c r="H55" s="587">
        <v>177</v>
      </c>
      <c r="I55" s="587">
        <v>7788000</v>
      </c>
      <c r="J55" s="570">
        <v>0.78666666666666663</v>
      </c>
      <c r="K55" s="570">
        <v>44000</v>
      </c>
      <c r="L55" s="587">
        <v>225</v>
      </c>
      <c r="M55" s="587">
        <v>9900000</v>
      </c>
      <c r="N55" s="570">
        <v>1</v>
      </c>
      <c r="O55" s="570">
        <v>44000</v>
      </c>
      <c r="P55" s="587">
        <v>273</v>
      </c>
      <c r="Q55" s="587">
        <v>12012000</v>
      </c>
      <c r="R55" s="575">
        <v>1.2133333333333334</v>
      </c>
      <c r="S55" s="588">
        <v>44000</v>
      </c>
    </row>
    <row r="56" spans="1:19" ht="14.45" customHeight="1" x14ac:dyDescent="0.2">
      <c r="A56" s="569" t="s">
        <v>1259</v>
      </c>
      <c r="B56" s="570" t="s">
        <v>1260</v>
      </c>
      <c r="C56" s="570" t="s">
        <v>487</v>
      </c>
      <c r="D56" s="570" t="s">
        <v>1224</v>
      </c>
      <c r="E56" s="570" t="s">
        <v>1232</v>
      </c>
      <c r="F56" s="570" t="s">
        <v>1323</v>
      </c>
      <c r="G56" s="570" t="s">
        <v>1324</v>
      </c>
      <c r="H56" s="587"/>
      <c r="I56" s="587"/>
      <c r="J56" s="570"/>
      <c r="K56" s="570"/>
      <c r="L56" s="587">
        <v>2</v>
      </c>
      <c r="M56" s="587">
        <v>79594</v>
      </c>
      <c r="N56" s="570">
        <v>1</v>
      </c>
      <c r="O56" s="570">
        <v>39797</v>
      </c>
      <c r="P56" s="587">
        <v>90</v>
      </c>
      <c r="Q56" s="587">
        <v>3587400</v>
      </c>
      <c r="R56" s="575">
        <v>45.071236525366231</v>
      </c>
      <c r="S56" s="588">
        <v>39860</v>
      </c>
    </row>
    <row r="57" spans="1:19" ht="14.45" customHeight="1" x14ac:dyDescent="0.2">
      <c r="A57" s="569" t="s">
        <v>1259</v>
      </c>
      <c r="B57" s="570" t="s">
        <v>1260</v>
      </c>
      <c r="C57" s="570" t="s">
        <v>487</v>
      </c>
      <c r="D57" s="570" t="s">
        <v>1224</v>
      </c>
      <c r="E57" s="570" t="s">
        <v>1232</v>
      </c>
      <c r="F57" s="570" t="s">
        <v>1325</v>
      </c>
      <c r="G57" s="570" t="s">
        <v>1326</v>
      </c>
      <c r="H57" s="587"/>
      <c r="I57" s="587"/>
      <c r="J57" s="570"/>
      <c r="K57" s="570"/>
      <c r="L57" s="587">
        <v>1</v>
      </c>
      <c r="M57" s="587">
        <v>31867</v>
      </c>
      <c r="N57" s="570">
        <v>1</v>
      </c>
      <c r="O57" s="570">
        <v>31867</v>
      </c>
      <c r="P57" s="587"/>
      <c r="Q57" s="587"/>
      <c r="R57" s="575"/>
      <c r="S57" s="588"/>
    </row>
    <row r="58" spans="1:19" ht="14.45" customHeight="1" x14ac:dyDescent="0.2">
      <c r="A58" s="569" t="s">
        <v>1259</v>
      </c>
      <c r="B58" s="570" t="s">
        <v>1260</v>
      </c>
      <c r="C58" s="570" t="s">
        <v>487</v>
      </c>
      <c r="D58" s="570" t="s">
        <v>1224</v>
      </c>
      <c r="E58" s="570" t="s">
        <v>1232</v>
      </c>
      <c r="F58" s="570" t="s">
        <v>1327</v>
      </c>
      <c r="G58" s="570" t="s">
        <v>1328</v>
      </c>
      <c r="H58" s="587">
        <v>1</v>
      </c>
      <c r="I58" s="587">
        <v>8600</v>
      </c>
      <c r="J58" s="570"/>
      <c r="K58" s="570">
        <v>8600</v>
      </c>
      <c r="L58" s="587"/>
      <c r="M58" s="587"/>
      <c r="N58" s="570"/>
      <c r="O58" s="570"/>
      <c r="P58" s="587"/>
      <c r="Q58" s="587"/>
      <c r="R58" s="575"/>
      <c r="S58" s="588"/>
    </row>
    <row r="59" spans="1:19" ht="14.45" customHeight="1" thickBot="1" x14ac:dyDescent="0.25">
      <c r="A59" s="577" t="s">
        <v>1259</v>
      </c>
      <c r="B59" s="578" t="s">
        <v>1260</v>
      </c>
      <c r="C59" s="578" t="s">
        <v>487</v>
      </c>
      <c r="D59" s="578" t="s">
        <v>1224</v>
      </c>
      <c r="E59" s="578" t="s">
        <v>1232</v>
      </c>
      <c r="F59" s="578" t="s">
        <v>1329</v>
      </c>
      <c r="G59" s="578" t="s">
        <v>1330</v>
      </c>
      <c r="H59" s="589"/>
      <c r="I59" s="589"/>
      <c r="J59" s="578"/>
      <c r="K59" s="578"/>
      <c r="L59" s="589"/>
      <c r="M59" s="589"/>
      <c r="N59" s="578"/>
      <c r="O59" s="578"/>
      <c r="P59" s="589">
        <v>13</v>
      </c>
      <c r="Q59" s="589">
        <v>195000</v>
      </c>
      <c r="R59" s="583"/>
      <c r="S59" s="590">
        <v>15000</v>
      </c>
    </row>
  </sheetData>
  <autoFilter ref="A5:S5" xr:uid="{00000000-0009-0000-0000-000023000000}"/>
  <mergeCells count="12">
    <mergeCell ref="R4:R5"/>
    <mergeCell ref="S4:S5"/>
    <mergeCell ref="A1:S1"/>
    <mergeCell ref="A4:A5"/>
    <mergeCell ref="B4:B5"/>
    <mergeCell ref="C4:C5"/>
    <mergeCell ref="E4:E5"/>
    <mergeCell ref="F4:F5"/>
    <mergeCell ref="G4:G5"/>
    <mergeCell ref="H4:I4"/>
    <mergeCell ref="L4:M4"/>
    <mergeCell ref="P4:Q4"/>
  </mergeCells>
  <hyperlinks>
    <hyperlink ref="A2" location="Obsah!A1" display="Zpět na Obsah  KL 01  1.-4.měsíc" xr:uid="{B37BFC2B-FA5E-44EE-9253-CB11D587E6F9}"/>
  </hyperlinks>
  <pageMargins left="0.25" right="0.25" top="0.75" bottom="0.75" header="0.3" footer="0.3"/>
  <pageSetup paperSize="9" scale="79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List46">
    <tabColor theme="0" tint="-0.249977111117893"/>
    <outlinePr summaryRight="0"/>
    <pageSetUpPr fitToPage="1"/>
  </sheetPr>
  <dimension ref="A1:S18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ColWidth="8.85546875" defaultRowHeight="14.45" customHeight="1" outlineLevelCol="1" x14ac:dyDescent="0.2"/>
  <cols>
    <col min="1" max="1" width="46.7109375" style="129" bestFit="1" customWidth="1" collapsed="1"/>
    <col min="2" max="2" width="7.7109375" style="106" hidden="1" customWidth="1" outlineLevel="1"/>
    <col min="3" max="3" width="0.140625" style="129" hidden="1" customWidth="1"/>
    <col min="4" max="4" width="7.7109375" style="106" customWidth="1"/>
    <col min="5" max="5" width="5.42578125" style="129" hidden="1" customWidth="1"/>
    <col min="6" max="6" width="7.7109375" style="106" customWidth="1"/>
    <col min="7" max="7" width="7.7109375" style="210" customWidth="1" collapsed="1"/>
    <col min="8" max="8" width="7.7109375" style="106" hidden="1" customWidth="1" outlineLevel="1"/>
    <col min="9" max="9" width="5.42578125" style="129" hidden="1" customWidth="1"/>
    <col min="10" max="10" width="7.7109375" style="106" customWidth="1"/>
    <col min="11" max="11" width="5.42578125" style="129" hidden="1" customWidth="1"/>
    <col min="12" max="12" width="7.7109375" style="106" customWidth="1"/>
    <col min="13" max="13" width="7.7109375" style="210" customWidth="1" collapsed="1"/>
    <col min="14" max="14" width="7.7109375" style="106" hidden="1" customWidth="1" outlineLevel="1"/>
    <col min="15" max="15" width="5" style="129" hidden="1" customWidth="1"/>
    <col min="16" max="16" width="7.7109375" style="106" customWidth="1"/>
    <col min="17" max="17" width="5" style="129" hidden="1" customWidth="1"/>
    <col min="18" max="18" width="7.7109375" style="106" customWidth="1"/>
    <col min="19" max="19" width="7.7109375" style="210" customWidth="1"/>
    <col min="20" max="16384" width="8.85546875" style="129"/>
  </cols>
  <sheetData>
    <row r="1" spans="1:19" ht="18.600000000000001" customHeight="1" thickBot="1" x14ac:dyDescent="0.35">
      <c r="A1" s="341" t="s">
        <v>126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</row>
    <row r="2" spans="1:19" ht="14.45" customHeight="1" thickBot="1" x14ac:dyDescent="0.25">
      <c r="A2" s="232" t="s">
        <v>270</v>
      </c>
      <c r="B2" s="226"/>
      <c r="C2" s="111"/>
      <c r="D2" s="226"/>
      <c r="E2" s="111"/>
      <c r="F2" s="226"/>
      <c r="G2" s="227"/>
      <c r="H2" s="226"/>
      <c r="I2" s="111"/>
      <c r="J2" s="226"/>
      <c r="K2" s="111"/>
      <c r="L2" s="226"/>
      <c r="M2" s="227"/>
      <c r="N2" s="226"/>
      <c r="O2" s="111"/>
      <c r="P2" s="226"/>
      <c r="Q2" s="111"/>
      <c r="R2" s="226"/>
      <c r="S2" s="227"/>
    </row>
    <row r="3" spans="1:19" ht="14.45" customHeight="1" thickBot="1" x14ac:dyDescent="0.25">
      <c r="A3" s="220" t="s">
        <v>127</v>
      </c>
      <c r="B3" s="221">
        <f>SUBTOTAL(9,B6:B1048576)</f>
        <v>520558.66000000003</v>
      </c>
      <c r="C3" s="222">
        <f t="shared" ref="C3:R3" si="0">SUBTOTAL(9,C6:C1048576)</f>
        <v>8.2349641819172881</v>
      </c>
      <c r="D3" s="222">
        <f t="shared" si="0"/>
        <v>526828</v>
      </c>
      <c r="E3" s="222">
        <f t="shared" si="0"/>
        <v>11</v>
      </c>
      <c r="F3" s="222">
        <f t="shared" si="0"/>
        <v>395245.33</v>
      </c>
      <c r="G3" s="225">
        <f>IF(D3&lt;&gt;0,F3/D3,"")</f>
        <v>0.75023599732740098</v>
      </c>
      <c r="H3" s="221">
        <f t="shared" si="0"/>
        <v>0</v>
      </c>
      <c r="I3" s="222">
        <f t="shared" si="0"/>
        <v>0</v>
      </c>
      <c r="J3" s="222">
        <f t="shared" si="0"/>
        <v>0</v>
      </c>
      <c r="K3" s="222">
        <f t="shared" si="0"/>
        <v>0</v>
      </c>
      <c r="L3" s="222">
        <f t="shared" si="0"/>
        <v>0</v>
      </c>
      <c r="M3" s="223" t="str">
        <f>IF(J3&lt;&gt;0,L3/J3,"")</f>
        <v/>
      </c>
      <c r="N3" s="224">
        <f t="shared" si="0"/>
        <v>0</v>
      </c>
      <c r="O3" s="222">
        <f t="shared" si="0"/>
        <v>0</v>
      </c>
      <c r="P3" s="222">
        <f t="shared" si="0"/>
        <v>0</v>
      </c>
      <c r="Q3" s="222">
        <f t="shared" si="0"/>
        <v>0</v>
      </c>
      <c r="R3" s="222">
        <f t="shared" si="0"/>
        <v>0</v>
      </c>
      <c r="S3" s="223" t="str">
        <f>IF(P3&lt;&gt;0,R3/P3,"")</f>
        <v/>
      </c>
    </row>
    <row r="4" spans="1:19" ht="14.45" customHeight="1" x14ac:dyDescent="0.2">
      <c r="A4" s="439" t="s">
        <v>104</v>
      </c>
      <c r="B4" s="440" t="s">
        <v>98</v>
      </c>
      <c r="C4" s="441"/>
      <c r="D4" s="441"/>
      <c r="E4" s="441"/>
      <c r="F4" s="441"/>
      <c r="G4" s="443"/>
      <c r="H4" s="440" t="s">
        <v>99</v>
      </c>
      <c r="I4" s="441"/>
      <c r="J4" s="441"/>
      <c r="K4" s="441"/>
      <c r="L4" s="441"/>
      <c r="M4" s="443"/>
      <c r="N4" s="440" t="s">
        <v>100</v>
      </c>
      <c r="O4" s="441"/>
      <c r="P4" s="441"/>
      <c r="Q4" s="441"/>
      <c r="R4" s="441"/>
      <c r="S4" s="443"/>
    </row>
    <row r="5" spans="1:19" ht="14.45" customHeight="1" thickBot="1" x14ac:dyDescent="0.25">
      <c r="A5" s="603"/>
      <c r="B5" s="604">
        <v>2018</v>
      </c>
      <c r="C5" s="605"/>
      <c r="D5" s="605">
        <v>2019</v>
      </c>
      <c r="E5" s="605"/>
      <c r="F5" s="605">
        <v>2020</v>
      </c>
      <c r="G5" s="643" t="s">
        <v>2</v>
      </c>
      <c r="H5" s="604">
        <v>2018</v>
      </c>
      <c r="I5" s="605"/>
      <c r="J5" s="605">
        <v>2019</v>
      </c>
      <c r="K5" s="605"/>
      <c r="L5" s="605">
        <v>2020</v>
      </c>
      <c r="M5" s="643" t="s">
        <v>2</v>
      </c>
      <c r="N5" s="604">
        <v>2018</v>
      </c>
      <c r="O5" s="605"/>
      <c r="P5" s="605">
        <v>2019</v>
      </c>
      <c r="Q5" s="605"/>
      <c r="R5" s="605">
        <v>2020</v>
      </c>
      <c r="S5" s="643" t="s">
        <v>2</v>
      </c>
    </row>
    <row r="6" spans="1:19" ht="14.45" customHeight="1" x14ac:dyDescent="0.2">
      <c r="A6" s="594" t="s">
        <v>1333</v>
      </c>
      <c r="B6" s="625"/>
      <c r="C6" s="563"/>
      <c r="D6" s="625">
        <v>5951</v>
      </c>
      <c r="E6" s="563">
        <v>1</v>
      </c>
      <c r="F6" s="625">
        <v>1535</v>
      </c>
      <c r="G6" s="568">
        <v>0.25793984204335407</v>
      </c>
      <c r="H6" s="625"/>
      <c r="I6" s="563"/>
      <c r="J6" s="625"/>
      <c r="K6" s="563"/>
      <c r="L6" s="625"/>
      <c r="M6" s="568"/>
      <c r="N6" s="625"/>
      <c r="O6" s="563"/>
      <c r="P6" s="625"/>
      <c r="Q6" s="563"/>
      <c r="R6" s="625"/>
      <c r="S6" s="122"/>
    </row>
    <row r="7" spans="1:19" ht="14.45" customHeight="1" x14ac:dyDescent="0.2">
      <c r="A7" s="595" t="s">
        <v>1334</v>
      </c>
      <c r="B7" s="627">
        <v>5672</v>
      </c>
      <c r="C7" s="570">
        <v>1.854807063440157</v>
      </c>
      <c r="D7" s="627">
        <v>3058</v>
      </c>
      <c r="E7" s="570">
        <v>1</v>
      </c>
      <c r="F7" s="627">
        <v>3070</v>
      </c>
      <c r="G7" s="575">
        <v>1.0039241334205362</v>
      </c>
      <c r="H7" s="627"/>
      <c r="I7" s="570"/>
      <c r="J7" s="627"/>
      <c r="K7" s="570"/>
      <c r="L7" s="627"/>
      <c r="M7" s="575"/>
      <c r="N7" s="627"/>
      <c r="O7" s="570"/>
      <c r="P7" s="627"/>
      <c r="Q7" s="570"/>
      <c r="R7" s="627"/>
      <c r="S7" s="576"/>
    </row>
    <row r="8" spans="1:19" ht="14.45" customHeight="1" x14ac:dyDescent="0.2">
      <c r="A8" s="595" t="s">
        <v>1335</v>
      </c>
      <c r="B8" s="627">
        <v>1522</v>
      </c>
      <c r="C8" s="570">
        <v>3.3429242900129587E-2</v>
      </c>
      <c r="D8" s="627">
        <v>45529</v>
      </c>
      <c r="E8" s="570">
        <v>1</v>
      </c>
      <c r="F8" s="627"/>
      <c r="G8" s="575"/>
      <c r="H8" s="627"/>
      <c r="I8" s="570"/>
      <c r="J8" s="627"/>
      <c r="K8" s="570"/>
      <c r="L8" s="627"/>
      <c r="M8" s="575"/>
      <c r="N8" s="627"/>
      <c r="O8" s="570"/>
      <c r="P8" s="627"/>
      <c r="Q8" s="570"/>
      <c r="R8" s="627"/>
      <c r="S8" s="576"/>
    </row>
    <row r="9" spans="1:19" ht="14.45" customHeight="1" x14ac:dyDescent="0.2">
      <c r="A9" s="595" t="s">
        <v>1336</v>
      </c>
      <c r="B9" s="627">
        <v>2483</v>
      </c>
      <c r="C9" s="570"/>
      <c r="D9" s="627"/>
      <c r="E9" s="570"/>
      <c r="F9" s="627"/>
      <c r="G9" s="575"/>
      <c r="H9" s="627"/>
      <c r="I9" s="570"/>
      <c r="J9" s="627"/>
      <c r="K9" s="570"/>
      <c r="L9" s="627"/>
      <c r="M9" s="575"/>
      <c r="N9" s="627"/>
      <c r="O9" s="570"/>
      <c r="P9" s="627"/>
      <c r="Q9" s="570"/>
      <c r="R9" s="627"/>
      <c r="S9" s="576"/>
    </row>
    <row r="10" spans="1:19" ht="14.45" customHeight="1" x14ac:dyDescent="0.2">
      <c r="A10" s="595" t="s">
        <v>1337</v>
      </c>
      <c r="B10" s="627">
        <v>56496.66</v>
      </c>
      <c r="C10" s="570">
        <v>1.1052420916720465</v>
      </c>
      <c r="D10" s="627">
        <v>51117</v>
      </c>
      <c r="E10" s="570">
        <v>1</v>
      </c>
      <c r="F10" s="627">
        <v>7675</v>
      </c>
      <c r="G10" s="575">
        <v>0.15014574407731282</v>
      </c>
      <c r="H10" s="627"/>
      <c r="I10" s="570"/>
      <c r="J10" s="627"/>
      <c r="K10" s="570"/>
      <c r="L10" s="627"/>
      <c r="M10" s="575"/>
      <c r="N10" s="627"/>
      <c r="O10" s="570"/>
      <c r="P10" s="627"/>
      <c r="Q10" s="570"/>
      <c r="R10" s="627"/>
      <c r="S10" s="576"/>
    </row>
    <row r="11" spans="1:19" ht="14.45" customHeight="1" x14ac:dyDescent="0.2">
      <c r="A11" s="595" t="s">
        <v>1338</v>
      </c>
      <c r="B11" s="627">
        <v>290556</v>
      </c>
      <c r="C11" s="570">
        <v>1.8144100713134921</v>
      </c>
      <c r="D11" s="627">
        <v>160138</v>
      </c>
      <c r="E11" s="570">
        <v>1</v>
      </c>
      <c r="F11" s="627">
        <v>195649</v>
      </c>
      <c r="G11" s="575">
        <v>1.2217524884786872</v>
      </c>
      <c r="H11" s="627"/>
      <c r="I11" s="570"/>
      <c r="J11" s="627"/>
      <c r="K11" s="570"/>
      <c r="L11" s="627"/>
      <c r="M11" s="575"/>
      <c r="N11" s="627"/>
      <c r="O11" s="570"/>
      <c r="P11" s="627"/>
      <c r="Q11" s="570"/>
      <c r="R11" s="627"/>
      <c r="S11" s="576"/>
    </row>
    <row r="12" spans="1:19" ht="14.45" customHeight="1" x14ac:dyDescent="0.2">
      <c r="A12" s="595" t="s">
        <v>1339</v>
      </c>
      <c r="B12" s="627">
        <v>68477</v>
      </c>
      <c r="C12" s="570">
        <v>0.535152159302271</v>
      </c>
      <c r="D12" s="627">
        <v>127958</v>
      </c>
      <c r="E12" s="570">
        <v>1</v>
      </c>
      <c r="F12" s="627">
        <v>134618.33000000002</v>
      </c>
      <c r="G12" s="575">
        <v>1.0520509073289674</v>
      </c>
      <c r="H12" s="627"/>
      <c r="I12" s="570"/>
      <c r="J12" s="627"/>
      <c r="K12" s="570"/>
      <c r="L12" s="627"/>
      <c r="M12" s="575"/>
      <c r="N12" s="627"/>
      <c r="O12" s="570"/>
      <c r="P12" s="627"/>
      <c r="Q12" s="570"/>
      <c r="R12" s="627"/>
      <c r="S12" s="576"/>
    </row>
    <row r="13" spans="1:19" ht="14.45" customHeight="1" x14ac:dyDescent="0.2">
      <c r="A13" s="595" t="s">
        <v>1340</v>
      </c>
      <c r="B13" s="627">
        <v>84567</v>
      </c>
      <c r="C13" s="570">
        <v>1.0325767103383436</v>
      </c>
      <c r="D13" s="627">
        <v>81899</v>
      </c>
      <c r="E13" s="570">
        <v>1</v>
      </c>
      <c r="F13" s="627">
        <v>48916</v>
      </c>
      <c r="G13" s="575">
        <v>0.59727224996642203</v>
      </c>
      <c r="H13" s="627"/>
      <c r="I13" s="570"/>
      <c r="J13" s="627"/>
      <c r="K13" s="570"/>
      <c r="L13" s="627"/>
      <c r="M13" s="575"/>
      <c r="N13" s="627"/>
      <c r="O13" s="570"/>
      <c r="P13" s="627"/>
      <c r="Q13" s="570"/>
      <c r="R13" s="627"/>
      <c r="S13" s="576"/>
    </row>
    <row r="14" spans="1:19" ht="14.45" customHeight="1" x14ac:dyDescent="0.2">
      <c r="A14" s="595" t="s">
        <v>1341</v>
      </c>
      <c r="B14" s="627">
        <v>1522</v>
      </c>
      <c r="C14" s="570"/>
      <c r="D14" s="627"/>
      <c r="E14" s="570"/>
      <c r="F14" s="627"/>
      <c r="G14" s="575"/>
      <c r="H14" s="627"/>
      <c r="I14" s="570"/>
      <c r="J14" s="627"/>
      <c r="K14" s="570"/>
      <c r="L14" s="627"/>
      <c r="M14" s="575"/>
      <c r="N14" s="627"/>
      <c r="O14" s="570"/>
      <c r="P14" s="627"/>
      <c r="Q14" s="570"/>
      <c r="R14" s="627"/>
      <c r="S14" s="576"/>
    </row>
    <row r="15" spans="1:19" ht="14.45" customHeight="1" x14ac:dyDescent="0.2">
      <c r="A15" s="595" t="s">
        <v>1342</v>
      </c>
      <c r="B15" s="627"/>
      <c r="C15" s="570"/>
      <c r="D15" s="627">
        <v>708</v>
      </c>
      <c r="E15" s="570">
        <v>1</v>
      </c>
      <c r="F15" s="627"/>
      <c r="G15" s="575"/>
      <c r="H15" s="627"/>
      <c r="I15" s="570"/>
      <c r="J15" s="627"/>
      <c r="K15" s="570"/>
      <c r="L15" s="627"/>
      <c r="M15" s="575"/>
      <c r="N15" s="627"/>
      <c r="O15" s="570"/>
      <c r="P15" s="627"/>
      <c r="Q15" s="570"/>
      <c r="R15" s="627"/>
      <c r="S15" s="576"/>
    </row>
    <row r="16" spans="1:19" ht="14.45" customHeight="1" x14ac:dyDescent="0.2">
      <c r="A16" s="595" t="s">
        <v>1343</v>
      </c>
      <c r="B16" s="627">
        <v>6634</v>
      </c>
      <c r="C16" s="570">
        <v>0.13992238251919345</v>
      </c>
      <c r="D16" s="627">
        <v>47412</v>
      </c>
      <c r="E16" s="570">
        <v>1</v>
      </c>
      <c r="F16" s="627">
        <v>3782</v>
      </c>
      <c r="G16" s="575">
        <v>7.9768834894119636E-2</v>
      </c>
      <c r="H16" s="627"/>
      <c r="I16" s="570"/>
      <c r="J16" s="627"/>
      <c r="K16" s="570"/>
      <c r="L16" s="627"/>
      <c r="M16" s="575"/>
      <c r="N16" s="627"/>
      <c r="O16" s="570"/>
      <c r="P16" s="627"/>
      <c r="Q16" s="570"/>
      <c r="R16" s="627"/>
      <c r="S16" s="576"/>
    </row>
    <row r="17" spans="1:19" ht="14.45" customHeight="1" x14ac:dyDescent="0.2">
      <c r="A17" s="595" t="s">
        <v>1344</v>
      </c>
      <c r="B17" s="627">
        <v>2629</v>
      </c>
      <c r="C17" s="570">
        <v>1.7194244604316546</v>
      </c>
      <c r="D17" s="627">
        <v>1529</v>
      </c>
      <c r="E17" s="570">
        <v>1</v>
      </c>
      <c r="F17" s="627"/>
      <c r="G17" s="575"/>
      <c r="H17" s="627"/>
      <c r="I17" s="570"/>
      <c r="J17" s="627"/>
      <c r="K17" s="570"/>
      <c r="L17" s="627"/>
      <c r="M17" s="575"/>
      <c r="N17" s="627"/>
      <c r="O17" s="570"/>
      <c r="P17" s="627"/>
      <c r="Q17" s="570"/>
      <c r="R17" s="627"/>
      <c r="S17" s="576"/>
    </row>
    <row r="18" spans="1:19" ht="14.45" customHeight="1" thickBot="1" x14ac:dyDescent="0.25">
      <c r="A18" s="631" t="s">
        <v>1345</v>
      </c>
      <c r="B18" s="629"/>
      <c r="C18" s="578"/>
      <c r="D18" s="629">
        <v>1529</v>
      </c>
      <c r="E18" s="578">
        <v>1</v>
      </c>
      <c r="F18" s="629"/>
      <c r="G18" s="583"/>
      <c r="H18" s="629"/>
      <c r="I18" s="578"/>
      <c r="J18" s="629"/>
      <c r="K18" s="578"/>
      <c r="L18" s="629"/>
      <c r="M18" s="583"/>
      <c r="N18" s="629"/>
      <c r="O18" s="578"/>
      <c r="P18" s="629"/>
      <c r="Q18" s="578"/>
      <c r="R18" s="629"/>
      <c r="S18" s="5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 xr:uid="{CACE8597-FAFF-4A34-BC83-A3FC54DFD083}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M3 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List21">
    <tabColor theme="0" tint="-0.249977111117893"/>
    <outlinePr summaryRight="0"/>
    <pageSetUpPr fitToPage="1"/>
  </sheetPr>
  <dimension ref="A1:Q77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ColWidth="8.85546875" defaultRowHeight="14.45" customHeight="1" outlineLevelCol="1" x14ac:dyDescent="0.2"/>
  <cols>
    <col min="1" max="1" width="3" style="129" bestFit="1" customWidth="1"/>
    <col min="2" max="2" width="8.7109375" style="129" bestFit="1" customWidth="1"/>
    <col min="3" max="3" width="2.140625" style="129" bestFit="1" customWidth="1"/>
    <col min="4" max="4" width="8" style="129" bestFit="1" customWidth="1"/>
    <col min="5" max="5" width="52.85546875" style="129" bestFit="1" customWidth="1" collapsed="1"/>
    <col min="6" max="7" width="11.140625" style="207" hidden="1" customWidth="1" outlineLevel="1"/>
    <col min="8" max="9" width="9.28515625" style="207" hidden="1" customWidth="1"/>
    <col min="10" max="11" width="11.140625" style="207" customWidth="1"/>
    <col min="12" max="13" width="9.28515625" style="207" hidden="1" customWidth="1"/>
    <col min="14" max="15" width="11.140625" style="207" customWidth="1"/>
    <col min="16" max="16" width="11.140625" style="210" customWidth="1"/>
    <col min="17" max="17" width="11.140625" style="207" customWidth="1"/>
    <col min="18" max="16384" width="8.85546875" style="129"/>
  </cols>
  <sheetData>
    <row r="1" spans="1:17" ht="18.600000000000001" customHeight="1" thickBot="1" x14ac:dyDescent="0.35">
      <c r="A1" s="329" t="s">
        <v>1359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ht="14.45" customHeight="1" thickBot="1" x14ac:dyDescent="0.25">
      <c r="A2" s="232" t="s">
        <v>270</v>
      </c>
      <c r="B2" s="130"/>
      <c r="C2" s="130"/>
      <c r="D2" s="130"/>
      <c r="E2" s="130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228"/>
    </row>
    <row r="3" spans="1:17" ht="14.45" customHeight="1" thickBot="1" x14ac:dyDescent="0.25">
      <c r="E3" s="87" t="s">
        <v>127</v>
      </c>
      <c r="F3" s="102">
        <f t="shared" ref="F3:O3" si="0">SUBTOTAL(9,F6:F1048576)</f>
        <v>263</v>
      </c>
      <c r="G3" s="103">
        <f t="shared" si="0"/>
        <v>520558.66000000003</v>
      </c>
      <c r="H3" s="103"/>
      <c r="I3" s="103"/>
      <c r="J3" s="103">
        <f t="shared" si="0"/>
        <v>209</v>
      </c>
      <c r="K3" s="103">
        <f t="shared" si="0"/>
        <v>526828</v>
      </c>
      <c r="L3" s="103"/>
      <c r="M3" s="103"/>
      <c r="N3" s="103">
        <f t="shared" si="0"/>
        <v>197</v>
      </c>
      <c r="O3" s="103">
        <f t="shared" si="0"/>
        <v>395245.33</v>
      </c>
      <c r="P3" s="75">
        <f>IF(K3=0,0,O3/K3)</f>
        <v>0.75023599732740098</v>
      </c>
      <c r="Q3" s="104">
        <f>IF(N3=0,0,O3/N3)</f>
        <v>2006.3214720812184</v>
      </c>
    </row>
    <row r="4" spans="1:17" ht="14.45" customHeight="1" x14ac:dyDescent="0.2">
      <c r="A4" s="448" t="s">
        <v>68</v>
      </c>
      <c r="B4" s="446" t="s">
        <v>94</v>
      </c>
      <c r="C4" s="448" t="s">
        <v>95</v>
      </c>
      <c r="D4" s="457" t="s">
        <v>96</v>
      </c>
      <c r="E4" s="449" t="s">
        <v>69</v>
      </c>
      <c r="F4" s="455">
        <v>2018</v>
      </c>
      <c r="G4" s="456"/>
      <c r="H4" s="105"/>
      <c r="I4" s="105"/>
      <c r="J4" s="455">
        <v>2019</v>
      </c>
      <c r="K4" s="456"/>
      <c r="L4" s="105"/>
      <c r="M4" s="105"/>
      <c r="N4" s="455">
        <v>2020</v>
      </c>
      <c r="O4" s="456"/>
      <c r="P4" s="458" t="s">
        <v>2</v>
      </c>
      <c r="Q4" s="447" t="s">
        <v>97</v>
      </c>
    </row>
    <row r="5" spans="1:17" ht="14.45" customHeight="1" thickBot="1" x14ac:dyDescent="0.25">
      <c r="A5" s="634"/>
      <c r="B5" s="632"/>
      <c r="C5" s="634"/>
      <c r="D5" s="644"/>
      <c r="E5" s="636"/>
      <c r="F5" s="645" t="s">
        <v>71</v>
      </c>
      <c r="G5" s="646" t="s">
        <v>14</v>
      </c>
      <c r="H5" s="647"/>
      <c r="I5" s="647"/>
      <c r="J5" s="645" t="s">
        <v>71</v>
      </c>
      <c r="K5" s="646" t="s">
        <v>14</v>
      </c>
      <c r="L5" s="647"/>
      <c r="M5" s="647"/>
      <c r="N5" s="645" t="s">
        <v>71</v>
      </c>
      <c r="O5" s="646" t="s">
        <v>14</v>
      </c>
      <c r="P5" s="648"/>
      <c r="Q5" s="641"/>
    </row>
    <row r="6" spans="1:17" ht="14.45" customHeight="1" x14ac:dyDescent="0.2">
      <c r="A6" s="562" t="s">
        <v>1346</v>
      </c>
      <c r="B6" s="563" t="s">
        <v>1231</v>
      </c>
      <c r="C6" s="563" t="s">
        <v>1232</v>
      </c>
      <c r="D6" s="563" t="s">
        <v>1243</v>
      </c>
      <c r="E6" s="563" t="s">
        <v>1244</v>
      </c>
      <c r="F6" s="116"/>
      <c r="G6" s="116"/>
      <c r="H6" s="116"/>
      <c r="I6" s="116"/>
      <c r="J6" s="116">
        <v>1</v>
      </c>
      <c r="K6" s="116">
        <v>354</v>
      </c>
      <c r="L6" s="116">
        <v>1</v>
      </c>
      <c r="M6" s="116">
        <v>354</v>
      </c>
      <c r="N6" s="116"/>
      <c r="O6" s="116"/>
      <c r="P6" s="568"/>
      <c r="Q6" s="586"/>
    </row>
    <row r="7" spans="1:17" ht="14.45" customHeight="1" x14ac:dyDescent="0.2">
      <c r="A7" s="569" t="s">
        <v>1346</v>
      </c>
      <c r="B7" s="570" t="s">
        <v>1231</v>
      </c>
      <c r="C7" s="570" t="s">
        <v>1232</v>
      </c>
      <c r="D7" s="570" t="s">
        <v>1247</v>
      </c>
      <c r="E7" s="570" t="s">
        <v>1248</v>
      </c>
      <c r="F7" s="587"/>
      <c r="G7" s="587"/>
      <c r="H7" s="587"/>
      <c r="I7" s="587"/>
      <c r="J7" s="587"/>
      <c r="K7" s="587"/>
      <c r="L7" s="587"/>
      <c r="M7" s="587"/>
      <c r="N7" s="587">
        <v>1</v>
      </c>
      <c r="O7" s="587">
        <v>1535</v>
      </c>
      <c r="P7" s="575"/>
      <c r="Q7" s="588">
        <v>1535</v>
      </c>
    </row>
    <row r="8" spans="1:17" ht="14.45" customHeight="1" x14ac:dyDescent="0.2">
      <c r="A8" s="569" t="s">
        <v>1346</v>
      </c>
      <c r="B8" s="570" t="s">
        <v>1260</v>
      </c>
      <c r="C8" s="570" t="s">
        <v>1232</v>
      </c>
      <c r="D8" s="570" t="s">
        <v>1287</v>
      </c>
      <c r="E8" s="570" t="s">
        <v>1288</v>
      </c>
      <c r="F8" s="587"/>
      <c r="G8" s="587"/>
      <c r="H8" s="587"/>
      <c r="I8" s="587"/>
      <c r="J8" s="587">
        <v>1</v>
      </c>
      <c r="K8" s="587">
        <v>4487</v>
      </c>
      <c r="L8" s="587">
        <v>1</v>
      </c>
      <c r="M8" s="587">
        <v>4487</v>
      </c>
      <c r="N8" s="587"/>
      <c r="O8" s="587"/>
      <c r="P8" s="575"/>
      <c r="Q8" s="588"/>
    </row>
    <row r="9" spans="1:17" ht="14.45" customHeight="1" x14ac:dyDescent="0.2">
      <c r="A9" s="569" t="s">
        <v>1346</v>
      </c>
      <c r="B9" s="570" t="s">
        <v>1260</v>
      </c>
      <c r="C9" s="570" t="s">
        <v>1232</v>
      </c>
      <c r="D9" s="570" t="s">
        <v>1289</v>
      </c>
      <c r="E9" s="570" t="s">
        <v>1290</v>
      </c>
      <c r="F9" s="587"/>
      <c r="G9" s="587"/>
      <c r="H9" s="587"/>
      <c r="I9" s="587"/>
      <c r="J9" s="587">
        <v>1</v>
      </c>
      <c r="K9" s="587">
        <v>1110</v>
      </c>
      <c r="L9" s="587">
        <v>1</v>
      </c>
      <c r="M9" s="587">
        <v>1110</v>
      </c>
      <c r="N9" s="587"/>
      <c r="O9" s="587"/>
      <c r="P9" s="575"/>
      <c r="Q9" s="588"/>
    </row>
    <row r="10" spans="1:17" ht="14.45" customHeight="1" x14ac:dyDescent="0.2">
      <c r="A10" s="569" t="s">
        <v>1347</v>
      </c>
      <c r="B10" s="570" t="s">
        <v>1231</v>
      </c>
      <c r="C10" s="570" t="s">
        <v>1232</v>
      </c>
      <c r="D10" s="570" t="s">
        <v>1247</v>
      </c>
      <c r="E10" s="570" t="s">
        <v>1248</v>
      </c>
      <c r="F10" s="587">
        <v>3</v>
      </c>
      <c r="G10" s="587">
        <v>4566</v>
      </c>
      <c r="H10" s="587">
        <v>1.4931327665140615</v>
      </c>
      <c r="I10" s="587">
        <v>1522</v>
      </c>
      <c r="J10" s="587">
        <v>2</v>
      </c>
      <c r="K10" s="587">
        <v>3058</v>
      </c>
      <c r="L10" s="587">
        <v>1</v>
      </c>
      <c r="M10" s="587">
        <v>1529</v>
      </c>
      <c r="N10" s="587">
        <v>2</v>
      </c>
      <c r="O10" s="587">
        <v>3070</v>
      </c>
      <c r="P10" s="575">
        <v>1.0039241334205362</v>
      </c>
      <c r="Q10" s="588">
        <v>1535</v>
      </c>
    </row>
    <row r="11" spans="1:17" ht="14.45" customHeight="1" x14ac:dyDescent="0.2">
      <c r="A11" s="569" t="s">
        <v>1347</v>
      </c>
      <c r="B11" s="570" t="s">
        <v>1260</v>
      </c>
      <c r="C11" s="570" t="s">
        <v>1232</v>
      </c>
      <c r="D11" s="570" t="s">
        <v>1289</v>
      </c>
      <c r="E11" s="570" t="s">
        <v>1290</v>
      </c>
      <c r="F11" s="587">
        <v>1</v>
      </c>
      <c r="G11" s="587">
        <v>1106</v>
      </c>
      <c r="H11" s="587"/>
      <c r="I11" s="587">
        <v>1106</v>
      </c>
      <c r="J11" s="587"/>
      <c r="K11" s="587"/>
      <c r="L11" s="587"/>
      <c r="M11" s="587"/>
      <c r="N11" s="587"/>
      <c r="O11" s="587"/>
      <c r="P11" s="575"/>
      <c r="Q11" s="588"/>
    </row>
    <row r="12" spans="1:17" ht="14.45" customHeight="1" x14ac:dyDescent="0.2">
      <c r="A12" s="569" t="s">
        <v>1348</v>
      </c>
      <c r="B12" s="570" t="s">
        <v>1231</v>
      </c>
      <c r="C12" s="570" t="s">
        <v>1232</v>
      </c>
      <c r="D12" s="570" t="s">
        <v>1247</v>
      </c>
      <c r="E12" s="570" t="s">
        <v>1248</v>
      </c>
      <c r="F12" s="587">
        <v>1</v>
      </c>
      <c r="G12" s="587">
        <v>1522</v>
      </c>
      <c r="H12" s="587">
        <v>0.99542184434270764</v>
      </c>
      <c r="I12" s="587">
        <v>1522</v>
      </c>
      <c r="J12" s="587">
        <v>1</v>
      </c>
      <c r="K12" s="587">
        <v>1529</v>
      </c>
      <c r="L12" s="587">
        <v>1</v>
      </c>
      <c r="M12" s="587">
        <v>1529</v>
      </c>
      <c r="N12" s="587"/>
      <c r="O12" s="587"/>
      <c r="P12" s="575"/>
      <c r="Q12" s="588"/>
    </row>
    <row r="13" spans="1:17" ht="14.45" customHeight="1" x14ac:dyDescent="0.2">
      <c r="A13" s="569" t="s">
        <v>1348</v>
      </c>
      <c r="B13" s="570" t="s">
        <v>1260</v>
      </c>
      <c r="C13" s="570" t="s">
        <v>1232</v>
      </c>
      <c r="D13" s="570" t="s">
        <v>1321</v>
      </c>
      <c r="E13" s="570" t="s">
        <v>1322</v>
      </c>
      <c r="F13" s="587"/>
      <c r="G13" s="587"/>
      <c r="H13" s="587"/>
      <c r="I13" s="587"/>
      <c r="J13" s="587">
        <v>1</v>
      </c>
      <c r="K13" s="587">
        <v>44000</v>
      </c>
      <c r="L13" s="587">
        <v>1</v>
      </c>
      <c r="M13" s="587">
        <v>44000</v>
      </c>
      <c r="N13" s="587"/>
      <c r="O13" s="587"/>
      <c r="P13" s="575"/>
      <c r="Q13" s="588"/>
    </row>
    <row r="14" spans="1:17" ht="14.45" customHeight="1" x14ac:dyDescent="0.2">
      <c r="A14" s="569" t="s">
        <v>1230</v>
      </c>
      <c r="B14" s="570" t="s">
        <v>1231</v>
      </c>
      <c r="C14" s="570" t="s">
        <v>1232</v>
      </c>
      <c r="D14" s="570" t="s">
        <v>1239</v>
      </c>
      <c r="E14" s="570" t="s">
        <v>1240</v>
      </c>
      <c r="F14" s="587">
        <v>1</v>
      </c>
      <c r="G14" s="587">
        <v>2483</v>
      </c>
      <c r="H14" s="587"/>
      <c r="I14" s="587">
        <v>2483</v>
      </c>
      <c r="J14" s="587"/>
      <c r="K14" s="587"/>
      <c r="L14" s="587"/>
      <c r="M14" s="587"/>
      <c r="N14" s="587"/>
      <c r="O14" s="587"/>
      <c r="P14" s="575"/>
      <c r="Q14" s="588"/>
    </row>
    <row r="15" spans="1:17" ht="14.45" customHeight="1" x14ac:dyDescent="0.2">
      <c r="A15" s="569" t="s">
        <v>1349</v>
      </c>
      <c r="B15" s="570" t="s">
        <v>1231</v>
      </c>
      <c r="C15" s="570" t="s">
        <v>1232</v>
      </c>
      <c r="D15" s="570" t="s">
        <v>1235</v>
      </c>
      <c r="E15" s="570" t="s">
        <v>1236</v>
      </c>
      <c r="F15" s="587"/>
      <c r="G15" s="587"/>
      <c r="H15" s="587"/>
      <c r="I15" s="587"/>
      <c r="J15" s="587">
        <v>1</v>
      </c>
      <c r="K15" s="587">
        <v>38</v>
      </c>
      <c r="L15" s="587">
        <v>1</v>
      </c>
      <c r="M15" s="587">
        <v>38</v>
      </c>
      <c r="N15" s="587"/>
      <c r="O15" s="587"/>
      <c r="P15" s="575"/>
      <c r="Q15" s="588"/>
    </row>
    <row r="16" spans="1:17" ht="14.45" customHeight="1" x14ac:dyDescent="0.2">
      <c r="A16" s="569" t="s">
        <v>1349</v>
      </c>
      <c r="B16" s="570" t="s">
        <v>1231</v>
      </c>
      <c r="C16" s="570" t="s">
        <v>1232</v>
      </c>
      <c r="D16" s="570" t="s">
        <v>1239</v>
      </c>
      <c r="E16" s="570" t="s">
        <v>1240</v>
      </c>
      <c r="F16" s="587">
        <v>1</v>
      </c>
      <c r="G16" s="587">
        <v>2483</v>
      </c>
      <c r="H16" s="587">
        <v>0.99399519615692555</v>
      </c>
      <c r="I16" s="587">
        <v>2483</v>
      </c>
      <c r="J16" s="587">
        <v>1</v>
      </c>
      <c r="K16" s="587">
        <v>2498</v>
      </c>
      <c r="L16" s="587">
        <v>1</v>
      </c>
      <c r="M16" s="587">
        <v>2498</v>
      </c>
      <c r="N16" s="587"/>
      <c r="O16" s="587"/>
      <c r="P16" s="575"/>
      <c r="Q16" s="588"/>
    </row>
    <row r="17" spans="1:17" ht="14.45" customHeight="1" x14ac:dyDescent="0.2">
      <c r="A17" s="569" t="s">
        <v>1349</v>
      </c>
      <c r="B17" s="570" t="s">
        <v>1231</v>
      </c>
      <c r="C17" s="570" t="s">
        <v>1232</v>
      </c>
      <c r="D17" s="570" t="s">
        <v>1243</v>
      </c>
      <c r="E17" s="570" t="s">
        <v>1244</v>
      </c>
      <c r="F17" s="587">
        <v>3</v>
      </c>
      <c r="G17" s="587">
        <v>1053</v>
      </c>
      <c r="H17" s="587">
        <v>2.9745762711864407</v>
      </c>
      <c r="I17" s="587">
        <v>351</v>
      </c>
      <c r="J17" s="587">
        <v>1</v>
      </c>
      <c r="K17" s="587">
        <v>354</v>
      </c>
      <c r="L17" s="587">
        <v>1</v>
      </c>
      <c r="M17" s="587">
        <v>354</v>
      </c>
      <c r="N17" s="587"/>
      <c r="O17" s="587"/>
      <c r="P17" s="575"/>
      <c r="Q17" s="588"/>
    </row>
    <row r="18" spans="1:17" ht="14.45" customHeight="1" x14ac:dyDescent="0.2">
      <c r="A18" s="569" t="s">
        <v>1349</v>
      </c>
      <c r="B18" s="570" t="s">
        <v>1231</v>
      </c>
      <c r="C18" s="570" t="s">
        <v>1232</v>
      </c>
      <c r="D18" s="570" t="s">
        <v>1247</v>
      </c>
      <c r="E18" s="570" t="s">
        <v>1248</v>
      </c>
      <c r="F18" s="587">
        <v>13</v>
      </c>
      <c r="G18" s="587">
        <v>19786</v>
      </c>
      <c r="H18" s="587">
        <v>2.5880967952910399</v>
      </c>
      <c r="I18" s="587">
        <v>1522</v>
      </c>
      <c r="J18" s="587">
        <v>5</v>
      </c>
      <c r="K18" s="587">
        <v>7645</v>
      </c>
      <c r="L18" s="587">
        <v>1</v>
      </c>
      <c r="M18" s="587">
        <v>1529</v>
      </c>
      <c r="N18" s="587">
        <v>5</v>
      </c>
      <c r="O18" s="587">
        <v>7675</v>
      </c>
      <c r="P18" s="575">
        <v>1.0039241334205362</v>
      </c>
      <c r="Q18" s="588">
        <v>1535</v>
      </c>
    </row>
    <row r="19" spans="1:17" ht="14.45" customHeight="1" x14ac:dyDescent="0.2">
      <c r="A19" s="569" t="s">
        <v>1349</v>
      </c>
      <c r="B19" s="570" t="s">
        <v>1260</v>
      </c>
      <c r="C19" s="570" t="s">
        <v>1232</v>
      </c>
      <c r="D19" s="570" t="s">
        <v>1263</v>
      </c>
      <c r="E19" s="570" t="s">
        <v>1264</v>
      </c>
      <c r="F19" s="587">
        <v>2</v>
      </c>
      <c r="G19" s="587">
        <v>598</v>
      </c>
      <c r="H19" s="587">
        <v>0.99006622516556286</v>
      </c>
      <c r="I19" s="587">
        <v>299</v>
      </c>
      <c r="J19" s="587">
        <v>2</v>
      </c>
      <c r="K19" s="587">
        <v>604</v>
      </c>
      <c r="L19" s="587">
        <v>1</v>
      </c>
      <c r="M19" s="587">
        <v>302</v>
      </c>
      <c r="N19" s="587"/>
      <c r="O19" s="587"/>
      <c r="P19" s="575"/>
      <c r="Q19" s="588"/>
    </row>
    <row r="20" spans="1:17" ht="14.45" customHeight="1" x14ac:dyDescent="0.2">
      <c r="A20" s="569" t="s">
        <v>1349</v>
      </c>
      <c r="B20" s="570" t="s">
        <v>1260</v>
      </c>
      <c r="C20" s="570" t="s">
        <v>1232</v>
      </c>
      <c r="D20" s="570" t="s">
        <v>1265</v>
      </c>
      <c r="E20" s="570" t="s">
        <v>1266</v>
      </c>
      <c r="F20" s="587"/>
      <c r="G20" s="587"/>
      <c r="H20" s="587"/>
      <c r="I20" s="587"/>
      <c r="J20" s="587">
        <v>1</v>
      </c>
      <c r="K20" s="587">
        <v>10500</v>
      </c>
      <c r="L20" s="587">
        <v>1</v>
      </c>
      <c r="M20" s="587">
        <v>10500</v>
      </c>
      <c r="N20" s="587"/>
      <c r="O20" s="587"/>
      <c r="P20" s="575"/>
      <c r="Q20" s="588"/>
    </row>
    <row r="21" spans="1:17" ht="14.45" customHeight="1" x14ac:dyDescent="0.2">
      <c r="A21" s="569" t="s">
        <v>1349</v>
      </c>
      <c r="B21" s="570" t="s">
        <v>1260</v>
      </c>
      <c r="C21" s="570" t="s">
        <v>1232</v>
      </c>
      <c r="D21" s="570" t="s">
        <v>1271</v>
      </c>
      <c r="E21" s="570" t="s">
        <v>1272</v>
      </c>
      <c r="F21" s="587">
        <v>1</v>
      </c>
      <c r="G21" s="587">
        <v>962</v>
      </c>
      <c r="H21" s="587">
        <v>0.99277605779153766</v>
      </c>
      <c r="I21" s="587">
        <v>962</v>
      </c>
      <c r="J21" s="587">
        <v>1</v>
      </c>
      <c r="K21" s="587">
        <v>969</v>
      </c>
      <c r="L21" s="587">
        <v>1</v>
      </c>
      <c r="M21" s="587">
        <v>969</v>
      </c>
      <c r="N21" s="587"/>
      <c r="O21" s="587"/>
      <c r="P21" s="575"/>
      <c r="Q21" s="588"/>
    </row>
    <row r="22" spans="1:17" ht="14.45" customHeight="1" x14ac:dyDescent="0.2">
      <c r="A22" s="569" t="s">
        <v>1349</v>
      </c>
      <c r="B22" s="570" t="s">
        <v>1260</v>
      </c>
      <c r="C22" s="570" t="s">
        <v>1232</v>
      </c>
      <c r="D22" s="570" t="s">
        <v>1277</v>
      </c>
      <c r="E22" s="570" t="s">
        <v>1278</v>
      </c>
      <c r="F22" s="587">
        <v>1</v>
      </c>
      <c r="G22" s="587">
        <v>10524</v>
      </c>
      <c r="H22" s="587"/>
      <c r="I22" s="587">
        <v>10524</v>
      </c>
      <c r="J22" s="587"/>
      <c r="K22" s="587"/>
      <c r="L22" s="587"/>
      <c r="M22" s="587"/>
      <c r="N22" s="587"/>
      <c r="O22" s="587"/>
      <c r="P22" s="575"/>
      <c r="Q22" s="588"/>
    </row>
    <row r="23" spans="1:17" ht="14.45" customHeight="1" x14ac:dyDescent="0.2">
      <c r="A23" s="569" t="s">
        <v>1349</v>
      </c>
      <c r="B23" s="570" t="s">
        <v>1260</v>
      </c>
      <c r="C23" s="570" t="s">
        <v>1232</v>
      </c>
      <c r="D23" s="570" t="s">
        <v>1279</v>
      </c>
      <c r="E23" s="570" t="s">
        <v>1280</v>
      </c>
      <c r="F23" s="587"/>
      <c r="G23" s="587"/>
      <c r="H23" s="587"/>
      <c r="I23" s="587"/>
      <c r="J23" s="587">
        <v>1</v>
      </c>
      <c r="K23" s="587">
        <v>12505</v>
      </c>
      <c r="L23" s="587">
        <v>1</v>
      </c>
      <c r="M23" s="587">
        <v>12505</v>
      </c>
      <c r="N23" s="587"/>
      <c r="O23" s="587"/>
      <c r="P23" s="575"/>
      <c r="Q23" s="588"/>
    </row>
    <row r="24" spans="1:17" ht="14.45" customHeight="1" x14ac:dyDescent="0.2">
      <c r="A24" s="569" t="s">
        <v>1349</v>
      </c>
      <c r="B24" s="570" t="s">
        <v>1260</v>
      </c>
      <c r="C24" s="570" t="s">
        <v>1232</v>
      </c>
      <c r="D24" s="570" t="s">
        <v>1289</v>
      </c>
      <c r="E24" s="570" t="s">
        <v>1290</v>
      </c>
      <c r="F24" s="587">
        <v>4</v>
      </c>
      <c r="G24" s="587">
        <v>4424</v>
      </c>
      <c r="H24" s="587">
        <v>3.9855855855855857</v>
      </c>
      <c r="I24" s="587">
        <v>1106</v>
      </c>
      <c r="J24" s="587">
        <v>1</v>
      </c>
      <c r="K24" s="587">
        <v>1110</v>
      </c>
      <c r="L24" s="587">
        <v>1</v>
      </c>
      <c r="M24" s="587">
        <v>1110</v>
      </c>
      <c r="N24" s="587"/>
      <c r="O24" s="587"/>
      <c r="P24" s="575"/>
      <c r="Q24" s="588"/>
    </row>
    <row r="25" spans="1:17" ht="14.45" customHeight="1" x14ac:dyDescent="0.2">
      <c r="A25" s="569" t="s">
        <v>1349</v>
      </c>
      <c r="B25" s="570" t="s">
        <v>1260</v>
      </c>
      <c r="C25" s="570" t="s">
        <v>1232</v>
      </c>
      <c r="D25" s="570" t="s">
        <v>1291</v>
      </c>
      <c r="E25" s="570" t="s">
        <v>1292</v>
      </c>
      <c r="F25" s="587"/>
      <c r="G25" s="587"/>
      <c r="H25" s="587"/>
      <c r="I25" s="587"/>
      <c r="J25" s="587">
        <v>2</v>
      </c>
      <c r="K25" s="587">
        <v>14894</v>
      </c>
      <c r="L25" s="587">
        <v>1</v>
      </c>
      <c r="M25" s="587">
        <v>7447</v>
      </c>
      <c r="N25" s="587"/>
      <c r="O25" s="587"/>
      <c r="P25" s="575"/>
      <c r="Q25" s="588"/>
    </row>
    <row r="26" spans="1:17" ht="14.45" customHeight="1" x14ac:dyDescent="0.2">
      <c r="A26" s="569" t="s">
        <v>1349</v>
      </c>
      <c r="B26" s="570" t="s">
        <v>1260</v>
      </c>
      <c r="C26" s="570" t="s">
        <v>1232</v>
      </c>
      <c r="D26" s="570" t="s">
        <v>1305</v>
      </c>
      <c r="E26" s="570" t="s">
        <v>1306</v>
      </c>
      <c r="F26" s="587">
        <v>2</v>
      </c>
      <c r="G26" s="587">
        <v>16666.66</v>
      </c>
      <c r="H26" s="587"/>
      <c r="I26" s="587">
        <v>8333.33</v>
      </c>
      <c r="J26" s="587"/>
      <c r="K26" s="587"/>
      <c r="L26" s="587"/>
      <c r="M26" s="587"/>
      <c r="N26" s="587"/>
      <c r="O26" s="587"/>
      <c r="P26" s="575"/>
      <c r="Q26" s="588"/>
    </row>
    <row r="27" spans="1:17" ht="14.45" customHeight="1" x14ac:dyDescent="0.2">
      <c r="A27" s="569" t="s">
        <v>1259</v>
      </c>
      <c r="B27" s="570" t="s">
        <v>1231</v>
      </c>
      <c r="C27" s="570" t="s">
        <v>1232</v>
      </c>
      <c r="D27" s="570" t="s">
        <v>1235</v>
      </c>
      <c r="E27" s="570" t="s">
        <v>1236</v>
      </c>
      <c r="F27" s="587"/>
      <c r="G27" s="587"/>
      <c r="H27" s="587"/>
      <c r="I27" s="587"/>
      <c r="J27" s="587">
        <v>1</v>
      </c>
      <c r="K27" s="587">
        <v>38</v>
      </c>
      <c r="L27" s="587">
        <v>1</v>
      </c>
      <c r="M27" s="587">
        <v>38</v>
      </c>
      <c r="N27" s="587"/>
      <c r="O27" s="587"/>
      <c r="P27" s="575"/>
      <c r="Q27" s="588"/>
    </row>
    <row r="28" spans="1:17" ht="14.45" customHeight="1" x14ac:dyDescent="0.2">
      <c r="A28" s="569" t="s">
        <v>1259</v>
      </c>
      <c r="B28" s="570" t="s">
        <v>1231</v>
      </c>
      <c r="C28" s="570" t="s">
        <v>1232</v>
      </c>
      <c r="D28" s="570" t="s">
        <v>1239</v>
      </c>
      <c r="E28" s="570" t="s">
        <v>1240</v>
      </c>
      <c r="F28" s="587">
        <v>3</v>
      </c>
      <c r="G28" s="587">
        <v>7449</v>
      </c>
      <c r="H28" s="587">
        <v>1.4909927942353882</v>
      </c>
      <c r="I28" s="587">
        <v>2483</v>
      </c>
      <c r="J28" s="587">
        <v>2</v>
      </c>
      <c r="K28" s="587">
        <v>4996</v>
      </c>
      <c r="L28" s="587">
        <v>1</v>
      </c>
      <c r="M28" s="587">
        <v>2498</v>
      </c>
      <c r="N28" s="587">
        <v>4</v>
      </c>
      <c r="O28" s="587">
        <v>10040</v>
      </c>
      <c r="P28" s="575">
        <v>2.0096076861489189</v>
      </c>
      <c r="Q28" s="588">
        <v>2510</v>
      </c>
    </row>
    <row r="29" spans="1:17" ht="14.45" customHeight="1" x14ac:dyDescent="0.2">
      <c r="A29" s="569" t="s">
        <v>1259</v>
      </c>
      <c r="B29" s="570" t="s">
        <v>1231</v>
      </c>
      <c r="C29" s="570" t="s">
        <v>1232</v>
      </c>
      <c r="D29" s="570" t="s">
        <v>1243</v>
      </c>
      <c r="E29" s="570" t="s">
        <v>1244</v>
      </c>
      <c r="F29" s="587">
        <v>15</v>
      </c>
      <c r="G29" s="587">
        <v>5265</v>
      </c>
      <c r="H29" s="587">
        <v>14.872881355932204</v>
      </c>
      <c r="I29" s="587">
        <v>351</v>
      </c>
      <c r="J29" s="587">
        <v>1</v>
      </c>
      <c r="K29" s="587">
        <v>354</v>
      </c>
      <c r="L29" s="587">
        <v>1</v>
      </c>
      <c r="M29" s="587">
        <v>354</v>
      </c>
      <c r="N29" s="587">
        <v>13</v>
      </c>
      <c r="O29" s="587">
        <v>4628</v>
      </c>
      <c r="P29" s="575">
        <v>13.073446327683616</v>
      </c>
      <c r="Q29" s="588">
        <v>356</v>
      </c>
    </row>
    <row r="30" spans="1:17" ht="14.45" customHeight="1" x14ac:dyDescent="0.2">
      <c r="A30" s="569" t="s">
        <v>1259</v>
      </c>
      <c r="B30" s="570" t="s">
        <v>1231</v>
      </c>
      <c r="C30" s="570" t="s">
        <v>1232</v>
      </c>
      <c r="D30" s="570" t="s">
        <v>1247</v>
      </c>
      <c r="E30" s="570" t="s">
        <v>1248</v>
      </c>
      <c r="F30" s="587">
        <v>28</v>
      </c>
      <c r="G30" s="587">
        <v>42616</v>
      </c>
      <c r="H30" s="587">
        <v>2.1439855108919859</v>
      </c>
      <c r="I30" s="587">
        <v>1522</v>
      </c>
      <c r="J30" s="587">
        <v>13</v>
      </c>
      <c r="K30" s="587">
        <v>19877</v>
      </c>
      <c r="L30" s="587">
        <v>1</v>
      </c>
      <c r="M30" s="587">
        <v>1529</v>
      </c>
      <c r="N30" s="587">
        <v>21</v>
      </c>
      <c r="O30" s="587">
        <v>32235</v>
      </c>
      <c r="P30" s="575">
        <v>1.6217236001408664</v>
      </c>
      <c r="Q30" s="588">
        <v>1535</v>
      </c>
    </row>
    <row r="31" spans="1:17" ht="14.45" customHeight="1" x14ac:dyDescent="0.2">
      <c r="A31" s="569" t="s">
        <v>1259</v>
      </c>
      <c r="B31" s="570" t="s">
        <v>1260</v>
      </c>
      <c r="C31" s="570" t="s">
        <v>1232</v>
      </c>
      <c r="D31" s="570" t="s">
        <v>1263</v>
      </c>
      <c r="E31" s="570" t="s">
        <v>1264</v>
      </c>
      <c r="F31" s="587">
        <v>36</v>
      </c>
      <c r="G31" s="587">
        <v>10764</v>
      </c>
      <c r="H31" s="587">
        <v>2.5458845789971618</v>
      </c>
      <c r="I31" s="587">
        <v>299</v>
      </c>
      <c r="J31" s="587">
        <v>14</v>
      </c>
      <c r="K31" s="587">
        <v>4228</v>
      </c>
      <c r="L31" s="587">
        <v>1</v>
      </c>
      <c r="M31" s="587">
        <v>302</v>
      </c>
      <c r="N31" s="587">
        <v>32</v>
      </c>
      <c r="O31" s="587">
        <v>9728</v>
      </c>
      <c r="P31" s="575">
        <v>2.3008514664143802</v>
      </c>
      <c r="Q31" s="588">
        <v>304</v>
      </c>
    </row>
    <row r="32" spans="1:17" ht="14.45" customHeight="1" x14ac:dyDescent="0.2">
      <c r="A32" s="569" t="s">
        <v>1259</v>
      </c>
      <c r="B32" s="570" t="s">
        <v>1260</v>
      </c>
      <c r="C32" s="570" t="s">
        <v>1232</v>
      </c>
      <c r="D32" s="570" t="s">
        <v>1265</v>
      </c>
      <c r="E32" s="570" t="s">
        <v>1266</v>
      </c>
      <c r="F32" s="587">
        <v>3</v>
      </c>
      <c r="G32" s="587">
        <v>31401</v>
      </c>
      <c r="H32" s="587"/>
      <c r="I32" s="587">
        <v>10467</v>
      </c>
      <c r="J32" s="587"/>
      <c r="K32" s="587"/>
      <c r="L32" s="587"/>
      <c r="M32" s="587"/>
      <c r="N32" s="587"/>
      <c r="O32" s="587"/>
      <c r="P32" s="575"/>
      <c r="Q32" s="588"/>
    </row>
    <row r="33" spans="1:17" ht="14.45" customHeight="1" x14ac:dyDescent="0.2">
      <c r="A33" s="569" t="s">
        <v>1259</v>
      </c>
      <c r="B33" s="570" t="s">
        <v>1260</v>
      </c>
      <c r="C33" s="570" t="s">
        <v>1232</v>
      </c>
      <c r="D33" s="570" t="s">
        <v>1273</v>
      </c>
      <c r="E33" s="570" t="s">
        <v>1274</v>
      </c>
      <c r="F33" s="587">
        <v>9</v>
      </c>
      <c r="G33" s="587">
        <v>67941</v>
      </c>
      <c r="H33" s="587">
        <v>2.9822228074795891</v>
      </c>
      <c r="I33" s="587">
        <v>7549</v>
      </c>
      <c r="J33" s="587">
        <v>3</v>
      </c>
      <c r="K33" s="587">
        <v>22782</v>
      </c>
      <c r="L33" s="587">
        <v>1</v>
      </c>
      <c r="M33" s="587">
        <v>7594</v>
      </c>
      <c r="N33" s="587">
        <v>8</v>
      </c>
      <c r="O33" s="587">
        <v>61064</v>
      </c>
      <c r="P33" s="575">
        <v>2.6803616890527611</v>
      </c>
      <c r="Q33" s="588">
        <v>7633</v>
      </c>
    </row>
    <row r="34" spans="1:17" ht="14.45" customHeight="1" x14ac:dyDescent="0.2">
      <c r="A34" s="569" t="s">
        <v>1259</v>
      </c>
      <c r="B34" s="570" t="s">
        <v>1260</v>
      </c>
      <c r="C34" s="570" t="s">
        <v>1232</v>
      </c>
      <c r="D34" s="570" t="s">
        <v>1289</v>
      </c>
      <c r="E34" s="570" t="s">
        <v>1290</v>
      </c>
      <c r="F34" s="587">
        <v>13</v>
      </c>
      <c r="G34" s="587">
        <v>14385</v>
      </c>
      <c r="H34" s="587">
        <v>1.8513513513513513</v>
      </c>
      <c r="I34" s="587">
        <v>1106.5384615384614</v>
      </c>
      <c r="J34" s="587">
        <v>7</v>
      </c>
      <c r="K34" s="587">
        <v>7770</v>
      </c>
      <c r="L34" s="587">
        <v>1</v>
      </c>
      <c r="M34" s="587">
        <v>1110</v>
      </c>
      <c r="N34" s="587">
        <v>7</v>
      </c>
      <c r="O34" s="587">
        <v>7798</v>
      </c>
      <c r="P34" s="575">
        <v>1.0036036036036036</v>
      </c>
      <c r="Q34" s="588">
        <v>1114</v>
      </c>
    </row>
    <row r="35" spans="1:17" ht="14.45" customHeight="1" x14ac:dyDescent="0.2">
      <c r="A35" s="569" t="s">
        <v>1259</v>
      </c>
      <c r="B35" s="570" t="s">
        <v>1260</v>
      </c>
      <c r="C35" s="570" t="s">
        <v>1232</v>
      </c>
      <c r="D35" s="570" t="s">
        <v>1291</v>
      </c>
      <c r="E35" s="570" t="s">
        <v>1292</v>
      </c>
      <c r="F35" s="587">
        <v>2</v>
      </c>
      <c r="G35" s="587">
        <v>14860</v>
      </c>
      <c r="H35" s="587">
        <v>0.39908688062306968</v>
      </c>
      <c r="I35" s="587">
        <v>7430</v>
      </c>
      <c r="J35" s="587">
        <v>5</v>
      </c>
      <c r="K35" s="587">
        <v>37235</v>
      </c>
      <c r="L35" s="587">
        <v>1</v>
      </c>
      <c r="M35" s="587">
        <v>7447</v>
      </c>
      <c r="N35" s="587">
        <v>2</v>
      </c>
      <c r="O35" s="587">
        <v>14924</v>
      </c>
      <c r="P35" s="575">
        <v>0.40080569356787971</v>
      </c>
      <c r="Q35" s="588">
        <v>7462</v>
      </c>
    </row>
    <row r="36" spans="1:17" ht="14.45" customHeight="1" x14ac:dyDescent="0.2">
      <c r="A36" s="569" t="s">
        <v>1259</v>
      </c>
      <c r="B36" s="570" t="s">
        <v>1260</v>
      </c>
      <c r="C36" s="570" t="s">
        <v>1232</v>
      </c>
      <c r="D36" s="570" t="s">
        <v>1293</v>
      </c>
      <c r="E36" s="570" t="s">
        <v>1294</v>
      </c>
      <c r="F36" s="587">
        <v>25</v>
      </c>
      <c r="G36" s="587">
        <v>95875</v>
      </c>
      <c r="H36" s="587">
        <v>3.5677073642689687</v>
      </c>
      <c r="I36" s="587">
        <v>3835</v>
      </c>
      <c r="J36" s="587">
        <v>7</v>
      </c>
      <c r="K36" s="587">
        <v>26873</v>
      </c>
      <c r="L36" s="587">
        <v>1</v>
      </c>
      <c r="M36" s="587">
        <v>3839</v>
      </c>
      <c r="N36" s="587">
        <v>4</v>
      </c>
      <c r="O36" s="587">
        <v>15372</v>
      </c>
      <c r="P36" s="575">
        <v>0.57202396457410787</v>
      </c>
      <c r="Q36" s="588">
        <v>3843</v>
      </c>
    </row>
    <row r="37" spans="1:17" ht="14.45" customHeight="1" x14ac:dyDescent="0.2">
      <c r="A37" s="569" t="s">
        <v>1259</v>
      </c>
      <c r="B37" s="570" t="s">
        <v>1260</v>
      </c>
      <c r="C37" s="570" t="s">
        <v>1232</v>
      </c>
      <c r="D37" s="570" t="s">
        <v>1295</v>
      </c>
      <c r="E37" s="570" t="s">
        <v>1296</v>
      </c>
      <c r="F37" s="587"/>
      <c r="G37" s="587"/>
      <c r="H37" s="587"/>
      <c r="I37" s="587"/>
      <c r="J37" s="587">
        <v>15</v>
      </c>
      <c r="K37" s="587">
        <v>35985</v>
      </c>
      <c r="L37" s="587">
        <v>1</v>
      </c>
      <c r="M37" s="587">
        <v>2399</v>
      </c>
      <c r="N37" s="587"/>
      <c r="O37" s="587"/>
      <c r="P37" s="575"/>
      <c r="Q37" s="588"/>
    </row>
    <row r="38" spans="1:17" ht="14.45" customHeight="1" x14ac:dyDescent="0.2">
      <c r="A38" s="569" t="s">
        <v>1259</v>
      </c>
      <c r="B38" s="570" t="s">
        <v>1260</v>
      </c>
      <c r="C38" s="570" t="s">
        <v>1232</v>
      </c>
      <c r="D38" s="570" t="s">
        <v>1305</v>
      </c>
      <c r="E38" s="570" t="s">
        <v>1306</v>
      </c>
      <c r="F38" s="587">
        <v>0</v>
      </c>
      <c r="G38" s="587">
        <v>0</v>
      </c>
      <c r="H38" s="587"/>
      <c r="I38" s="587"/>
      <c r="J38" s="587"/>
      <c r="K38" s="587"/>
      <c r="L38" s="587"/>
      <c r="M38" s="587"/>
      <c r="N38" s="587"/>
      <c r="O38" s="587"/>
      <c r="P38" s="575"/>
      <c r="Q38" s="588"/>
    </row>
    <row r="39" spans="1:17" ht="14.45" customHeight="1" x14ac:dyDescent="0.2">
      <c r="A39" s="569" t="s">
        <v>1259</v>
      </c>
      <c r="B39" s="570" t="s">
        <v>1260</v>
      </c>
      <c r="C39" s="570" t="s">
        <v>1232</v>
      </c>
      <c r="D39" s="570" t="s">
        <v>1307</v>
      </c>
      <c r="E39" s="570" t="s">
        <v>1308</v>
      </c>
      <c r="F39" s="587">
        <v>1</v>
      </c>
      <c r="G39" s="587">
        <v>0</v>
      </c>
      <c r="H39" s="587"/>
      <c r="I39" s="587">
        <v>0</v>
      </c>
      <c r="J39" s="587"/>
      <c r="K39" s="587"/>
      <c r="L39" s="587"/>
      <c r="M39" s="587"/>
      <c r="N39" s="587">
        <v>3</v>
      </c>
      <c r="O39" s="587">
        <v>0</v>
      </c>
      <c r="P39" s="575"/>
      <c r="Q39" s="588">
        <v>0</v>
      </c>
    </row>
    <row r="40" spans="1:17" ht="14.45" customHeight="1" x14ac:dyDescent="0.2">
      <c r="A40" s="569" t="s">
        <v>1259</v>
      </c>
      <c r="B40" s="570" t="s">
        <v>1260</v>
      </c>
      <c r="C40" s="570" t="s">
        <v>1232</v>
      </c>
      <c r="D40" s="570" t="s">
        <v>1323</v>
      </c>
      <c r="E40" s="570" t="s">
        <v>1324</v>
      </c>
      <c r="F40" s="587"/>
      <c r="G40" s="587"/>
      <c r="H40" s="587"/>
      <c r="I40" s="587"/>
      <c r="J40" s="587"/>
      <c r="K40" s="587"/>
      <c r="L40" s="587"/>
      <c r="M40" s="587"/>
      <c r="N40" s="587">
        <v>1</v>
      </c>
      <c r="O40" s="587">
        <v>39860</v>
      </c>
      <c r="P40" s="575"/>
      <c r="Q40" s="588">
        <v>39860</v>
      </c>
    </row>
    <row r="41" spans="1:17" ht="14.45" customHeight="1" x14ac:dyDescent="0.2">
      <c r="A41" s="569" t="s">
        <v>1350</v>
      </c>
      <c r="B41" s="570" t="s">
        <v>1231</v>
      </c>
      <c r="C41" s="570" t="s">
        <v>1232</v>
      </c>
      <c r="D41" s="570" t="s">
        <v>1239</v>
      </c>
      <c r="E41" s="570" t="s">
        <v>1240</v>
      </c>
      <c r="F41" s="587">
        <v>2</v>
      </c>
      <c r="G41" s="587">
        <v>4966</v>
      </c>
      <c r="H41" s="587">
        <v>0.99399519615692555</v>
      </c>
      <c r="I41" s="587">
        <v>2483</v>
      </c>
      <c r="J41" s="587">
        <v>2</v>
      </c>
      <c r="K41" s="587">
        <v>4996</v>
      </c>
      <c r="L41" s="587">
        <v>1</v>
      </c>
      <c r="M41" s="587">
        <v>2498</v>
      </c>
      <c r="N41" s="587"/>
      <c r="O41" s="587"/>
      <c r="P41" s="575"/>
      <c r="Q41" s="588"/>
    </row>
    <row r="42" spans="1:17" ht="14.45" customHeight="1" x14ac:dyDescent="0.2">
      <c r="A42" s="569" t="s">
        <v>1350</v>
      </c>
      <c r="B42" s="570" t="s">
        <v>1231</v>
      </c>
      <c r="C42" s="570" t="s">
        <v>1232</v>
      </c>
      <c r="D42" s="570" t="s">
        <v>1241</v>
      </c>
      <c r="E42" s="570" t="s">
        <v>1242</v>
      </c>
      <c r="F42" s="587"/>
      <c r="G42" s="587"/>
      <c r="H42" s="587"/>
      <c r="I42" s="587"/>
      <c r="J42" s="587"/>
      <c r="K42" s="587"/>
      <c r="L42" s="587"/>
      <c r="M42" s="587"/>
      <c r="N42" s="587">
        <v>1</v>
      </c>
      <c r="O42" s="587">
        <v>352</v>
      </c>
      <c r="P42" s="575"/>
      <c r="Q42" s="588">
        <v>352</v>
      </c>
    </row>
    <row r="43" spans="1:17" ht="14.45" customHeight="1" x14ac:dyDescent="0.2">
      <c r="A43" s="569" t="s">
        <v>1350</v>
      </c>
      <c r="B43" s="570" t="s">
        <v>1231</v>
      </c>
      <c r="C43" s="570" t="s">
        <v>1232</v>
      </c>
      <c r="D43" s="570" t="s">
        <v>1243</v>
      </c>
      <c r="E43" s="570" t="s">
        <v>1244</v>
      </c>
      <c r="F43" s="587">
        <v>2</v>
      </c>
      <c r="G43" s="587">
        <v>702</v>
      </c>
      <c r="H43" s="587">
        <v>0.33050847457627119</v>
      </c>
      <c r="I43" s="587">
        <v>351</v>
      </c>
      <c r="J43" s="587">
        <v>6</v>
      </c>
      <c r="K43" s="587">
        <v>2124</v>
      </c>
      <c r="L43" s="587">
        <v>1</v>
      </c>
      <c r="M43" s="587">
        <v>354</v>
      </c>
      <c r="N43" s="587">
        <v>6</v>
      </c>
      <c r="O43" s="587">
        <v>2136</v>
      </c>
      <c r="P43" s="575">
        <v>1.0056497175141244</v>
      </c>
      <c r="Q43" s="588">
        <v>356</v>
      </c>
    </row>
    <row r="44" spans="1:17" ht="14.45" customHeight="1" x14ac:dyDescent="0.2">
      <c r="A44" s="569" t="s">
        <v>1350</v>
      </c>
      <c r="B44" s="570" t="s">
        <v>1231</v>
      </c>
      <c r="C44" s="570" t="s">
        <v>1232</v>
      </c>
      <c r="D44" s="570" t="s">
        <v>1247</v>
      </c>
      <c r="E44" s="570" t="s">
        <v>1248</v>
      </c>
      <c r="F44" s="587">
        <v>16</v>
      </c>
      <c r="G44" s="587">
        <v>24352</v>
      </c>
      <c r="H44" s="587">
        <v>0.99542184434270764</v>
      </c>
      <c r="I44" s="587">
        <v>1522</v>
      </c>
      <c r="J44" s="587">
        <v>16</v>
      </c>
      <c r="K44" s="587">
        <v>24464</v>
      </c>
      <c r="L44" s="587">
        <v>1</v>
      </c>
      <c r="M44" s="587">
        <v>1529</v>
      </c>
      <c r="N44" s="587">
        <v>25</v>
      </c>
      <c r="O44" s="587">
        <v>38375</v>
      </c>
      <c r="P44" s="575">
        <v>1.568631458469588</v>
      </c>
      <c r="Q44" s="588">
        <v>1535</v>
      </c>
    </row>
    <row r="45" spans="1:17" ht="14.45" customHeight="1" x14ac:dyDescent="0.2">
      <c r="A45" s="569" t="s">
        <v>1350</v>
      </c>
      <c r="B45" s="570" t="s">
        <v>1260</v>
      </c>
      <c r="C45" s="570" t="s">
        <v>1232</v>
      </c>
      <c r="D45" s="570" t="s">
        <v>1261</v>
      </c>
      <c r="E45" s="570" t="s">
        <v>1262</v>
      </c>
      <c r="F45" s="587"/>
      <c r="G45" s="587"/>
      <c r="H45" s="587"/>
      <c r="I45" s="587"/>
      <c r="J45" s="587"/>
      <c r="K45" s="587"/>
      <c r="L45" s="587"/>
      <c r="M45" s="587"/>
      <c r="N45" s="587">
        <v>1</v>
      </c>
      <c r="O45" s="587">
        <v>12559</v>
      </c>
      <c r="P45" s="575"/>
      <c r="Q45" s="588">
        <v>12559</v>
      </c>
    </row>
    <row r="46" spans="1:17" ht="14.45" customHeight="1" x14ac:dyDescent="0.2">
      <c r="A46" s="569" t="s">
        <v>1350</v>
      </c>
      <c r="B46" s="570" t="s">
        <v>1260</v>
      </c>
      <c r="C46" s="570" t="s">
        <v>1232</v>
      </c>
      <c r="D46" s="570" t="s">
        <v>1263</v>
      </c>
      <c r="E46" s="570" t="s">
        <v>1264</v>
      </c>
      <c r="F46" s="587">
        <v>4</v>
      </c>
      <c r="G46" s="587">
        <v>1196</v>
      </c>
      <c r="H46" s="587">
        <v>0.49503311258278143</v>
      </c>
      <c r="I46" s="587">
        <v>299</v>
      </c>
      <c r="J46" s="587">
        <v>8</v>
      </c>
      <c r="K46" s="587">
        <v>2416</v>
      </c>
      <c r="L46" s="587">
        <v>1</v>
      </c>
      <c r="M46" s="587">
        <v>302</v>
      </c>
      <c r="N46" s="587">
        <v>10</v>
      </c>
      <c r="O46" s="587">
        <v>3040</v>
      </c>
      <c r="P46" s="575">
        <v>1.2582781456953642</v>
      </c>
      <c r="Q46" s="588">
        <v>304</v>
      </c>
    </row>
    <row r="47" spans="1:17" ht="14.45" customHeight="1" x14ac:dyDescent="0.2">
      <c r="A47" s="569" t="s">
        <v>1350</v>
      </c>
      <c r="B47" s="570" t="s">
        <v>1260</v>
      </c>
      <c r="C47" s="570" t="s">
        <v>1232</v>
      </c>
      <c r="D47" s="570" t="s">
        <v>1351</v>
      </c>
      <c r="E47" s="570" t="s">
        <v>1352</v>
      </c>
      <c r="F47" s="587">
        <v>1</v>
      </c>
      <c r="G47" s="587">
        <v>7150</v>
      </c>
      <c r="H47" s="587"/>
      <c r="I47" s="587">
        <v>7150</v>
      </c>
      <c r="J47" s="587"/>
      <c r="K47" s="587"/>
      <c r="L47" s="587"/>
      <c r="M47" s="587"/>
      <c r="N47" s="587"/>
      <c r="O47" s="587"/>
      <c r="P47" s="575"/>
      <c r="Q47" s="588"/>
    </row>
    <row r="48" spans="1:17" ht="14.45" customHeight="1" x14ac:dyDescent="0.2">
      <c r="A48" s="569" t="s">
        <v>1350</v>
      </c>
      <c r="B48" s="570" t="s">
        <v>1260</v>
      </c>
      <c r="C48" s="570" t="s">
        <v>1232</v>
      </c>
      <c r="D48" s="570" t="s">
        <v>1265</v>
      </c>
      <c r="E48" s="570" t="s">
        <v>1266</v>
      </c>
      <c r="F48" s="587">
        <v>1</v>
      </c>
      <c r="G48" s="587">
        <v>10467</v>
      </c>
      <c r="H48" s="587"/>
      <c r="I48" s="587">
        <v>10467</v>
      </c>
      <c r="J48" s="587"/>
      <c r="K48" s="587"/>
      <c r="L48" s="587"/>
      <c r="M48" s="587"/>
      <c r="N48" s="587"/>
      <c r="O48" s="587"/>
      <c r="P48" s="575"/>
      <c r="Q48" s="588"/>
    </row>
    <row r="49" spans="1:17" ht="14.45" customHeight="1" x14ac:dyDescent="0.2">
      <c r="A49" s="569" t="s">
        <v>1350</v>
      </c>
      <c r="B49" s="570" t="s">
        <v>1260</v>
      </c>
      <c r="C49" s="570" t="s">
        <v>1232</v>
      </c>
      <c r="D49" s="570" t="s">
        <v>1269</v>
      </c>
      <c r="E49" s="570" t="s">
        <v>1270</v>
      </c>
      <c r="F49" s="587"/>
      <c r="G49" s="587"/>
      <c r="H49" s="587"/>
      <c r="I49" s="587"/>
      <c r="J49" s="587"/>
      <c r="K49" s="587"/>
      <c r="L49" s="587"/>
      <c r="M49" s="587"/>
      <c r="N49" s="587">
        <v>1</v>
      </c>
      <c r="O49" s="587">
        <v>670</v>
      </c>
      <c r="P49" s="575"/>
      <c r="Q49" s="588">
        <v>670</v>
      </c>
    </row>
    <row r="50" spans="1:17" ht="14.45" customHeight="1" x14ac:dyDescent="0.2">
      <c r="A50" s="569" t="s">
        <v>1350</v>
      </c>
      <c r="B50" s="570" t="s">
        <v>1260</v>
      </c>
      <c r="C50" s="570" t="s">
        <v>1232</v>
      </c>
      <c r="D50" s="570" t="s">
        <v>1271</v>
      </c>
      <c r="E50" s="570" t="s">
        <v>1272</v>
      </c>
      <c r="F50" s="587"/>
      <c r="G50" s="587"/>
      <c r="H50" s="587"/>
      <c r="I50" s="587"/>
      <c r="J50" s="587"/>
      <c r="K50" s="587"/>
      <c r="L50" s="587"/>
      <c r="M50" s="587"/>
      <c r="N50" s="587">
        <v>1</v>
      </c>
      <c r="O50" s="587">
        <v>975</v>
      </c>
      <c r="P50" s="575"/>
      <c r="Q50" s="588">
        <v>975</v>
      </c>
    </row>
    <row r="51" spans="1:17" ht="14.45" customHeight="1" x14ac:dyDescent="0.2">
      <c r="A51" s="569" t="s">
        <v>1350</v>
      </c>
      <c r="B51" s="570" t="s">
        <v>1260</v>
      </c>
      <c r="C51" s="570" t="s">
        <v>1232</v>
      </c>
      <c r="D51" s="570" t="s">
        <v>1273</v>
      </c>
      <c r="E51" s="570" t="s">
        <v>1274</v>
      </c>
      <c r="F51" s="587">
        <v>1</v>
      </c>
      <c r="G51" s="587">
        <v>7549</v>
      </c>
      <c r="H51" s="587">
        <v>0.49703713457993154</v>
      </c>
      <c r="I51" s="587">
        <v>7549</v>
      </c>
      <c r="J51" s="587">
        <v>2</v>
      </c>
      <c r="K51" s="587">
        <v>15188</v>
      </c>
      <c r="L51" s="587">
        <v>1</v>
      </c>
      <c r="M51" s="587">
        <v>7594</v>
      </c>
      <c r="N51" s="587">
        <v>2</v>
      </c>
      <c r="O51" s="587">
        <v>15266</v>
      </c>
      <c r="P51" s="575">
        <v>1.0051356333947854</v>
      </c>
      <c r="Q51" s="588">
        <v>7633</v>
      </c>
    </row>
    <row r="52" spans="1:17" ht="14.45" customHeight="1" x14ac:dyDescent="0.2">
      <c r="A52" s="569" t="s">
        <v>1350</v>
      </c>
      <c r="B52" s="570" t="s">
        <v>1260</v>
      </c>
      <c r="C52" s="570" t="s">
        <v>1232</v>
      </c>
      <c r="D52" s="570" t="s">
        <v>1289</v>
      </c>
      <c r="E52" s="570" t="s">
        <v>1290</v>
      </c>
      <c r="F52" s="587">
        <v>4</v>
      </c>
      <c r="G52" s="587">
        <v>4425</v>
      </c>
      <c r="H52" s="587">
        <v>0.79729729729729726</v>
      </c>
      <c r="I52" s="587">
        <v>1106.25</v>
      </c>
      <c r="J52" s="587">
        <v>5</v>
      </c>
      <c r="K52" s="587">
        <v>5550</v>
      </c>
      <c r="L52" s="587">
        <v>1</v>
      </c>
      <c r="M52" s="587">
        <v>1110</v>
      </c>
      <c r="N52" s="587">
        <v>8</v>
      </c>
      <c r="O52" s="587">
        <v>8912</v>
      </c>
      <c r="P52" s="575">
        <v>1.6057657657657658</v>
      </c>
      <c r="Q52" s="588">
        <v>1114</v>
      </c>
    </row>
    <row r="53" spans="1:17" ht="14.45" customHeight="1" x14ac:dyDescent="0.2">
      <c r="A53" s="569" t="s">
        <v>1350</v>
      </c>
      <c r="B53" s="570" t="s">
        <v>1260</v>
      </c>
      <c r="C53" s="570" t="s">
        <v>1232</v>
      </c>
      <c r="D53" s="570" t="s">
        <v>1291</v>
      </c>
      <c r="E53" s="570" t="s">
        <v>1292</v>
      </c>
      <c r="F53" s="587"/>
      <c r="G53" s="587"/>
      <c r="H53" s="587"/>
      <c r="I53" s="587"/>
      <c r="J53" s="587">
        <v>5</v>
      </c>
      <c r="K53" s="587">
        <v>37235</v>
      </c>
      <c r="L53" s="587">
        <v>1</v>
      </c>
      <c r="M53" s="587">
        <v>7447</v>
      </c>
      <c r="N53" s="587"/>
      <c r="O53" s="587"/>
      <c r="P53" s="575"/>
      <c r="Q53" s="588"/>
    </row>
    <row r="54" spans="1:17" ht="14.45" customHeight="1" x14ac:dyDescent="0.2">
      <c r="A54" s="569" t="s">
        <v>1350</v>
      </c>
      <c r="B54" s="570" t="s">
        <v>1260</v>
      </c>
      <c r="C54" s="570" t="s">
        <v>1232</v>
      </c>
      <c r="D54" s="570" t="s">
        <v>1293</v>
      </c>
      <c r="E54" s="570" t="s">
        <v>1294</v>
      </c>
      <c r="F54" s="587">
        <v>2</v>
      </c>
      <c r="G54" s="587">
        <v>7670</v>
      </c>
      <c r="H54" s="587"/>
      <c r="I54" s="587">
        <v>3835</v>
      </c>
      <c r="J54" s="587"/>
      <c r="K54" s="587"/>
      <c r="L54" s="587"/>
      <c r="M54" s="587"/>
      <c r="N54" s="587"/>
      <c r="O54" s="587"/>
      <c r="P54" s="575"/>
      <c r="Q54" s="588"/>
    </row>
    <row r="55" spans="1:17" ht="14.45" customHeight="1" x14ac:dyDescent="0.2">
      <c r="A55" s="569" t="s">
        <v>1350</v>
      </c>
      <c r="B55" s="570" t="s">
        <v>1260</v>
      </c>
      <c r="C55" s="570" t="s">
        <v>1232</v>
      </c>
      <c r="D55" s="570" t="s">
        <v>1295</v>
      </c>
      <c r="E55" s="570" t="s">
        <v>1296</v>
      </c>
      <c r="F55" s="587"/>
      <c r="G55" s="587"/>
      <c r="H55" s="587"/>
      <c r="I55" s="587"/>
      <c r="J55" s="587">
        <v>15</v>
      </c>
      <c r="K55" s="587">
        <v>35985</v>
      </c>
      <c r="L55" s="587">
        <v>1</v>
      </c>
      <c r="M55" s="587">
        <v>2399</v>
      </c>
      <c r="N55" s="587"/>
      <c r="O55" s="587"/>
      <c r="P55" s="575"/>
      <c r="Q55" s="588"/>
    </row>
    <row r="56" spans="1:17" ht="14.45" customHeight="1" x14ac:dyDescent="0.2">
      <c r="A56" s="569" t="s">
        <v>1350</v>
      </c>
      <c r="B56" s="570" t="s">
        <v>1260</v>
      </c>
      <c r="C56" s="570" t="s">
        <v>1232</v>
      </c>
      <c r="D56" s="570" t="s">
        <v>1305</v>
      </c>
      <c r="E56" s="570" t="s">
        <v>1306</v>
      </c>
      <c r="F56" s="587"/>
      <c r="G56" s="587"/>
      <c r="H56" s="587"/>
      <c r="I56" s="587"/>
      <c r="J56" s="587"/>
      <c r="K56" s="587"/>
      <c r="L56" s="587"/>
      <c r="M56" s="587"/>
      <c r="N56" s="587">
        <v>1</v>
      </c>
      <c r="O56" s="587">
        <v>8333.33</v>
      </c>
      <c r="P56" s="575"/>
      <c r="Q56" s="588">
        <v>8333.33</v>
      </c>
    </row>
    <row r="57" spans="1:17" ht="14.45" customHeight="1" x14ac:dyDescent="0.2">
      <c r="A57" s="569" t="s">
        <v>1350</v>
      </c>
      <c r="B57" s="570" t="s">
        <v>1260</v>
      </c>
      <c r="C57" s="570" t="s">
        <v>1232</v>
      </c>
      <c r="D57" s="570" t="s">
        <v>1307</v>
      </c>
      <c r="E57" s="570" t="s">
        <v>1308</v>
      </c>
      <c r="F57" s="587"/>
      <c r="G57" s="587"/>
      <c r="H57" s="587"/>
      <c r="I57" s="587"/>
      <c r="J57" s="587"/>
      <c r="K57" s="587"/>
      <c r="L57" s="587"/>
      <c r="M57" s="587"/>
      <c r="N57" s="587">
        <v>1</v>
      </c>
      <c r="O57" s="587">
        <v>0</v>
      </c>
      <c r="P57" s="575"/>
      <c r="Q57" s="588">
        <v>0</v>
      </c>
    </row>
    <row r="58" spans="1:17" ht="14.45" customHeight="1" x14ac:dyDescent="0.2">
      <c r="A58" s="569" t="s">
        <v>1350</v>
      </c>
      <c r="B58" s="570" t="s">
        <v>1260</v>
      </c>
      <c r="C58" s="570" t="s">
        <v>1232</v>
      </c>
      <c r="D58" s="570" t="s">
        <v>1309</v>
      </c>
      <c r="E58" s="570" t="s">
        <v>1310</v>
      </c>
      <c r="F58" s="587"/>
      <c r="G58" s="587"/>
      <c r="H58" s="587"/>
      <c r="I58" s="587"/>
      <c r="J58" s="587">
        <v>0</v>
      </c>
      <c r="K58" s="587">
        <v>0</v>
      </c>
      <c r="L58" s="587"/>
      <c r="M58" s="587"/>
      <c r="N58" s="587"/>
      <c r="O58" s="587"/>
      <c r="P58" s="575"/>
      <c r="Q58" s="588"/>
    </row>
    <row r="59" spans="1:17" ht="14.45" customHeight="1" x14ac:dyDescent="0.2">
      <c r="A59" s="569" t="s">
        <v>1350</v>
      </c>
      <c r="B59" s="570" t="s">
        <v>1260</v>
      </c>
      <c r="C59" s="570" t="s">
        <v>1232</v>
      </c>
      <c r="D59" s="570" t="s">
        <v>1321</v>
      </c>
      <c r="E59" s="570" t="s">
        <v>1322</v>
      </c>
      <c r="F59" s="587"/>
      <c r="G59" s="587"/>
      <c r="H59" s="587"/>
      <c r="I59" s="587"/>
      <c r="J59" s="587"/>
      <c r="K59" s="587"/>
      <c r="L59" s="587"/>
      <c r="M59" s="587"/>
      <c r="N59" s="587">
        <v>1</v>
      </c>
      <c r="O59" s="587">
        <v>44000</v>
      </c>
      <c r="P59" s="575"/>
      <c r="Q59" s="588">
        <v>44000</v>
      </c>
    </row>
    <row r="60" spans="1:17" ht="14.45" customHeight="1" x14ac:dyDescent="0.2">
      <c r="A60" s="569" t="s">
        <v>1353</v>
      </c>
      <c r="B60" s="570" t="s">
        <v>1231</v>
      </c>
      <c r="C60" s="570" t="s">
        <v>1232</v>
      </c>
      <c r="D60" s="570" t="s">
        <v>1235</v>
      </c>
      <c r="E60" s="570" t="s">
        <v>1236</v>
      </c>
      <c r="F60" s="587">
        <v>1</v>
      </c>
      <c r="G60" s="587">
        <v>37</v>
      </c>
      <c r="H60" s="587"/>
      <c r="I60" s="587">
        <v>37</v>
      </c>
      <c r="J60" s="587"/>
      <c r="K60" s="587"/>
      <c r="L60" s="587"/>
      <c r="M60" s="587"/>
      <c r="N60" s="587"/>
      <c r="O60" s="587"/>
      <c r="P60" s="575"/>
      <c r="Q60" s="588"/>
    </row>
    <row r="61" spans="1:17" ht="14.45" customHeight="1" x14ac:dyDescent="0.2">
      <c r="A61" s="569" t="s">
        <v>1353</v>
      </c>
      <c r="B61" s="570" t="s">
        <v>1231</v>
      </c>
      <c r="C61" s="570" t="s">
        <v>1232</v>
      </c>
      <c r="D61" s="570" t="s">
        <v>1239</v>
      </c>
      <c r="E61" s="570" t="s">
        <v>1240</v>
      </c>
      <c r="F61" s="587"/>
      <c r="G61" s="587"/>
      <c r="H61" s="587"/>
      <c r="I61" s="587"/>
      <c r="J61" s="587">
        <v>3</v>
      </c>
      <c r="K61" s="587">
        <v>7494</v>
      </c>
      <c r="L61" s="587">
        <v>1</v>
      </c>
      <c r="M61" s="587">
        <v>2498</v>
      </c>
      <c r="N61" s="587">
        <v>1</v>
      </c>
      <c r="O61" s="587">
        <v>2510</v>
      </c>
      <c r="P61" s="575">
        <v>0.33493461435815319</v>
      </c>
      <c r="Q61" s="588">
        <v>2510</v>
      </c>
    </row>
    <row r="62" spans="1:17" ht="14.45" customHeight="1" x14ac:dyDescent="0.2">
      <c r="A62" s="569" t="s">
        <v>1353</v>
      </c>
      <c r="B62" s="570" t="s">
        <v>1231</v>
      </c>
      <c r="C62" s="570" t="s">
        <v>1232</v>
      </c>
      <c r="D62" s="570" t="s">
        <v>1243</v>
      </c>
      <c r="E62" s="570" t="s">
        <v>1244</v>
      </c>
      <c r="F62" s="587">
        <v>1</v>
      </c>
      <c r="G62" s="587">
        <v>351</v>
      </c>
      <c r="H62" s="587">
        <v>0.49576271186440679</v>
      </c>
      <c r="I62" s="587">
        <v>351</v>
      </c>
      <c r="J62" s="587">
        <v>2</v>
      </c>
      <c r="K62" s="587">
        <v>708</v>
      </c>
      <c r="L62" s="587">
        <v>1</v>
      </c>
      <c r="M62" s="587">
        <v>354</v>
      </c>
      <c r="N62" s="587">
        <v>1</v>
      </c>
      <c r="O62" s="587">
        <v>356</v>
      </c>
      <c r="P62" s="575">
        <v>0.50282485875706218</v>
      </c>
      <c r="Q62" s="588">
        <v>356</v>
      </c>
    </row>
    <row r="63" spans="1:17" ht="14.45" customHeight="1" x14ac:dyDescent="0.2">
      <c r="A63" s="569" t="s">
        <v>1353</v>
      </c>
      <c r="B63" s="570" t="s">
        <v>1231</v>
      </c>
      <c r="C63" s="570" t="s">
        <v>1232</v>
      </c>
      <c r="D63" s="570" t="s">
        <v>1247</v>
      </c>
      <c r="E63" s="570" t="s">
        <v>1248</v>
      </c>
      <c r="F63" s="587">
        <v>31</v>
      </c>
      <c r="G63" s="587">
        <v>47182</v>
      </c>
      <c r="H63" s="587">
        <v>0.7526360286493643</v>
      </c>
      <c r="I63" s="587">
        <v>1522</v>
      </c>
      <c r="J63" s="587">
        <v>41</v>
      </c>
      <c r="K63" s="587">
        <v>62689</v>
      </c>
      <c r="L63" s="587">
        <v>1</v>
      </c>
      <c r="M63" s="587">
        <v>1529</v>
      </c>
      <c r="N63" s="587">
        <v>30</v>
      </c>
      <c r="O63" s="587">
        <v>46050</v>
      </c>
      <c r="P63" s="575">
        <v>0.73457863421014846</v>
      </c>
      <c r="Q63" s="588">
        <v>1535</v>
      </c>
    </row>
    <row r="64" spans="1:17" ht="14.45" customHeight="1" x14ac:dyDescent="0.2">
      <c r="A64" s="569" t="s">
        <v>1353</v>
      </c>
      <c r="B64" s="570" t="s">
        <v>1260</v>
      </c>
      <c r="C64" s="570" t="s">
        <v>1232</v>
      </c>
      <c r="D64" s="570" t="s">
        <v>1289</v>
      </c>
      <c r="E64" s="570" t="s">
        <v>1290</v>
      </c>
      <c r="F64" s="587">
        <v>20</v>
      </c>
      <c r="G64" s="587">
        <v>22137</v>
      </c>
      <c r="H64" s="587">
        <v>6.647747747747748</v>
      </c>
      <c r="I64" s="587">
        <v>1106.8499999999999</v>
      </c>
      <c r="J64" s="587">
        <v>3</v>
      </c>
      <c r="K64" s="587">
        <v>3330</v>
      </c>
      <c r="L64" s="587">
        <v>1</v>
      </c>
      <c r="M64" s="587">
        <v>1110</v>
      </c>
      <c r="N64" s="587"/>
      <c r="O64" s="587"/>
      <c r="P64" s="575"/>
      <c r="Q64" s="588"/>
    </row>
    <row r="65" spans="1:17" ht="14.45" customHeight="1" x14ac:dyDescent="0.2">
      <c r="A65" s="569" t="s">
        <v>1353</v>
      </c>
      <c r="B65" s="570" t="s">
        <v>1260</v>
      </c>
      <c r="C65" s="570" t="s">
        <v>1232</v>
      </c>
      <c r="D65" s="570" t="s">
        <v>1291</v>
      </c>
      <c r="E65" s="570" t="s">
        <v>1292</v>
      </c>
      <c r="F65" s="587">
        <v>2</v>
      </c>
      <c r="G65" s="587">
        <v>14860</v>
      </c>
      <c r="H65" s="587"/>
      <c r="I65" s="587">
        <v>7430</v>
      </c>
      <c r="J65" s="587"/>
      <c r="K65" s="587"/>
      <c r="L65" s="587"/>
      <c r="M65" s="587"/>
      <c r="N65" s="587"/>
      <c r="O65" s="587"/>
      <c r="P65" s="575"/>
      <c r="Q65" s="588"/>
    </row>
    <row r="66" spans="1:17" ht="14.45" customHeight="1" x14ac:dyDescent="0.2">
      <c r="A66" s="569" t="s">
        <v>1353</v>
      </c>
      <c r="B66" s="570" t="s">
        <v>1260</v>
      </c>
      <c r="C66" s="570" t="s">
        <v>1232</v>
      </c>
      <c r="D66" s="570" t="s">
        <v>1293</v>
      </c>
      <c r="E66" s="570" t="s">
        <v>1294</v>
      </c>
      <c r="F66" s="587"/>
      <c r="G66" s="587"/>
      <c r="H66" s="587"/>
      <c r="I66" s="587"/>
      <c r="J66" s="587">
        <v>2</v>
      </c>
      <c r="K66" s="587">
        <v>7678</v>
      </c>
      <c r="L66" s="587">
        <v>1</v>
      </c>
      <c r="M66" s="587">
        <v>3839</v>
      </c>
      <c r="N66" s="587"/>
      <c r="O66" s="587"/>
      <c r="P66" s="575"/>
      <c r="Q66" s="588"/>
    </row>
    <row r="67" spans="1:17" ht="14.45" customHeight="1" x14ac:dyDescent="0.2">
      <c r="A67" s="569" t="s">
        <v>1353</v>
      </c>
      <c r="B67" s="570" t="s">
        <v>1260</v>
      </c>
      <c r="C67" s="570" t="s">
        <v>1232</v>
      </c>
      <c r="D67" s="570" t="s">
        <v>1319</v>
      </c>
      <c r="E67" s="570" t="s">
        <v>1320</v>
      </c>
      <c r="F67" s="587"/>
      <c r="G67" s="587"/>
      <c r="H67" s="587"/>
      <c r="I67" s="587"/>
      <c r="J67" s="587">
        <v>0</v>
      </c>
      <c r="K67" s="587">
        <v>0</v>
      </c>
      <c r="L67" s="587"/>
      <c r="M67" s="587"/>
      <c r="N67" s="587"/>
      <c r="O67" s="587"/>
      <c r="P67" s="575"/>
      <c r="Q67" s="588"/>
    </row>
    <row r="68" spans="1:17" ht="14.45" customHeight="1" x14ac:dyDescent="0.2">
      <c r="A68" s="569" t="s">
        <v>1354</v>
      </c>
      <c r="B68" s="570" t="s">
        <v>1231</v>
      </c>
      <c r="C68" s="570" t="s">
        <v>1232</v>
      </c>
      <c r="D68" s="570" t="s">
        <v>1247</v>
      </c>
      <c r="E68" s="570" t="s">
        <v>1248</v>
      </c>
      <c r="F68" s="587">
        <v>1</v>
      </c>
      <c r="G68" s="587">
        <v>1522</v>
      </c>
      <c r="H68" s="587"/>
      <c r="I68" s="587">
        <v>1522</v>
      </c>
      <c r="J68" s="587"/>
      <c r="K68" s="587"/>
      <c r="L68" s="587"/>
      <c r="M68" s="587"/>
      <c r="N68" s="587"/>
      <c r="O68" s="587"/>
      <c r="P68" s="575"/>
      <c r="Q68" s="588"/>
    </row>
    <row r="69" spans="1:17" ht="14.45" customHeight="1" x14ac:dyDescent="0.2">
      <c r="A69" s="569" t="s">
        <v>1355</v>
      </c>
      <c r="B69" s="570" t="s">
        <v>1231</v>
      </c>
      <c r="C69" s="570" t="s">
        <v>1232</v>
      </c>
      <c r="D69" s="570" t="s">
        <v>1243</v>
      </c>
      <c r="E69" s="570" t="s">
        <v>1244</v>
      </c>
      <c r="F69" s="587"/>
      <c r="G69" s="587"/>
      <c r="H69" s="587"/>
      <c r="I69" s="587"/>
      <c r="J69" s="587">
        <v>2</v>
      </c>
      <c r="K69" s="587">
        <v>708</v>
      </c>
      <c r="L69" s="587">
        <v>1</v>
      </c>
      <c r="M69" s="587">
        <v>354</v>
      </c>
      <c r="N69" s="587"/>
      <c r="O69" s="587"/>
      <c r="P69" s="575"/>
      <c r="Q69" s="588"/>
    </row>
    <row r="70" spans="1:17" ht="14.45" customHeight="1" x14ac:dyDescent="0.2">
      <c r="A70" s="569" t="s">
        <v>1356</v>
      </c>
      <c r="B70" s="570" t="s">
        <v>1231</v>
      </c>
      <c r="C70" s="570" t="s">
        <v>1232</v>
      </c>
      <c r="D70" s="570" t="s">
        <v>1239</v>
      </c>
      <c r="E70" s="570" t="s">
        <v>1240</v>
      </c>
      <c r="F70" s="587">
        <v>1</v>
      </c>
      <c r="G70" s="587">
        <v>2483</v>
      </c>
      <c r="H70" s="587"/>
      <c r="I70" s="587">
        <v>2483</v>
      </c>
      <c r="J70" s="587"/>
      <c r="K70" s="587"/>
      <c r="L70" s="587"/>
      <c r="M70" s="587"/>
      <c r="N70" s="587"/>
      <c r="O70" s="587"/>
      <c r="P70" s="575"/>
      <c r="Q70" s="588"/>
    </row>
    <row r="71" spans="1:17" ht="14.45" customHeight="1" x14ac:dyDescent="0.2">
      <c r="A71" s="569" t="s">
        <v>1356</v>
      </c>
      <c r="B71" s="570" t="s">
        <v>1231</v>
      </c>
      <c r="C71" s="570" t="s">
        <v>1232</v>
      </c>
      <c r="D71" s="570" t="s">
        <v>1243</v>
      </c>
      <c r="E71" s="570" t="s">
        <v>1244</v>
      </c>
      <c r="F71" s="587"/>
      <c r="G71" s="587"/>
      <c r="H71" s="587"/>
      <c r="I71" s="587"/>
      <c r="J71" s="587">
        <v>1</v>
      </c>
      <c r="K71" s="587">
        <v>354</v>
      </c>
      <c r="L71" s="587">
        <v>1</v>
      </c>
      <c r="M71" s="587">
        <v>354</v>
      </c>
      <c r="N71" s="587">
        <v>2</v>
      </c>
      <c r="O71" s="587">
        <v>712</v>
      </c>
      <c r="P71" s="575">
        <v>2.0112994350282487</v>
      </c>
      <c r="Q71" s="588">
        <v>356</v>
      </c>
    </row>
    <row r="72" spans="1:17" ht="14.45" customHeight="1" x14ac:dyDescent="0.2">
      <c r="A72" s="569" t="s">
        <v>1356</v>
      </c>
      <c r="B72" s="570" t="s">
        <v>1231</v>
      </c>
      <c r="C72" s="570" t="s">
        <v>1232</v>
      </c>
      <c r="D72" s="570" t="s">
        <v>1247</v>
      </c>
      <c r="E72" s="570" t="s">
        <v>1248</v>
      </c>
      <c r="F72" s="587">
        <v>2</v>
      </c>
      <c r="G72" s="587">
        <v>3044</v>
      </c>
      <c r="H72" s="587">
        <v>0.99542184434270764</v>
      </c>
      <c r="I72" s="587">
        <v>1522</v>
      </c>
      <c r="J72" s="587">
        <v>2</v>
      </c>
      <c r="K72" s="587">
        <v>3058</v>
      </c>
      <c r="L72" s="587">
        <v>1</v>
      </c>
      <c r="M72" s="587">
        <v>1529</v>
      </c>
      <c r="N72" s="587">
        <v>2</v>
      </c>
      <c r="O72" s="587">
        <v>3070</v>
      </c>
      <c r="P72" s="575">
        <v>1.0039241334205362</v>
      </c>
      <c r="Q72" s="588">
        <v>1535</v>
      </c>
    </row>
    <row r="73" spans="1:17" ht="14.45" customHeight="1" x14ac:dyDescent="0.2">
      <c r="A73" s="569" t="s">
        <v>1356</v>
      </c>
      <c r="B73" s="570" t="s">
        <v>1260</v>
      </c>
      <c r="C73" s="570" t="s">
        <v>1232</v>
      </c>
      <c r="D73" s="570" t="s">
        <v>1289</v>
      </c>
      <c r="E73" s="570" t="s">
        <v>1290</v>
      </c>
      <c r="F73" s="587">
        <v>1</v>
      </c>
      <c r="G73" s="587">
        <v>1107</v>
      </c>
      <c r="H73" s="587"/>
      <c r="I73" s="587">
        <v>1107</v>
      </c>
      <c r="J73" s="587"/>
      <c r="K73" s="587"/>
      <c r="L73" s="587"/>
      <c r="M73" s="587"/>
      <c r="N73" s="587"/>
      <c r="O73" s="587"/>
      <c r="P73" s="575"/>
      <c r="Q73" s="588"/>
    </row>
    <row r="74" spans="1:17" ht="14.45" customHeight="1" x14ac:dyDescent="0.2">
      <c r="A74" s="569" t="s">
        <v>1356</v>
      </c>
      <c r="B74" s="570" t="s">
        <v>1260</v>
      </c>
      <c r="C74" s="570" t="s">
        <v>1232</v>
      </c>
      <c r="D74" s="570" t="s">
        <v>1321</v>
      </c>
      <c r="E74" s="570" t="s">
        <v>1322</v>
      </c>
      <c r="F74" s="587"/>
      <c r="G74" s="587"/>
      <c r="H74" s="587"/>
      <c r="I74" s="587"/>
      <c r="J74" s="587">
        <v>1</v>
      </c>
      <c r="K74" s="587">
        <v>44000</v>
      </c>
      <c r="L74" s="587">
        <v>1</v>
      </c>
      <c r="M74" s="587">
        <v>44000</v>
      </c>
      <c r="N74" s="587">
        <v>0</v>
      </c>
      <c r="O74" s="587">
        <v>0</v>
      </c>
      <c r="P74" s="575">
        <v>0</v>
      </c>
      <c r="Q74" s="588"/>
    </row>
    <row r="75" spans="1:17" ht="14.45" customHeight="1" x14ac:dyDescent="0.2">
      <c r="A75" s="569" t="s">
        <v>1357</v>
      </c>
      <c r="B75" s="570" t="s">
        <v>1231</v>
      </c>
      <c r="C75" s="570" t="s">
        <v>1232</v>
      </c>
      <c r="D75" s="570" t="s">
        <v>1247</v>
      </c>
      <c r="E75" s="570" t="s">
        <v>1248</v>
      </c>
      <c r="F75" s="587">
        <v>1</v>
      </c>
      <c r="G75" s="587">
        <v>1522</v>
      </c>
      <c r="H75" s="587">
        <v>0.99542184434270764</v>
      </c>
      <c r="I75" s="587">
        <v>1522</v>
      </c>
      <c r="J75" s="587">
        <v>1</v>
      </c>
      <c r="K75" s="587">
        <v>1529</v>
      </c>
      <c r="L75" s="587">
        <v>1</v>
      </c>
      <c r="M75" s="587">
        <v>1529</v>
      </c>
      <c r="N75" s="587"/>
      <c r="O75" s="587"/>
      <c r="P75" s="575"/>
      <c r="Q75" s="588"/>
    </row>
    <row r="76" spans="1:17" ht="14.45" customHeight="1" x14ac:dyDescent="0.2">
      <c r="A76" s="569" t="s">
        <v>1357</v>
      </c>
      <c r="B76" s="570" t="s">
        <v>1260</v>
      </c>
      <c r="C76" s="570" t="s">
        <v>1232</v>
      </c>
      <c r="D76" s="570" t="s">
        <v>1289</v>
      </c>
      <c r="E76" s="570" t="s">
        <v>1290</v>
      </c>
      <c r="F76" s="587">
        <v>1</v>
      </c>
      <c r="G76" s="587">
        <v>1107</v>
      </c>
      <c r="H76" s="587"/>
      <c r="I76" s="587">
        <v>1107</v>
      </c>
      <c r="J76" s="587"/>
      <c r="K76" s="587"/>
      <c r="L76" s="587"/>
      <c r="M76" s="587"/>
      <c r="N76" s="587"/>
      <c r="O76" s="587"/>
      <c r="P76" s="575"/>
      <c r="Q76" s="588"/>
    </row>
    <row r="77" spans="1:17" ht="14.45" customHeight="1" thickBot="1" x14ac:dyDescent="0.25">
      <c r="A77" s="577" t="s">
        <v>1358</v>
      </c>
      <c r="B77" s="578" t="s">
        <v>1231</v>
      </c>
      <c r="C77" s="578" t="s">
        <v>1232</v>
      </c>
      <c r="D77" s="578" t="s">
        <v>1247</v>
      </c>
      <c r="E77" s="578" t="s">
        <v>1248</v>
      </c>
      <c r="F77" s="589"/>
      <c r="G77" s="589"/>
      <c r="H77" s="589"/>
      <c r="I77" s="589"/>
      <c r="J77" s="589">
        <v>1</v>
      </c>
      <c r="K77" s="589">
        <v>1529</v>
      </c>
      <c r="L77" s="589">
        <v>1</v>
      </c>
      <c r="M77" s="589">
        <v>1529</v>
      </c>
      <c r="N77" s="589"/>
      <c r="O77" s="589"/>
      <c r="P77" s="583"/>
      <c r="Q77" s="590"/>
    </row>
  </sheetData>
  <autoFilter ref="A5:Q5" xr:uid="{00000000-0009-0000-0000-000027000000}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 xr:uid="{27655EAB-FD70-479C-A3BB-645D766B8FC3}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ColWidth="8.85546875" defaultRowHeight="14.45" customHeight="1" outlineLevelCol="1" x14ac:dyDescent="0.2"/>
  <cols>
    <col min="1" max="1" width="34.28515625" style="129" bestFit="1" customWidth="1"/>
    <col min="2" max="2" width="9.5703125" style="129" hidden="1" customWidth="1" outlineLevel="1"/>
    <col min="3" max="3" width="9.5703125" style="129" customWidth="1" collapsed="1"/>
    <col min="4" max="4" width="2.28515625" style="129" customWidth="1"/>
    <col min="5" max="8" width="9.5703125" style="129" customWidth="1"/>
    <col min="9" max="10" width="9.7109375" style="129" hidden="1" customWidth="1" outlineLevel="1"/>
    <col min="11" max="11" width="8.85546875" style="129" collapsed="1"/>
    <col min="12" max="16384" width="8.85546875" style="129"/>
  </cols>
  <sheetData>
    <row r="1" spans="1:10" ht="18.600000000000001" customHeight="1" thickBot="1" x14ac:dyDescent="0.35">
      <c r="A1" s="340" t="s">
        <v>136</v>
      </c>
      <c r="B1" s="340"/>
      <c r="C1" s="340"/>
      <c r="D1" s="340"/>
      <c r="E1" s="340"/>
      <c r="F1" s="340"/>
      <c r="G1" s="340"/>
      <c r="H1" s="340"/>
      <c r="I1" s="340"/>
      <c r="J1" s="340"/>
    </row>
    <row r="2" spans="1:10" ht="14.45" customHeight="1" thickBot="1" x14ac:dyDescent="0.25">
      <c r="A2" s="232" t="s">
        <v>270</v>
      </c>
      <c r="B2" s="111"/>
      <c r="C2" s="111"/>
      <c r="D2" s="111"/>
      <c r="E2" s="111"/>
      <c r="F2" s="111"/>
    </row>
    <row r="3" spans="1:10" ht="14.45" customHeight="1" x14ac:dyDescent="0.2">
      <c r="A3" s="331"/>
      <c r="B3" s="107">
        <v>2018</v>
      </c>
      <c r="C3" s="40">
        <v>2019</v>
      </c>
      <c r="D3" s="7"/>
      <c r="E3" s="335">
        <v>2020</v>
      </c>
      <c r="F3" s="336"/>
      <c r="G3" s="336"/>
      <c r="H3" s="337"/>
      <c r="I3" s="338">
        <v>2017</v>
      </c>
      <c r="J3" s="339"/>
    </row>
    <row r="4" spans="1:10" ht="14.45" customHeight="1" thickBot="1" x14ac:dyDescent="0.25">
      <c r="A4" s="332"/>
      <c r="B4" s="333" t="s">
        <v>72</v>
      </c>
      <c r="C4" s="334"/>
      <c r="D4" s="7"/>
      <c r="E4" s="128" t="s">
        <v>72</v>
      </c>
      <c r="F4" s="109" t="s">
        <v>73</v>
      </c>
      <c r="G4" s="109" t="s">
        <v>67</v>
      </c>
      <c r="H4" s="110" t="s">
        <v>74</v>
      </c>
      <c r="I4" s="268" t="s">
        <v>267</v>
      </c>
      <c r="J4" s="269" t="s">
        <v>268</v>
      </c>
    </row>
    <row r="5" spans="1:10" ht="14.45" customHeight="1" x14ac:dyDescent="0.2">
      <c r="A5" s="112" t="str">
        <f>HYPERLINK("#'Léky Žádanky'!A1","Léky (Kč)")</f>
        <v>Léky (Kč)</v>
      </c>
      <c r="B5" s="27">
        <v>33.463669999999986</v>
      </c>
      <c r="C5" s="29">
        <v>33.28364999999998</v>
      </c>
      <c r="D5" s="8"/>
      <c r="E5" s="117">
        <v>39.566249999999997</v>
      </c>
      <c r="F5" s="28">
        <v>0</v>
      </c>
      <c r="G5" s="116">
        <f>E5-F5</f>
        <v>39.566249999999997</v>
      </c>
      <c r="H5" s="122" t="str">
        <f>IF(F5&lt;0.00000001,"",E5/F5)</f>
        <v/>
      </c>
    </row>
    <row r="6" spans="1:10" ht="14.45" customHeight="1" x14ac:dyDescent="0.2">
      <c r="A6" s="112" t="str">
        <f>HYPERLINK("#'Materiál Žádanky'!A1","Materiál - SZM (Kč)")</f>
        <v>Materiál - SZM (Kč)</v>
      </c>
      <c r="B6" s="10">
        <v>4818.8104000000003</v>
      </c>
      <c r="C6" s="31">
        <v>3428.9647899999995</v>
      </c>
      <c r="D6" s="8"/>
      <c r="E6" s="118">
        <v>5061.5874300000005</v>
      </c>
      <c r="F6" s="30">
        <v>0</v>
      </c>
      <c r="G6" s="119">
        <f>E6-F6</f>
        <v>5061.5874300000005</v>
      </c>
      <c r="H6" s="123" t="str">
        <f>IF(F6&lt;0.00000001,"",E6/F6)</f>
        <v/>
      </c>
    </row>
    <row r="7" spans="1:10" ht="14.45" customHeight="1" x14ac:dyDescent="0.2">
      <c r="A7" s="112" t="str">
        <f>HYPERLINK("#'Osobní náklady'!A1","Osobní náklady (Kč) *")</f>
        <v>Osobní náklady (Kč) *</v>
      </c>
      <c r="B7" s="10">
        <v>21137.790069999999</v>
      </c>
      <c r="C7" s="31">
        <v>22058.038619999999</v>
      </c>
      <c r="D7" s="8"/>
      <c r="E7" s="118">
        <v>25311.505859999997</v>
      </c>
      <c r="F7" s="30">
        <v>0</v>
      </c>
      <c r="G7" s="119">
        <f>E7-F7</f>
        <v>25311.505859999997</v>
      </c>
      <c r="H7" s="123" t="str">
        <f>IF(F7&lt;0.00000001,"",E7/F7)</f>
        <v/>
      </c>
    </row>
    <row r="8" spans="1:10" ht="14.45" customHeight="1" thickBot="1" x14ac:dyDescent="0.25">
      <c r="A8" s="1" t="s">
        <v>75</v>
      </c>
      <c r="B8" s="11">
        <v>3705.1770999999972</v>
      </c>
      <c r="C8" s="33">
        <v>3644.1255799999958</v>
      </c>
      <c r="D8" s="8"/>
      <c r="E8" s="120">
        <v>4287.0092900000118</v>
      </c>
      <c r="F8" s="32">
        <v>0</v>
      </c>
      <c r="G8" s="121">
        <f>E8-F8</f>
        <v>4287.0092900000118</v>
      </c>
      <c r="H8" s="124" t="str">
        <f>IF(F8&lt;0.00000001,"",E8/F8)</f>
        <v/>
      </c>
    </row>
    <row r="9" spans="1:10" ht="14.45" customHeight="1" thickBot="1" x14ac:dyDescent="0.25">
      <c r="A9" s="2" t="s">
        <v>76</v>
      </c>
      <c r="B9" s="3">
        <v>29695.241239999996</v>
      </c>
      <c r="C9" s="35">
        <v>29164.412639999995</v>
      </c>
      <c r="D9" s="8"/>
      <c r="E9" s="3">
        <v>34699.66883000001</v>
      </c>
      <c r="F9" s="34">
        <v>0</v>
      </c>
      <c r="G9" s="34">
        <f>E9-F9</f>
        <v>34699.66883000001</v>
      </c>
      <c r="H9" s="125" t="str">
        <f>IF(F9&lt;0.00000001,"",E9/F9)</f>
        <v/>
      </c>
    </row>
    <row r="10" spans="1:10" ht="14.45" customHeight="1" thickBot="1" x14ac:dyDescent="0.25">
      <c r="A10" s="12"/>
      <c r="B10" s="12"/>
      <c r="C10" s="108"/>
      <c r="D10" s="8"/>
      <c r="E10" s="12"/>
      <c r="F10" s="13"/>
    </row>
    <row r="11" spans="1:10" ht="14.45" customHeight="1" x14ac:dyDescent="0.2">
      <c r="A11" s="132" t="str">
        <f>HYPERLINK("#'ZV Vykáz.-A'!A1","Ambulance *")</f>
        <v>Ambulance *</v>
      </c>
      <c r="B11" s="9">
        <f>IF(ISERROR(VLOOKUP("Celkem:",'ZV Vykáz.-A'!A:H,2,0)),0,VLOOKUP("Celkem:",'ZV Vykáz.-A'!A:H,2,0)/1000)</f>
        <v>40872.590460000007</v>
      </c>
      <c r="C11" s="29">
        <f>IF(ISERROR(VLOOKUP("Celkem:",'ZV Vykáz.-A'!A:H,5,0)),0,VLOOKUP("Celkem:",'ZV Vykáz.-A'!A:H,5,0)/1000)</f>
        <v>43939.259729999998</v>
      </c>
      <c r="D11" s="8"/>
      <c r="E11" s="117">
        <f>IF(ISERROR(VLOOKUP("Celkem:",'ZV Vykáz.-A'!A:H,8,0)),0,VLOOKUP("Celkem:",'ZV Vykáz.-A'!A:H,8,0)/1000)</f>
        <v>49592.384149999991</v>
      </c>
      <c r="F11" s="28">
        <f>C11</f>
        <v>43939.259729999998</v>
      </c>
      <c r="G11" s="116">
        <f>E11-F11</f>
        <v>5653.1244199999928</v>
      </c>
      <c r="H11" s="122">
        <f>IF(F11&lt;0.00000001,"",E11/F11)</f>
        <v>1.12865770736097</v>
      </c>
      <c r="I11" s="116">
        <f>E11-B11</f>
        <v>8719.7936899999841</v>
      </c>
      <c r="J11" s="122">
        <f>IF(B11&lt;0.00000001,"",E11/B11)</f>
        <v>1.2133408622224133</v>
      </c>
    </row>
    <row r="12" spans="1:10" ht="14.45" customHeight="1" thickBot="1" x14ac:dyDescent="0.25">
      <c r="A12" s="133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0">
        <f>IF(ISERROR(VLOOKUP("Celkem",#REF!,4,0)),0,VLOOKUP("Celkem",#REF!,4,0)*30)</f>
        <v>0</v>
      </c>
      <c r="F12" s="32">
        <f>C12</f>
        <v>0</v>
      </c>
      <c r="G12" s="121">
        <f>E12-F12</f>
        <v>0</v>
      </c>
      <c r="H12" s="124" t="str">
        <f>IF(F12&lt;0.00000001,"",E12/F12)</f>
        <v/>
      </c>
      <c r="I12" s="121">
        <f>E12-B12</f>
        <v>0</v>
      </c>
      <c r="J12" s="124" t="str">
        <f>IF(B12&lt;0.00000001,"",E12/B12)</f>
        <v/>
      </c>
    </row>
    <row r="13" spans="1:10" ht="14.45" customHeight="1" thickBot="1" x14ac:dyDescent="0.25">
      <c r="A13" s="4" t="s">
        <v>79</v>
      </c>
      <c r="B13" s="5">
        <f>SUM(B11:B12)</f>
        <v>40872.590460000007</v>
      </c>
      <c r="C13" s="37">
        <f>SUM(C11:C12)</f>
        <v>43939.259729999998</v>
      </c>
      <c r="D13" s="8"/>
      <c r="E13" s="5">
        <f>SUM(E11:E12)</f>
        <v>49592.384149999991</v>
      </c>
      <c r="F13" s="36">
        <f>SUM(F11:F12)</f>
        <v>43939.259729999998</v>
      </c>
      <c r="G13" s="36">
        <f>E13-F13</f>
        <v>5653.1244199999928</v>
      </c>
      <c r="H13" s="126">
        <f>IF(F13&lt;0.00000001,"",E13/F13)</f>
        <v>1.12865770736097</v>
      </c>
      <c r="I13" s="36">
        <f>SUM(I11:I12)</f>
        <v>8719.7936899999841</v>
      </c>
      <c r="J13" s="126">
        <f>IF(B13&lt;0.00000001,"",E13/B13)</f>
        <v>1.2133408622224133</v>
      </c>
    </row>
    <row r="14" spans="1:10" ht="14.45" customHeight="1" thickBot="1" x14ac:dyDescent="0.25">
      <c r="A14" s="12"/>
      <c r="B14" s="12"/>
      <c r="C14" s="108"/>
      <c r="D14" s="8"/>
      <c r="E14" s="12"/>
      <c r="F14" s="13"/>
    </row>
    <row r="15" spans="1:10" ht="14.45" customHeight="1" thickBot="1" x14ac:dyDescent="0.25">
      <c r="A15" s="134" t="str">
        <f>HYPERLINK("#'HI Graf'!A1","Hospodářský index (Výnosy / Náklady) *")</f>
        <v>Hospodářský index (Výnosy / Náklady) *</v>
      </c>
      <c r="B15" s="6">
        <f>IF(B9=0,"",B13/B9)</f>
        <v>1.3764020345773089</v>
      </c>
      <c r="C15" s="39">
        <f>IF(C9=0,"",C13/C9)</f>
        <v>1.5066053368664725</v>
      </c>
      <c r="D15" s="8"/>
      <c r="E15" s="6">
        <f>IF(E9=0,"",E13/E9)</f>
        <v>1.4291889756343814</v>
      </c>
      <c r="F15" s="38" t="str">
        <f>IF(F9=0,"",F13/F9)</f>
        <v/>
      </c>
      <c r="G15" s="38" t="str">
        <f>IF(ISERROR(F15-E15),"",E15-F15)</f>
        <v/>
      </c>
      <c r="H15" s="127" t="str">
        <f>IF(ISERROR(F15-E15),"",IF(F15&lt;0.00000001,"",E15/F15))</f>
        <v/>
      </c>
    </row>
    <row r="17" spans="1:8" ht="14.45" customHeight="1" x14ac:dyDescent="0.2">
      <c r="A17" s="113" t="s">
        <v>160</v>
      </c>
    </row>
    <row r="18" spans="1:8" ht="14.45" customHeight="1" x14ac:dyDescent="0.25">
      <c r="A18" s="235" t="s">
        <v>188</v>
      </c>
      <c r="B18" s="236"/>
      <c r="C18" s="236"/>
      <c r="D18" s="236"/>
      <c r="E18" s="236"/>
      <c r="F18" s="236"/>
      <c r="G18" s="236"/>
      <c r="H18" s="236"/>
    </row>
    <row r="19" spans="1:8" ht="15" x14ac:dyDescent="0.25">
      <c r="A19" s="234" t="s">
        <v>187</v>
      </c>
      <c r="B19" s="236"/>
      <c r="C19" s="236"/>
      <c r="D19" s="236"/>
      <c r="E19" s="236"/>
      <c r="F19" s="236"/>
      <c r="G19" s="236"/>
      <c r="H19" s="236"/>
    </row>
    <row r="20" spans="1:8" ht="14.45" customHeight="1" x14ac:dyDescent="0.2">
      <c r="A20" s="114" t="s">
        <v>207</v>
      </c>
    </row>
    <row r="21" spans="1:8" ht="14.45" customHeight="1" x14ac:dyDescent="0.2">
      <c r="A21" s="114" t="s">
        <v>161</v>
      </c>
    </row>
    <row r="22" spans="1:8" ht="14.45" customHeight="1" x14ac:dyDescent="0.2">
      <c r="A22" s="115" t="s">
        <v>246</v>
      </c>
    </row>
    <row r="23" spans="1:8" ht="14.45" customHeight="1" x14ac:dyDescent="0.2">
      <c r="A23" s="115" t="s">
        <v>162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4" priority="8" operator="greaterThan">
      <formula>0</formula>
    </cfRule>
  </conditionalFormatting>
  <conditionalFormatting sqref="G11:G13 G15">
    <cfRule type="cellIs" dxfId="63" priority="7" operator="lessThan">
      <formula>0</formula>
    </cfRule>
  </conditionalFormatting>
  <conditionalFormatting sqref="H5:H9">
    <cfRule type="cellIs" dxfId="62" priority="6" operator="greaterThan">
      <formula>1</formula>
    </cfRule>
  </conditionalFormatting>
  <conditionalFormatting sqref="H11:H13 H15">
    <cfRule type="cellIs" dxfId="61" priority="5" operator="lessThan">
      <formula>1</formula>
    </cfRule>
  </conditionalFormatting>
  <conditionalFormatting sqref="I11:I13">
    <cfRule type="cellIs" dxfId="60" priority="4" operator="lessThan">
      <formula>0</formula>
    </cfRule>
  </conditionalFormatting>
  <conditionalFormatting sqref="J11:J13">
    <cfRule type="cellIs" dxfId="59" priority="3" operator="lessThan">
      <formula>1</formula>
    </cfRule>
  </conditionalFormatting>
  <hyperlinks>
    <hyperlink ref="A2" location="Obsah!A1" display="Zpět na Obsah  KL 01  1.-4.měsíc" xr:uid="{F1F0CA04-5B3D-4E1F-9603-3E5758C9A67C}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ColWidth="8.85546875" defaultRowHeight="14.45" customHeight="1" x14ac:dyDescent="0.2"/>
  <cols>
    <col min="1" max="1" width="8.85546875" style="129"/>
    <col min="2" max="13" width="8.85546875" style="129" customWidth="1"/>
    <col min="14" max="16384" width="8.85546875" style="129"/>
  </cols>
  <sheetData>
    <row r="1" spans="1:13" ht="18.600000000000001" customHeight="1" thickBot="1" x14ac:dyDescent="0.35">
      <c r="A1" s="329" t="s">
        <v>103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13" ht="14.45" customHeight="1" x14ac:dyDescent="0.2">
      <c r="A2" s="232" t="s">
        <v>270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14.45" customHeight="1" x14ac:dyDescent="0.2">
      <c r="A3" s="198"/>
      <c r="B3" s="199" t="s">
        <v>81</v>
      </c>
      <c r="C3" s="200" t="s">
        <v>82</v>
      </c>
      <c r="D3" s="200" t="s">
        <v>83</v>
      </c>
      <c r="E3" s="199" t="s">
        <v>84</v>
      </c>
      <c r="F3" s="200" t="s">
        <v>85</v>
      </c>
      <c r="G3" s="200" t="s">
        <v>86</v>
      </c>
      <c r="H3" s="200" t="s">
        <v>87</v>
      </c>
      <c r="I3" s="200" t="s">
        <v>88</v>
      </c>
      <c r="J3" s="200" t="s">
        <v>89</v>
      </c>
      <c r="K3" s="200" t="s">
        <v>90</v>
      </c>
      <c r="L3" s="200" t="s">
        <v>91</v>
      </c>
      <c r="M3" s="200" t="s">
        <v>92</v>
      </c>
    </row>
    <row r="4" spans="1:13" ht="14.45" customHeight="1" x14ac:dyDescent="0.2">
      <c r="A4" s="198" t="s">
        <v>80</v>
      </c>
      <c r="B4" s="201">
        <f>(B10+B8)/B6</f>
        <v>1.6092670162405098</v>
      </c>
      <c r="C4" s="201">
        <f t="shared" ref="C4:M4" si="0">(C10+C8)/C6</f>
        <v>1.7966747875214439</v>
      </c>
      <c r="D4" s="201">
        <f t="shared" si="0"/>
        <v>1.7303414998271487</v>
      </c>
      <c r="E4" s="201">
        <f t="shared" si="0"/>
        <v>1.8250443566122403</v>
      </c>
      <c r="F4" s="201">
        <f t="shared" si="0"/>
        <v>1.8646230399193009</v>
      </c>
      <c r="G4" s="201">
        <f t="shared" si="0"/>
        <v>1.9478472146918484</v>
      </c>
      <c r="H4" s="201">
        <f t="shared" si="0"/>
        <v>1.8502532701728582</v>
      </c>
      <c r="I4" s="201">
        <f t="shared" si="0"/>
        <v>1.7776296263205733</v>
      </c>
      <c r="J4" s="201">
        <f t="shared" si="0"/>
        <v>1.7405646207747691</v>
      </c>
      <c r="K4" s="201">
        <f t="shared" si="0"/>
        <v>1.6186321466526303</v>
      </c>
      <c r="L4" s="201">
        <f t="shared" si="0"/>
        <v>1.5825080634921145</v>
      </c>
      <c r="M4" s="201">
        <f t="shared" si="0"/>
        <v>1.4291889813981258</v>
      </c>
    </row>
    <row r="5" spans="1:13" ht="14.45" customHeight="1" x14ac:dyDescent="0.2">
      <c r="A5" s="202" t="s">
        <v>53</v>
      </c>
      <c r="B5" s="201">
        <f>IF(ISERROR(VLOOKUP($A5,'Man Tab'!$A:$Q,COLUMN()+2,0)),0,VLOOKUP($A5,'Man Tab'!$A:$Q,COLUMN()+2,0))</f>
        <v>2334.7665999999999</v>
      </c>
      <c r="C5" s="201">
        <f>IF(ISERROR(VLOOKUP($A5,'Man Tab'!$A:$Q,COLUMN()+2,0)),0,VLOOKUP($A5,'Man Tab'!$A:$Q,COLUMN()+2,0))</f>
        <v>2220.0412799999999</v>
      </c>
      <c r="D5" s="201">
        <f>IF(ISERROR(VLOOKUP($A5,'Man Tab'!$A:$Q,COLUMN()+2,0)),0,VLOOKUP($A5,'Man Tab'!$A:$Q,COLUMN()+2,0))</f>
        <v>2856.2061200000003</v>
      </c>
      <c r="E5" s="201">
        <f>IF(ISERROR(VLOOKUP($A5,'Man Tab'!$A:$Q,COLUMN()+2,0)),0,VLOOKUP($A5,'Man Tab'!$A:$Q,COLUMN()+2,0))</f>
        <v>2446.5523900000003</v>
      </c>
      <c r="F5" s="201">
        <f>IF(ISERROR(VLOOKUP($A5,'Man Tab'!$A:$Q,COLUMN()+2,0)),0,VLOOKUP($A5,'Man Tab'!$A:$Q,COLUMN()+2,0))</f>
        <v>2355.5366300000001</v>
      </c>
      <c r="G5" s="201">
        <f>IF(ISERROR(VLOOKUP($A5,'Man Tab'!$A:$Q,COLUMN()+2,0)),0,VLOOKUP($A5,'Man Tab'!$A:$Q,COLUMN()+2,0))</f>
        <v>2287.4325800000001</v>
      </c>
      <c r="H5" s="201">
        <f>IF(ISERROR(VLOOKUP($A5,'Man Tab'!$A:$Q,COLUMN()+2,0)),0,VLOOKUP($A5,'Man Tab'!$A:$Q,COLUMN()+2,0))</f>
        <v>3467.7271000000001</v>
      </c>
      <c r="I5" s="201">
        <f>IF(ISERROR(VLOOKUP($A5,'Man Tab'!$A:$Q,COLUMN()+2,0)),0,VLOOKUP($A5,'Man Tab'!$A:$Q,COLUMN()+2,0))</f>
        <v>2492.7577799999999</v>
      </c>
      <c r="J5" s="201">
        <f>IF(ISERROR(VLOOKUP($A5,'Man Tab'!$A:$Q,COLUMN()+2,0)),0,VLOOKUP($A5,'Man Tab'!$A:$Q,COLUMN()+2,0))</f>
        <v>2338.0371800000003</v>
      </c>
      <c r="K5" s="201">
        <f>IF(ISERROR(VLOOKUP($A5,'Man Tab'!$A:$Q,COLUMN()+2,0)),0,VLOOKUP($A5,'Man Tab'!$A:$Q,COLUMN()+2,0))</f>
        <v>4665.06945</v>
      </c>
      <c r="L5" s="201">
        <f>IF(ISERROR(VLOOKUP($A5,'Man Tab'!$A:$Q,COLUMN()+2,0)),0,VLOOKUP($A5,'Man Tab'!$A:$Q,COLUMN()+2,0))</f>
        <v>3873.7127999999998</v>
      </c>
      <c r="M5" s="201">
        <f>IF(ISERROR(VLOOKUP($A5,'Man Tab'!$A:$Q,COLUMN()+2,0)),0,VLOOKUP($A5,'Man Tab'!$A:$Q,COLUMN()+2,0))</f>
        <v>3361.8289199999999</v>
      </c>
    </row>
    <row r="6" spans="1:13" ht="14.45" customHeight="1" x14ac:dyDescent="0.2">
      <c r="A6" s="202" t="s">
        <v>76</v>
      </c>
      <c r="B6" s="203">
        <f>B5</f>
        <v>2334.7665999999999</v>
      </c>
      <c r="C6" s="203">
        <f t="shared" ref="C6:M6" si="1">C5+B6</f>
        <v>4554.8078800000003</v>
      </c>
      <c r="D6" s="203">
        <f t="shared" si="1"/>
        <v>7411.014000000001</v>
      </c>
      <c r="E6" s="203">
        <f t="shared" si="1"/>
        <v>9857.5663900000018</v>
      </c>
      <c r="F6" s="203">
        <f t="shared" si="1"/>
        <v>12213.103020000002</v>
      </c>
      <c r="G6" s="203">
        <f t="shared" si="1"/>
        <v>14500.535600000003</v>
      </c>
      <c r="H6" s="203">
        <f t="shared" si="1"/>
        <v>17968.262700000003</v>
      </c>
      <c r="I6" s="203">
        <f t="shared" si="1"/>
        <v>20461.020480000003</v>
      </c>
      <c r="J6" s="203">
        <f t="shared" si="1"/>
        <v>22799.057660000002</v>
      </c>
      <c r="K6" s="203">
        <f t="shared" si="1"/>
        <v>27464.127110000001</v>
      </c>
      <c r="L6" s="203">
        <f t="shared" si="1"/>
        <v>31337.839910000002</v>
      </c>
      <c r="M6" s="203">
        <f t="shared" si="1"/>
        <v>34699.668830000002</v>
      </c>
    </row>
    <row r="7" spans="1:13" ht="14.45" customHeight="1" x14ac:dyDescent="0.2">
      <c r="A7" s="202" t="s">
        <v>101</v>
      </c>
      <c r="B7" s="202"/>
      <c r="C7" s="202"/>
      <c r="D7" s="202"/>
      <c r="E7" s="202"/>
      <c r="F7" s="202"/>
      <c r="G7" s="202"/>
      <c r="H7" s="202"/>
      <c r="I7" s="202"/>
      <c r="J7" s="202"/>
      <c r="K7" s="202"/>
      <c r="L7" s="202"/>
      <c r="M7" s="202"/>
    </row>
    <row r="8" spans="1:13" ht="14.45" customHeight="1" x14ac:dyDescent="0.2">
      <c r="A8" s="202" t="s">
        <v>77</v>
      </c>
      <c r="B8" s="203">
        <f>B7*30</f>
        <v>0</v>
      </c>
      <c r="C8" s="203">
        <f t="shared" ref="C8:M8" si="2">C7*30</f>
        <v>0</v>
      </c>
      <c r="D8" s="203">
        <f t="shared" si="2"/>
        <v>0</v>
      </c>
      <c r="E8" s="203">
        <f t="shared" si="2"/>
        <v>0</v>
      </c>
      <c r="F8" s="203">
        <f t="shared" si="2"/>
        <v>0</v>
      </c>
      <c r="G8" s="203">
        <f t="shared" si="2"/>
        <v>0</v>
      </c>
      <c r="H8" s="203">
        <f t="shared" si="2"/>
        <v>0</v>
      </c>
      <c r="I8" s="203">
        <f t="shared" si="2"/>
        <v>0</v>
      </c>
      <c r="J8" s="203">
        <f t="shared" si="2"/>
        <v>0</v>
      </c>
      <c r="K8" s="203">
        <f t="shared" si="2"/>
        <v>0</v>
      </c>
      <c r="L8" s="203">
        <f t="shared" si="2"/>
        <v>0</v>
      </c>
      <c r="M8" s="203">
        <f t="shared" si="2"/>
        <v>0</v>
      </c>
    </row>
    <row r="9" spans="1:13" ht="14.45" customHeight="1" x14ac:dyDescent="0.2">
      <c r="A9" s="202" t="s">
        <v>102</v>
      </c>
      <c r="B9" s="202">
        <v>3757262.88</v>
      </c>
      <c r="C9" s="202">
        <v>4426245.5999999996</v>
      </c>
      <c r="D9" s="202">
        <v>4640076.6000000006</v>
      </c>
      <c r="E9" s="202">
        <v>5166910.83</v>
      </c>
      <c r="F9" s="202">
        <v>4782337.370000001</v>
      </c>
      <c r="G9" s="202">
        <v>5471994.5999999987</v>
      </c>
      <c r="H9" s="202">
        <v>5001008.9400000013</v>
      </c>
      <c r="I9" s="202">
        <v>3126279.3700000006</v>
      </c>
      <c r="J9" s="202">
        <v>3311116.96</v>
      </c>
      <c r="K9" s="202">
        <v>4771085.87</v>
      </c>
      <c r="L9" s="202">
        <v>5138065.33</v>
      </c>
      <c r="M9" s="202">
        <v>0</v>
      </c>
    </row>
    <row r="10" spans="1:13" ht="14.45" customHeight="1" x14ac:dyDescent="0.2">
      <c r="A10" s="202" t="s">
        <v>78</v>
      </c>
      <c r="B10" s="203">
        <f>B9/1000</f>
        <v>3757.2628799999998</v>
      </c>
      <c r="C10" s="203">
        <f t="shared" ref="C10:M10" si="3">C9/1000+B10</f>
        <v>8183.5084799999986</v>
      </c>
      <c r="D10" s="203">
        <f t="shared" si="3"/>
        <v>12823.585079999999</v>
      </c>
      <c r="E10" s="203">
        <f t="shared" si="3"/>
        <v>17990.495909999998</v>
      </c>
      <c r="F10" s="203">
        <f t="shared" si="3"/>
        <v>22772.833279999999</v>
      </c>
      <c r="G10" s="203">
        <f t="shared" si="3"/>
        <v>28244.827879999997</v>
      </c>
      <c r="H10" s="203">
        <f t="shared" si="3"/>
        <v>33245.836819999997</v>
      </c>
      <c r="I10" s="203">
        <f t="shared" si="3"/>
        <v>36372.116190000001</v>
      </c>
      <c r="J10" s="203">
        <f t="shared" si="3"/>
        <v>39683.23315</v>
      </c>
      <c r="K10" s="203">
        <f t="shared" si="3"/>
        <v>44454.319020000003</v>
      </c>
      <c r="L10" s="203">
        <f t="shared" si="3"/>
        <v>49592.38435</v>
      </c>
      <c r="M10" s="203">
        <f t="shared" si="3"/>
        <v>49592.38435</v>
      </c>
    </row>
    <row r="11" spans="1:13" ht="14.45" customHeight="1" x14ac:dyDescent="0.2">
      <c r="A11" s="198"/>
      <c r="B11" s="198" t="s">
        <v>93</v>
      </c>
      <c r="C11" s="198">
        <f ca="1">IF(MONTH(TODAY())=1,12,MONTH(TODAY())-1)</f>
        <v>1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</row>
    <row r="12" spans="1:13" ht="14.45" customHeight="1" x14ac:dyDescent="0.2">
      <c r="A12" s="198">
        <v>0</v>
      </c>
      <c r="B12" s="201" t="str">
        <f>IF(ISERROR(HI!F15),#REF!,HI!F15)</f>
        <v/>
      </c>
      <c r="C12" s="198"/>
      <c r="D12" s="198"/>
      <c r="E12" s="198"/>
      <c r="F12" s="198"/>
      <c r="G12" s="198"/>
      <c r="H12" s="198"/>
      <c r="I12" s="198"/>
      <c r="J12" s="198"/>
      <c r="K12" s="198"/>
      <c r="L12" s="198"/>
      <c r="M12" s="198"/>
    </row>
    <row r="13" spans="1:13" ht="14.45" customHeight="1" x14ac:dyDescent="0.2">
      <c r="A13" s="198">
        <v>1</v>
      </c>
      <c r="B13" s="201" t="str">
        <f>IF(ISERROR(HI!F15),#REF!,HI!F15)</f>
        <v/>
      </c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</row>
  </sheetData>
  <mergeCells count="1">
    <mergeCell ref="A1:M1"/>
  </mergeCells>
  <hyperlinks>
    <hyperlink ref="A2" location="Obsah!A1" display="Zpět na Obsah  KL 01  1.-4.měsíc" xr:uid="{AC9D92BD-B511-47C0-89BB-590FCDE0F77E}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ColWidth="8.85546875" defaultRowHeight="14.45" customHeight="1" x14ac:dyDescent="0.2"/>
  <cols>
    <col min="1" max="1" width="42" style="129" bestFit="1" customWidth="1"/>
    <col min="2" max="2" width="12.7109375" style="129" bestFit="1" customWidth="1"/>
    <col min="3" max="3" width="13.7109375" style="129" bestFit="1" customWidth="1"/>
    <col min="4" max="15" width="7.7109375" style="129" bestFit="1" customWidth="1"/>
    <col min="16" max="16" width="8.85546875" style="129" customWidth="1"/>
    <col min="17" max="17" width="6.7109375" style="129" bestFit="1" customWidth="1"/>
    <col min="18" max="16384" width="8.85546875" style="129"/>
  </cols>
  <sheetData>
    <row r="1" spans="1:17" s="204" customFormat="1" ht="18.600000000000001" customHeight="1" thickBot="1" x14ac:dyDescent="0.35">
      <c r="A1" s="341" t="s">
        <v>272</v>
      </c>
      <c r="B1" s="341"/>
      <c r="C1" s="341"/>
      <c r="D1" s="341"/>
      <c r="E1" s="341"/>
      <c r="F1" s="341"/>
      <c r="G1" s="341"/>
      <c r="H1" s="329"/>
      <c r="I1" s="329"/>
      <c r="J1" s="329"/>
      <c r="K1" s="329"/>
      <c r="L1" s="329"/>
      <c r="M1" s="329"/>
      <c r="N1" s="329"/>
      <c r="O1" s="329"/>
      <c r="P1" s="329"/>
      <c r="Q1" s="329"/>
    </row>
    <row r="2" spans="1:17" s="204" customFormat="1" ht="14.45" customHeight="1" thickBot="1" x14ac:dyDescent="0.25">
      <c r="A2" s="232" t="s">
        <v>270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</row>
    <row r="3" spans="1:17" ht="14.45" customHeight="1" x14ac:dyDescent="0.2">
      <c r="A3" s="76"/>
      <c r="B3" s="342" t="s">
        <v>29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137"/>
      <c r="Q3" s="139"/>
    </row>
    <row r="4" spans="1:17" ht="14.45" customHeight="1" x14ac:dyDescent="0.2">
      <c r="A4" s="77"/>
      <c r="B4" s="20">
        <v>2020</v>
      </c>
      <c r="C4" s="138" t="s">
        <v>30</v>
      </c>
      <c r="D4" s="262" t="s">
        <v>247</v>
      </c>
      <c r="E4" s="262" t="s">
        <v>248</v>
      </c>
      <c r="F4" s="262" t="s">
        <v>249</v>
      </c>
      <c r="G4" s="262" t="s">
        <v>250</v>
      </c>
      <c r="H4" s="262" t="s">
        <v>251</v>
      </c>
      <c r="I4" s="262" t="s">
        <v>252</v>
      </c>
      <c r="J4" s="262" t="s">
        <v>253</v>
      </c>
      <c r="K4" s="262" t="s">
        <v>254</v>
      </c>
      <c r="L4" s="262" t="s">
        <v>255</v>
      </c>
      <c r="M4" s="262" t="s">
        <v>256</v>
      </c>
      <c r="N4" s="262" t="s">
        <v>257</v>
      </c>
      <c r="O4" s="262" t="s">
        <v>258</v>
      </c>
      <c r="P4" s="344" t="s">
        <v>3</v>
      </c>
      <c r="Q4" s="345"/>
    </row>
    <row r="5" spans="1:17" ht="14.45" customHeight="1" thickBot="1" x14ac:dyDescent="0.25">
      <c r="A5" s="78"/>
      <c r="B5" s="21" t="s">
        <v>31</v>
      </c>
      <c r="C5" s="22" t="s">
        <v>31</v>
      </c>
      <c r="D5" s="22" t="s">
        <v>32</v>
      </c>
      <c r="E5" s="22" t="s">
        <v>32</v>
      </c>
      <c r="F5" s="22" t="s">
        <v>32</v>
      </c>
      <c r="G5" s="22" t="s">
        <v>32</v>
      </c>
      <c r="H5" s="22" t="s">
        <v>32</v>
      </c>
      <c r="I5" s="22" t="s">
        <v>32</v>
      </c>
      <c r="J5" s="22" t="s">
        <v>32</v>
      </c>
      <c r="K5" s="22" t="s">
        <v>32</v>
      </c>
      <c r="L5" s="22" t="s">
        <v>32</v>
      </c>
      <c r="M5" s="22" t="s">
        <v>32</v>
      </c>
      <c r="N5" s="22" t="s">
        <v>32</v>
      </c>
      <c r="O5" s="22" t="s">
        <v>32</v>
      </c>
      <c r="P5" s="22" t="s">
        <v>32</v>
      </c>
      <c r="Q5" s="23" t="s">
        <v>33</v>
      </c>
    </row>
    <row r="6" spans="1:17" ht="14.45" customHeight="1" x14ac:dyDescent="0.2">
      <c r="A6" s="14" t="s">
        <v>34</v>
      </c>
      <c r="B6" s="48">
        <v>0</v>
      </c>
      <c r="C6" s="49">
        <v>0</v>
      </c>
      <c r="D6" s="49">
        <v>0</v>
      </c>
      <c r="E6" s="49">
        <v>0</v>
      </c>
      <c r="F6" s="49">
        <v>0</v>
      </c>
      <c r="G6" s="49">
        <v>0</v>
      </c>
      <c r="H6" s="49">
        <v>0</v>
      </c>
      <c r="I6" s="49">
        <v>0</v>
      </c>
      <c r="J6" s="49">
        <v>0</v>
      </c>
      <c r="K6" s="49">
        <v>0</v>
      </c>
      <c r="L6" s="49">
        <v>0</v>
      </c>
      <c r="M6" s="49">
        <v>0</v>
      </c>
      <c r="N6" s="49">
        <v>0</v>
      </c>
      <c r="O6" s="49">
        <v>0</v>
      </c>
      <c r="P6" s="50">
        <v>0</v>
      </c>
      <c r="Q6" s="94" t="s">
        <v>271</v>
      </c>
    </row>
    <row r="7" spans="1:17" ht="14.45" customHeight="1" x14ac:dyDescent="0.2">
      <c r="A7" s="15" t="s">
        <v>35</v>
      </c>
      <c r="B7" s="51">
        <v>40.000000200000002</v>
      </c>
      <c r="C7" s="52">
        <v>3.3333333500000002</v>
      </c>
      <c r="D7" s="52">
        <v>2.8818899999999998</v>
      </c>
      <c r="E7" s="52">
        <v>1.9755400000000001</v>
      </c>
      <c r="F7" s="52">
        <v>3.0317800000000004</v>
      </c>
      <c r="G7" s="52">
        <v>3.6056399999999997</v>
      </c>
      <c r="H7" s="52">
        <v>2.9195300000000004</v>
      </c>
      <c r="I7" s="52">
        <v>3.5720300000000003</v>
      </c>
      <c r="J7" s="52">
        <v>2.46902</v>
      </c>
      <c r="K7" s="52">
        <v>1.4635499999999999</v>
      </c>
      <c r="L7" s="52">
        <v>3.1509099999999997</v>
      </c>
      <c r="M7" s="52">
        <v>2.66832</v>
      </c>
      <c r="N7" s="52">
        <v>3.1299800000000002</v>
      </c>
      <c r="O7" s="52">
        <v>8.6980599999999999</v>
      </c>
      <c r="P7" s="53">
        <v>39.566250000000004</v>
      </c>
      <c r="Q7" s="95">
        <v>0.98915624505421884</v>
      </c>
    </row>
    <row r="8" spans="1:17" ht="14.45" customHeight="1" x14ac:dyDescent="0.2">
      <c r="A8" s="15" t="s">
        <v>36</v>
      </c>
      <c r="B8" s="51">
        <v>0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53">
        <v>0</v>
      </c>
      <c r="Q8" s="95" t="s">
        <v>271</v>
      </c>
    </row>
    <row r="9" spans="1:17" ht="14.45" customHeight="1" x14ac:dyDescent="0.2">
      <c r="A9" s="15" t="s">
        <v>37</v>
      </c>
      <c r="B9" s="51">
        <v>4500.0000003000005</v>
      </c>
      <c r="C9" s="52">
        <v>375.00000002500002</v>
      </c>
      <c r="D9" s="52">
        <v>176.04035000000002</v>
      </c>
      <c r="E9" s="52">
        <v>251.15009000000001</v>
      </c>
      <c r="F9" s="52">
        <v>905.85540000000003</v>
      </c>
      <c r="G9" s="52">
        <v>576.38118000000009</v>
      </c>
      <c r="H9" s="52">
        <v>433.39042000000001</v>
      </c>
      <c r="I9" s="52">
        <v>288.64425</v>
      </c>
      <c r="J9" s="52">
        <v>331.85921999999999</v>
      </c>
      <c r="K9" s="52">
        <v>464.53396000000004</v>
      </c>
      <c r="L9" s="52">
        <v>214.16670000000002</v>
      </c>
      <c r="M9" s="52">
        <v>435.10165000000001</v>
      </c>
      <c r="N9" s="52">
        <v>455.86286000000001</v>
      </c>
      <c r="O9" s="52">
        <v>528.60135000000002</v>
      </c>
      <c r="P9" s="53">
        <v>5061.5874300000005</v>
      </c>
      <c r="Q9" s="95">
        <v>1.1247972065916803</v>
      </c>
    </row>
    <row r="10" spans="1:17" ht="14.45" customHeight="1" x14ac:dyDescent="0.2">
      <c r="A10" s="15" t="s">
        <v>38</v>
      </c>
      <c r="B10" s="51">
        <v>0</v>
      </c>
      <c r="C10" s="52">
        <v>0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53">
        <v>0</v>
      </c>
      <c r="Q10" s="95" t="s">
        <v>271</v>
      </c>
    </row>
    <row r="11" spans="1:17" ht="14.45" customHeight="1" x14ac:dyDescent="0.2">
      <c r="A11" s="15" t="s">
        <v>39</v>
      </c>
      <c r="B11" s="51">
        <v>104.834266</v>
      </c>
      <c r="C11" s="52">
        <v>8.7361888333333333</v>
      </c>
      <c r="D11" s="52">
        <v>10.745430000000001</v>
      </c>
      <c r="E11" s="52">
        <v>6.4000200000000005</v>
      </c>
      <c r="F11" s="52">
        <v>11.27936</v>
      </c>
      <c r="G11" s="52">
        <v>4.9037299999999995</v>
      </c>
      <c r="H11" s="52">
        <v>14.95421</v>
      </c>
      <c r="I11" s="52">
        <v>16.742560000000001</v>
      </c>
      <c r="J11" s="52">
        <v>5.6719499999999998</v>
      </c>
      <c r="K11" s="52">
        <v>12.47465</v>
      </c>
      <c r="L11" s="52">
        <v>5.4571800000000001</v>
      </c>
      <c r="M11" s="52">
        <v>10.814920000000001</v>
      </c>
      <c r="N11" s="52">
        <v>-11.44642</v>
      </c>
      <c r="O11" s="52">
        <v>11.728389999999999</v>
      </c>
      <c r="P11" s="53">
        <v>99.725979999999993</v>
      </c>
      <c r="Q11" s="95">
        <v>0.95127274511560933</v>
      </c>
    </row>
    <row r="12" spans="1:17" ht="14.45" customHeight="1" x14ac:dyDescent="0.2">
      <c r="A12" s="15" t="s">
        <v>40</v>
      </c>
      <c r="B12" s="51">
        <v>3.7090378999999998</v>
      </c>
      <c r="C12" s="52">
        <v>0.30908649166666663</v>
      </c>
      <c r="D12" s="52">
        <v>0.35117999999999999</v>
      </c>
      <c r="E12" s="52">
        <v>3.3999999999999998E-3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0.62009999999999998</v>
      </c>
      <c r="L12" s="52">
        <v>1.26078</v>
      </c>
      <c r="M12" s="52">
        <v>0</v>
      </c>
      <c r="N12" s="52">
        <v>0</v>
      </c>
      <c r="O12" s="52">
        <v>3.5000000000000003E-2</v>
      </c>
      <c r="P12" s="53">
        <v>2.2704599999999999</v>
      </c>
      <c r="Q12" s="95">
        <v>0.61214257206700429</v>
      </c>
    </row>
    <row r="13" spans="1:17" ht="14.45" customHeight="1" x14ac:dyDescent="0.2">
      <c r="A13" s="15" t="s">
        <v>41</v>
      </c>
      <c r="B13" s="51">
        <v>3.9999998999999997</v>
      </c>
      <c r="C13" s="52">
        <v>0.33333332499999996</v>
      </c>
      <c r="D13" s="52">
        <v>0.25381999999999999</v>
      </c>
      <c r="E13" s="52">
        <v>1.51725</v>
      </c>
      <c r="F13" s="52">
        <v>3.42761</v>
      </c>
      <c r="G13" s="52">
        <v>30.11919</v>
      </c>
      <c r="H13" s="52">
        <v>8.2683600000000013</v>
      </c>
      <c r="I13" s="52">
        <v>2.4581200000000001</v>
      </c>
      <c r="J13" s="52">
        <v>0</v>
      </c>
      <c r="K13" s="52">
        <v>5.3823699999999999</v>
      </c>
      <c r="L13" s="52">
        <v>8.3020899999999997</v>
      </c>
      <c r="M13" s="52">
        <v>6.4815200000000006</v>
      </c>
      <c r="N13" s="52">
        <v>12.53252</v>
      </c>
      <c r="O13" s="52">
        <v>7.9911000000000003</v>
      </c>
      <c r="P13" s="53">
        <v>86.733950000000007</v>
      </c>
      <c r="Q13" s="95">
        <v>21.683488042087205</v>
      </c>
    </row>
    <row r="14" spans="1:17" ht="14.45" customHeight="1" x14ac:dyDescent="0.2">
      <c r="A14" s="15" t="s">
        <v>42</v>
      </c>
      <c r="B14" s="51">
        <v>184.74593489999998</v>
      </c>
      <c r="C14" s="52">
        <v>15.395494574999999</v>
      </c>
      <c r="D14" s="52">
        <v>21.616</v>
      </c>
      <c r="E14" s="52">
        <v>16.802</v>
      </c>
      <c r="F14" s="52">
        <v>16.879000000000001</v>
      </c>
      <c r="G14" s="52">
        <v>13.808</v>
      </c>
      <c r="H14" s="52">
        <v>13.209</v>
      </c>
      <c r="I14" s="52">
        <v>11.411</v>
      </c>
      <c r="J14" s="52">
        <v>11.537000000000001</v>
      </c>
      <c r="K14" s="52">
        <v>11.427</v>
      </c>
      <c r="L14" s="52">
        <v>11.83</v>
      </c>
      <c r="M14" s="52">
        <v>15.265000000000001</v>
      </c>
      <c r="N14" s="52">
        <v>17.504000000000001</v>
      </c>
      <c r="O14" s="52">
        <v>18.216999999999999</v>
      </c>
      <c r="P14" s="53">
        <v>179.505</v>
      </c>
      <c r="Q14" s="95">
        <v>0.97163166321988725</v>
      </c>
    </row>
    <row r="15" spans="1:17" ht="14.45" customHeight="1" x14ac:dyDescent="0.2">
      <c r="A15" s="15" t="s">
        <v>43</v>
      </c>
      <c r="B15" s="51">
        <v>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53">
        <v>0</v>
      </c>
      <c r="Q15" s="95" t="s">
        <v>271</v>
      </c>
    </row>
    <row r="16" spans="1:17" ht="14.45" customHeight="1" x14ac:dyDescent="0.2">
      <c r="A16" s="15" t="s">
        <v>44</v>
      </c>
      <c r="B16" s="51">
        <v>0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53">
        <v>0</v>
      </c>
      <c r="Q16" s="95" t="s">
        <v>271</v>
      </c>
    </row>
    <row r="17" spans="1:17" ht="14.45" customHeight="1" x14ac:dyDescent="0.2">
      <c r="A17" s="15" t="s">
        <v>45</v>
      </c>
      <c r="B17" s="51">
        <v>192.42510289999998</v>
      </c>
      <c r="C17" s="52">
        <v>16.035425241666665</v>
      </c>
      <c r="D17" s="52">
        <v>100.93486999999999</v>
      </c>
      <c r="E17" s="52">
        <v>0.90991999999999995</v>
      </c>
      <c r="F17" s="52">
        <v>2.5568499999999998</v>
      </c>
      <c r="G17" s="52">
        <v>2.1324200000000002</v>
      </c>
      <c r="H17" s="52">
        <v>1.9819200000000001</v>
      </c>
      <c r="I17" s="52">
        <v>4.0123100000000003</v>
      </c>
      <c r="J17" s="52">
        <v>8.2219500000000014</v>
      </c>
      <c r="K17" s="52">
        <v>3.3091500000000003</v>
      </c>
      <c r="L17" s="52">
        <v>3.60669</v>
      </c>
      <c r="M17" s="52">
        <v>73.336389999999994</v>
      </c>
      <c r="N17" s="52">
        <v>4.7915100000000006</v>
      </c>
      <c r="O17" s="52">
        <v>92.849740000000011</v>
      </c>
      <c r="P17" s="53">
        <v>298.64371999999997</v>
      </c>
      <c r="Q17" s="95">
        <v>1.5519997936818044</v>
      </c>
    </row>
    <row r="18" spans="1:17" ht="14.45" customHeight="1" x14ac:dyDescent="0.2">
      <c r="A18" s="15" t="s">
        <v>46</v>
      </c>
      <c r="B18" s="51">
        <v>0</v>
      </c>
      <c r="C18" s="52">
        <v>0</v>
      </c>
      <c r="D18" s="52">
        <v>3.6080000000000001</v>
      </c>
      <c r="E18" s="52">
        <v>17.579000000000001</v>
      </c>
      <c r="F18" s="52">
        <v>14.326000000000001</v>
      </c>
      <c r="G18" s="52">
        <v>0</v>
      </c>
      <c r="H18" s="52">
        <v>0.75</v>
      </c>
      <c r="I18" s="52">
        <v>1.262</v>
      </c>
      <c r="J18" s="52">
        <v>0</v>
      </c>
      <c r="K18" s="52">
        <v>0.45</v>
      </c>
      <c r="L18" s="52">
        <v>10.823</v>
      </c>
      <c r="M18" s="52">
        <v>6.867</v>
      </c>
      <c r="N18" s="52">
        <v>-1.05</v>
      </c>
      <c r="O18" s="52">
        <v>0.59299999999999997</v>
      </c>
      <c r="P18" s="53">
        <v>55.208000000000013</v>
      </c>
      <c r="Q18" s="95" t="s">
        <v>271</v>
      </c>
    </row>
    <row r="19" spans="1:17" ht="14.45" customHeight="1" x14ac:dyDescent="0.2">
      <c r="A19" s="15" t="s">
        <v>47</v>
      </c>
      <c r="B19" s="51">
        <v>1150.6657686999999</v>
      </c>
      <c r="C19" s="52">
        <v>95.888814058333324</v>
      </c>
      <c r="D19" s="52">
        <v>59.726849999999999</v>
      </c>
      <c r="E19" s="52">
        <v>57.612760000000002</v>
      </c>
      <c r="F19" s="52">
        <v>90.077889999999996</v>
      </c>
      <c r="G19" s="52">
        <v>64.954890000000006</v>
      </c>
      <c r="H19" s="52">
        <v>43.542190000000005</v>
      </c>
      <c r="I19" s="52">
        <v>109.53309</v>
      </c>
      <c r="J19" s="52">
        <v>83.504000000000005</v>
      </c>
      <c r="K19" s="52">
        <v>91.015529999999998</v>
      </c>
      <c r="L19" s="52">
        <v>236.64951000000002</v>
      </c>
      <c r="M19" s="52">
        <v>98.877949999999998</v>
      </c>
      <c r="N19" s="52">
        <v>136.59193999999999</v>
      </c>
      <c r="O19" s="52">
        <v>77.23411999999999</v>
      </c>
      <c r="P19" s="53">
        <v>1149.3207200000002</v>
      </c>
      <c r="Q19" s="95">
        <v>0.99883106916309905</v>
      </c>
    </row>
    <row r="20" spans="1:17" ht="14.45" customHeight="1" x14ac:dyDescent="0.2">
      <c r="A20" s="15" t="s">
        <v>48</v>
      </c>
      <c r="B20" s="51">
        <v>23106.0060328</v>
      </c>
      <c r="C20" s="52">
        <v>1925.5005027333334</v>
      </c>
      <c r="D20" s="52">
        <v>1774.0063</v>
      </c>
      <c r="E20" s="52">
        <v>1675.1099099999999</v>
      </c>
      <c r="F20" s="52">
        <v>1612.4171200000001</v>
      </c>
      <c r="G20" s="52">
        <v>1558.4030400000001</v>
      </c>
      <c r="H20" s="52">
        <v>1650.87672</v>
      </c>
      <c r="I20" s="52">
        <v>1662.1529399999999</v>
      </c>
      <c r="J20" s="52">
        <v>2841.7431800000004</v>
      </c>
      <c r="K20" s="52">
        <v>1680.3416000000002</v>
      </c>
      <c r="L20" s="52">
        <v>1642.74577</v>
      </c>
      <c r="M20" s="52">
        <v>3825.6516699999997</v>
      </c>
      <c r="N20" s="52">
        <v>2995.6492499999999</v>
      </c>
      <c r="O20" s="52">
        <v>2392.4083599999999</v>
      </c>
      <c r="P20" s="53">
        <v>25311.505860000001</v>
      </c>
      <c r="Q20" s="95">
        <v>1.095451365505107</v>
      </c>
    </row>
    <row r="21" spans="1:17" ht="14.45" customHeight="1" x14ac:dyDescent="0.2">
      <c r="A21" s="16" t="s">
        <v>49</v>
      </c>
      <c r="B21" s="51">
        <v>2250.1196442999999</v>
      </c>
      <c r="C21" s="52">
        <v>187.50997035833333</v>
      </c>
      <c r="D21" s="52">
        <v>182.82320999999999</v>
      </c>
      <c r="E21" s="52">
        <v>182.80113</v>
      </c>
      <c r="F21" s="52">
        <v>182.80013</v>
      </c>
      <c r="G21" s="52">
        <v>182.64429999999999</v>
      </c>
      <c r="H21" s="52">
        <v>182.64429999999999</v>
      </c>
      <c r="I21" s="52">
        <v>182.64429999999999</v>
      </c>
      <c r="J21" s="52">
        <v>182.64429999999999</v>
      </c>
      <c r="K21" s="52">
        <v>180.18129999999999</v>
      </c>
      <c r="L21" s="52">
        <v>180.18129999999999</v>
      </c>
      <c r="M21" s="52">
        <v>180.18129999999999</v>
      </c>
      <c r="N21" s="52">
        <v>180.18029999999999</v>
      </c>
      <c r="O21" s="52">
        <v>180.18029999999999</v>
      </c>
      <c r="P21" s="53">
        <v>2179.9061699999993</v>
      </c>
      <c r="Q21" s="95">
        <v>0.96879567072005912</v>
      </c>
    </row>
    <row r="22" spans="1:17" ht="14.45" customHeight="1" x14ac:dyDescent="0.2">
      <c r="A22" s="15" t="s">
        <v>50</v>
      </c>
      <c r="B22" s="51">
        <v>0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37.208550000000002</v>
      </c>
      <c r="L22" s="52">
        <v>0</v>
      </c>
      <c r="M22" s="52">
        <v>0</v>
      </c>
      <c r="N22" s="52">
        <v>66.266859999999994</v>
      </c>
      <c r="O22" s="52">
        <v>11.616</v>
      </c>
      <c r="P22" s="53">
        <v>115.09141</v>
      </c>
      <c r="Q22" s="95" t="s">
        <v>271</v>
      </c>
    </row>
    <row r="23" spans="1:17" ht="14.45" customHeight="1" x14ac:dyDescent="0.2">
      <c r="A23" s="16" t="s">
        <v>51</v>
      </c>
      <c r="B23" s="51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3">
        <v>0</v>
      </c>
      <c r="Q23" s="95" t="s">
        <v>271</v>
      </c>
    </row>
    <row r="24" spans="1:17" ht="14.45" customHeight="1" x14ac:dyDescent="0.2">
      <c r="A24" s="16" t="s">
        <v>52</v>
      </c>
      <c r="B24" s="51">
        <v>112.84242359999917</v>
      </c>
      <c r="C24" s="52">
        <v>9.4035352999999304</v>
      </c>
      <c r="D24" s="52">
        <v>1.7786999999998443</v>
      </c>
      <c r="E24" s="52">
        <v>8.1802600000000893</v>
      </c>
      <c r="F24" s="52">
        <v>13.554979999999887</v>
      </c>
      <c r="G24" s="52">
        <v>9.5999999999999091</v>
      </c>
      <c r="H24" s="52">
        <v>2.9999800000000505</v>
      </c>
      <c r="I24" s="52">
        <v>4.9999800000000505</v>
      </c>
      <c r="J24" s="52">
        <v>7.6479999999719439E-2</v>
      </c>
      <c r="K24" s="52">
        <v>4.3500199999998586</v>
      </c>
      <c r="L24" s="52">
        <v>19.86324999999988</v>
      </c>
      <c r="M24" s="52">
        <v>9.8237300000000687</v>
      </c>
      <c r="N24" s="52">
        <v>13.699999999999818</v>
      </c>
      <c r="O24" s="52">
        <v>31.676500000000033</v>
      </c>
      <c r="P24" s="53">
        <v>120.60387999999921</v>
      </c>
      <c r="Q24" s="95">
        <v>1.0687813692083807</v>
      </c>
    </row>
    <row r="25" spans="1:17" ht="14.45" customHeight="1" x14ac:dyDescent="0.2">
      <c r="A25" s="17" t="s">
        <v>53</v>
      </c>
      <c r="B25" s="54">
        <v>31649.348211500001</v>
      </c>
      <c r="C25" s="55">
        <v>2637.4456842916666</v>
      </c>
      <c r="D25" s="55">
        <v>2334.7665999999999</v>
      </c>
      <c r="E25" s="55">
        <v>2220.0412799999999</v>
      </c>
      <c r="F25" s="55">
        <v>2856.2061200000003</v>
      </c>
      <c r="G25" s="55">
        <v>2446.5523900000003</v>
      </c>
      <c r="H25" s="55">
        <v>2355.5366300000001</v>
      </c>
      <c r="I25" s="55">
        <v>2287.4325800000001</v>
      </c>
      <c r="J25" s="55">
        <v>3467.7271000000001</v>
      </c>
      <c r="K25" s="55">
        <v>2492.7577799999999</v>
      </c>
      <c r="L25" s="55">
        <v>2338.0371800000003</v>
      </c>
      <c r="M25" s="55">
        <v>4665.06945</v>
      </c>
      <c r="N25" s="55">
        <v>3873.7127999999998</v>
      </c>
      <c r="O25" s="55">
        <v>3361.8289199999999</v>
      </c>
      <c r="P25" s="56">
        <v>34699.668830000002</v>
      </c>
      <c r="Q25" s="96">
        <v>1.0963786236012167</v>
      </c>
    </row>
    <row r="26" spans="1:17" ht="14.45" customHeight="1" x14ac:dyDescent="0.2">
      <c r="A26" s="15" t="s">
        <v>54</v>
      </c>
      <c r="B26" s="51">
        <v>0</v>
      </c>
      <c r="C26" s="52">
        <v>0</v>
      </c>
      <c r="D26" s="52">
        <v>296.15046999999998</v>
      </c>
      <c r="E26" s="52">
        <v>186.00020999999998</v>
      </c>
      <c r="F26" s="52">
        <v>211.78088</v>
      </c>
      <c r="G26" s="52">
        <v>226.59270999999998</v>
      </c>
      <c r="H26" s="52">
        <v>139.23723999999999</v>
      </c>
      <c r="I26" s="52">
        <v>357.89936999999998</v>
      </c>
      <c r="J26" s="52">
        <v>268.40141999999997</v>
      </c>
      <c r="K26" s="52">
        <v>270.41932000000003</v>
      </c>
      <c r="L26" s="52">
        <v>244.12889999999999</v>
      </c>
      <c r="M26" s="52">
        <v>348.98509000000001</v>
      </c>
      <c r="N26" s="52">
        <v>308.53247999999996</v>
      </c>
      <c r="O26" s="52">
        <v>449.84932000000003</v>
      </c>
      <c r="P26" s="53">
        <v>3307.9774099999995</v>
      </c>
      <c r="Q26" s="95" t="s">
        <v>271</v>
      </c>
    </row>
    <row r="27" spans="1:17" ht="14.45" customHeight="1" x14ac:dyDescent="0.2">
      <c r="A27" s="18" t="s">
        <v>55</v>
      </c>
      <c r="B27" s="54">
        <v>31649.348211500001</v>
      </c>
      <c r="C27" s="55">
        <v>2637.4456842916666</v>
      </c>
      <c r="D27" s="55">
        <v>2630.91707</v>
      </c>
      <c r="E27" s="55">
        <v>2406.0414900000001</v>
      </c>
      <c r="F27" s="55">
        <v>3067.9870000000001</v>
      </c>
      <c r="G27" s="55">
        <v>2673.1451000000002</v>
      </c>
      <c r="H27" s="55">
        <v>2494.77387</v>
      </c>
      <c r="I27" s="55">
        <v>2645.3319500000002</v>
      </c>
      <c r="J27" s="55">
        <v>3736.1285200000002</v>
      </c>
      <c r="K27" s="55">
        <v>2763.1770999999999</v>
      </c>
      <c r="L27" s="55">
        <v>2582.1660800000004</v>
      </c>
      <c r="M27" s="55">
        <v>5014.0545400000001</v>
      </c>
      <c r="N27" s="55">
        <v>4182.2452800000001</v>
      </c>
      <c r="O27" s="55">
        <v>3811.6782400000002</v>
      </c>
      <c r="P27" s="56">
        <v>38007.646240000002</v>
      </c>
      <c r="Q27" s="96">
        <v>1.2008982297521587</v>
      </c>
    </row>
    <row r="28" spans="1:17" ht="14.45" customHeight="1" x14ac:dyDescent="0.2">
      <c r="A28" s="16" t="s">
        <v>56</v>
      </c>
      <c r="B28" s="51">
        <v>28.028582</v>
      </c>
      <c r="C28" s="52">
        <v>2.3357151666666667</v>
      </c>
      <c r="D28" s="52">
        <v>14.583360000000001</v>
      </c>
      <c r="E28" s="52">
        <v>5.7110000000000003</v>
      </c>
      <c r="F28" s="52">
        <v>15.853200000000001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10.501799999999999</v>
      </c>
      <c r="M28" s="52">
        <v>-10.501799999999999</v>
      </c>
      <c r="N28" s="52">
        <v>14.583360000000001</v>
      </c>
      <c r="O28" s="52">
        <v>0</v>
      </c>
      <c r="P28" s="53">
        <v>50.730919999999998</v>
      </c>
      <c r="Q28" s="95">
        <v>1.8099709789100282</v>
      </c>
    </row>
    <row r="29" spans="1:17" ht="14.45" customHeight="1" x14ac:dyDescent="0.2">
      <c r="A29" s="16" t="s">
        <v>57</v>
      </c>
      <c r="B29" s="51">
        <v>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53">
        <v>0</v>
      </c>
      <c r="Q29" s="95" t="s">
        <v>271</v>
      </c>
    </row>
    <row r="30" spans="1:17" ht="14.45" customHeight="1" x14ac:dyDescent="0.2">
      <c r="A30" s="16" t="s">
        <v>58</v>
      </c>
      <c r="B30" s="51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53">
        <v>0</v>
      </c>
      <c r="Q30" s="95" t="s">
        <v>271</v>
      </c>
    </row>
    <row r="31" spans="1:17" ht="14.45" customHeight="1" thickBot="1" x14ac:dyDescent="0.25">
      <c r="A31" s="19" t="s">
        <v>59</v>
      </c>
      <c r="B31" s="57">
        <v>0</v>
      </c>
      <c r="C31" s="58">
        <v>0</v>
      </c>
      <c r="D31" s="58">
        <v>0</v>
      </c>
      <c r="E31" s="58">
        <v>0</v>
      </c>
      <c r="F31" s="58">
        <v>0</v>
      </c>
      <c r="G31" s="58">
        <v>0</v>
      </c>
      <c r="H31" s="58">
        <v>0</v>
      </c>
      <c r="I31" s="58">
        <v>0</v>
      </c>
      <c r="J31" s="58">
        <v>0</v>
      </c>
      <c r="K31" s="58">
        <v>0</v>
      </c>
      <c r="L31" s="58">
        <v>0</v>
      </c>
      <c r="M31" s="58">
        <v>0</v>
      </c>
      <c r="N31" s="58">
        <v>0</v>
      </c>
      <c r="O31" s="58">
        <v>0</v>
      </c>
      <c r="P31" s="59">
        <v>0</v>
      </c>
      <c r="Q31" s="97" t="s">
        <v>271</v>
      </c>
    </row>
    <row r="32" spans="1:17" ht="14.45" customHeight="1" x14ac:dyDescent="0.2"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</row>
    <row r="33" spans="1:17" ht="14.45" customHeight="1" x14ac:dyDescent="0.2">
      <c r="A33" s="113" t="s">
        <v>160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</row>
    <row r="34" spans="1:17" ht="14.45" customHeight="1" x14ac:dyDescent="0.2">
      <c r="A34" s="135" t="s">
        <v>245</v>
      </c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</row>
    <row r="35" spans="1:17" ht="14.45" customHeight="1" x14ac:dyDescent="0.2">
      <c r="A35" s="136" t="s">
        <v>60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</row>
  </sheetData>
  <autoFilter ref="A5:A31" xr:uid="{00000000-0009-0000-0000-000005000000}"/>
  <mergeCells count="3">
    <mergeCell ref="A1:Q1"/>
    <mergeCell ref="B3:O3"/>
    <mergeCell ref="P4:Q4"/>
  </mergeCells>
  <hyperlinks>
    <hyperlink ref="A2" location="Obsah!A1" display="Zpět na Obsah  KL 01  1.-4.měsíc" xr:uid="{E3CF4118-59C1-4110-B93C-F477956D83ED}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tabColor theme="0" tint="-0.249977111117893"/>
    <pageSetUpPr fitToPage="1"/>
  </sheetPr>
  <dimension ref="A1:M818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ColWidth="8.85546875" defaultRowHeight="14.45" customHeight="1" x14ac:dyDescent="0.2"/>
  <cols>
    <col min="1" max="1" width="50" style="129" customWidth="1"/>
    <col min="2" max="11" width="10" style="129" customWidth="1"/>
    <col min="12" max="16384" width="8.85546875" style="129"/>
  </cols>
  <sheetData>
    <row r="1" spans="1:13" s="60" customFormat="1" ht="18.600000000000001" customHeight="1" thickBot="1" x14ac:dyDescent="0.35">
      <c r="A1" s="341" t="s">
        <v>61</v>
      </c>
      <c r="B1" s="341"/>
      <c r="C1" s="341"/>
      <c r="D1" s="341"/>
      <c r="E1" s="341"/>
      <c r="F1" s="341"/>
      <c r="G1" s="341"/>
      <c r="H1" s="346"/>
      <c r="I1" s="346"/>
      <c r="J1" s="346"/>
      <c r="K1" s="346"/>
    </row>
    <row r="2" spans="1:13" s="60" customFormat="1" ht="14.45" customHeight="1" thickBot="1" x14ac:dyDescent="0.25">
      <c r="A2" s="232" t="s">
        <v>270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3" ht="14.45" customHeight="1" x14ac:dyDescent="0.2">
      <c r="A3" s="76"/>
      <c r="B3" s="342" t="s">
        <v>62</v>
      </c>
      <c r="C3" s="343"/>
      <c r="D3" s="343"/>
      <c r="E3" s="343"/>
      <c r="F3" s="349" t="s">
        <v>63</v>
      </c>
      <c r="G3" s="343"/>
      <c r="H3" s="343"/>
      <c r="I3" s="343"/>
      <c r="J3" s="343"/>
      <c r="K3" s="350"/>
    </row>
    <row r="4" spans="1:13" ht="14.45" customHeight="1" x14ac:dyDescent="0.2">
      <c r="A4" s="77"/>
      <c r="B4" s="347"/>
      <c r="C4" s="348"/>
      <c r="D4" s="348"/>
      <c r="E4" s="348"/>
      <c r="F4" s="351" t="s">
        <v>263</v>
      </c>
      <c r="G4" s="353" t="s">
        <v>64</v>
      </c>
      <c r="H4" s="140" t="s">
        <v>141</v>
      </c>
      <c r="I4" s="351" t="s">
        <v>65</v>
      </c>
      <c r="J4" s="353" t="s">
        <v>265</v>
      </c>
      <c r="K4" s="354" t="s">
        <v>266</v>
      </c>
    </row>
    <row r="5" spans="1:13" ht="39" thickBot="1" x14ac:dyDescent="0.25">
      <c r="A5" s="78"/>
      <c r="B5" s="24" t="s">
        <v>259</v>
      </c>
      <c r="C5" s="25" t="s">
        <v>260</v>
      </c>
      <c r="D5" s="26" t="s">
        <v>261</v>
      </c>
      <c r="E5" s="26" t="s">
        <v>262</v>
      </c>
      <c r="F5" s="352"/>
      <c r="G5" s="352"/>
      <c r="H5" s="25" t="s">
        <v>264</v>
      </c>
      <c r="I5" s="352"/>
      <c r="J5" s="352"/>
      <c r="K5" s="355"/>
    </row>
    <row r="6" spans="1:13" ht="14.45" customHeight="1" x14ac:dyDescent="0.2">
      <c r="A6" s="464" t="s">
        <v>66</v>
      </c>
      <c r="B6" s="460">
        <v>-11668.706398</v>
      </c>
      <c r="C6" s="461">
        <v>22945.45825</v>
      </c>
      <c r="D6" s="461">
        <v>34614.164647999998</v>
      </c>
      <c r="E6" s="462">
        <v>-1.9664097687754676</v>
      </c>
      <c r="F6" s="460">
        <v>-31615.979380800003</v>
      </c>
      <c r="G6" s="461">
        <v>-31615.979380800003</v>
      </c>
      <c r="H6" s="461">
        <v>3057.82341</v>
      </c>
      <c r="I6" s="461">
        <v>34708.637490000001</v>
      </c>
      <c r="J6" s="461">
        <v>66324.616870800004</v>
      </c>
      <c r="K6" s="463">
        <v>-1.0978194624923792</v>
      </c>
      <c r="L6" s="150"/>
      <c r="M6" s="459" t="str">
        <f t="shared" ref="M6:M69" si="0">IF(A6="HV","HV",IF(OR(LEFT(A6,16)="               5",LEFT(A6,16)="               6",LEFT(A6,16)="               7",LEFT(A6,16)="               8"),"X",""))</f>
        <v>HV</v>
      </c>
    </row>
    <row r="7" spans="1:13" ht="14.45" customHeight="1" x14ac:dyDescent="0.2">
      <c r="A7" s="464" t="s">
        <v>273</v>
      </c>
      <c r="B7" s="460">
        <v>30559.561057999999</v>
      </c>
      <c r="C7" s="461">
        <v>29164.412640000002</v>
      </c>
      <c r="D7" s="461">
        <v>-1395.148417999997</v>
      </c>
      <c r="E7" s="462">
        <v>0.95434658189781918</v>
      </c>
      <c r="F7" s="460">
        <v>31649.348211500001</v>
      </c>
      <c r="G7" s="461">
        <v>31649.348211500001</v>
      </c>
      <c r="H7" s="461">
        <v>3361.8289199999999</v>
      </c>
      <c r="I7" s="461">
        <v>34699.668829999995</v>
      </c>
      <c r="J7" s="461">
        <v>3050.3206184999945</v>
      </c>
      <c r="K7" s="463">
        <v>1.0963786236012165</v>
      </c>
      <c r="L7" s="150"/>
      <c r="M7" s="459" t="str">
        <f t="shared" si="0"/>
        <v/>
      </c>
    </row>
    <row r="8" spans="1:13" ht="14.45" customHeight="1" x14ac:dyDescent="0.2">
      <c r="A8" s="464" t="s">
        <v>274</v>
      </c>
      <c r="B8" s="460">
        <v>3972.04891</v>
      </c>
      <c r="C8" s="461">
        <v>3749.6703299999999</v>
      </c>
      <c r="D8" s="461">
        <v>-222.37858000000006</v>
      </c>
      <c r="E8" s="462">
        <v>0.94401413853687921</v>
      </c>
      <c r="F8" s="460">
        <v>4837.2892391999994</v>
      </c>
      <c r="G8" s="461">
        <v>4837.2892391999994</v>
      </c>
      <c r="H8" s="461">
        <v>575.27089999999998</v>
      </c>
      <c r="I8" s="461">
        <v>5469.3890499999998</v>
      </c>
      <c r="J8" s="461">
        <v>632.09981080000034</v>
      </c>
      <c r="K8" s="463">
        <v>1.1306723207034315</v>
      </c>
      <c r="L8" s="150"/>
      <c r="M8" s="459" t="str">
        <f t="shared" si="0"/>
        <v/>
      </c>
    </row>
    <row r="9" spans="1:13" ht="14.45" customHeight="1" x14ac:dyDescent="0.2">
      <c r="A9" s="464" t="s">
        <v>275</v>
      </c>
      <c r="B9" s="460">
        <v>3784.2967039999999</v>
      </c>
      <c r="C9" s="461">
        <v>3561.2283299999999</v>
      </c>
      <c r="D9" s="461">
        <v>-223.06837399999995</v>
      </c>
      <c r="E9" s="462">
        <v>0.94105420598648704</v>
      </c>
      <c r="F9" s="460">
        <v>4652.5433043000003</v>
      </c>
      <c r="G9" s="461">
        <v>4652.5433043000003</v>
      </c>
      <c r="H9" s="461">
        <v>557.0539</v>
      </c>
      <c r="I9" s="461">
        <v>5289.8840499999997</v>
      </c>
      <c r="J9" s="461">
        <v>637.34074569999939</v>
      </c>
      <c r="K9" s="463">
        <v>1.1369876009775024</v>
      </c>
      <c r="L9" s="150"/>
      <c r="M9" s="459" t="str">
        <f t="shared" si="0"/>
        <v/>
      </c>
    </row>
    <row r="10" spans="1:13" ht="14.45" customHeight="1" x14ac:dyDescent="0.2">
      <c r="A10" s="464" t="s">
        <v>276</v>
      </c>
      <c r="B10" s="460">
        <v>0</v>
      </c>
      <c r="C10" s="461">
        <v>-3.4000000000000002E-4</v>
      </c>
      <c r="D10" s="461">
        <v>-3.4000000000000002E-4</v>
      </c>
      <c r="E10" s="462">
        <v>0</v>
      </c>
      <c r="F10" s="460">
        <v>0</v>
      </c>
      <c r="G10" s="461">
        <v>0</v>
      </c>
      <c r="H10" s="461">
        <v>0</v>
      </c>
      <c r="I10" s="461">
        <v>-2.0000000000000002E-5</v>
      </c>
      <c r="J10" s="461">
        <v>-2.0000000000000002E-5</v>
      </c>
      <c r="K10" s="463">
        <v>0</v>
      </c>
      <c r="L10" s="150"/>
      <c r="M10" s="459" t="str">
        <f t="shared" si="0"/>
        <v>X</v>
      </c>
    </row>
    <row r="11" spans="1:13" ht="14.45" customHeight="1" x14ac:dyDescent="0.2">
      <c r="A11" s="464" t="s">
        <v>277</v>
      </c>
      <c r="B11" s="460">
        <v>0</v>
      </c>
      <c r="C11" s="461">
        <v>-3.4000000000000002E-4</v>
      </c>
      <c r="D11" s="461">
        <v>-3.4000000000000002E-4</v>
      </c>
      <c r="E11" s="462">
        <v>0</v>
      </c>
      <c r="F11" s="460">
        <v>0</v>
      </c>
      <c r="G11" s="461">
        <v>0</v>
      </c>
      <c r="H11" s="461">
        <v>0</v>
      </c>
      <c r="I11" s="461">
        <v>-2.0000000000000002E-5</v>
      </c>
      <c r="J11" s="461">
        <v>-2.0000000000000002E-5</v>
      </c>
      <c r="K11" s="463">
        <v>0</v>
      </c>
      <c r="L11" s="150"/>
      <c r="M11" s="459" t="str">
        <f t="shared" si="0"/>
        <v/>
      </c>
    </row>
    <row r="12" spans="1:13" ht="14.45" customHeight="1" x14ac:dyDescent="0.2">
      <c r="A12" s="464" t="s">
        <v>278</v>
      </c>
      <c r="B12" s="460">
        <v>39.999999000000003</v>
      </c>
      <c r="C12" s="461">
        <v>33.283650000000002</v>
      </c>
      <c r="D12" s="461">
        <v>-6.716349000000001</v>
      </c>
      <c r="E12" s="462">
        <v>0.83209127080228174</v>
      </c>
      <c r="F12" s="460">
        <v>40.000000200000002</v>
      </c>
      <c r="G12" s="461">
        <v>40.000000200000002</v>
      </c>
      <c r="H12" s="461">
        <v>8.6980599999999999</v>
      </c>
      <c r="I12" s="461">
        <v>39.566249999999997</v>
      </c>
      <c r="J12" s="461">
        <v>-0.43375020000000575</v>
      </c>
      <c r="K12" s="463">
        <v>0.98915624505421862</v>
      </c>
      <c r="L12" s="150"/>
      <c r="M12" s="459" t="str">
        <f t="shared" si="0"/>
        <v>X</v>
      </c>
    </row>
    <row r="13" spans="1:13" ht="14.45" customHeight="1" x14ac:dyDescent="0.2">
      <c r="A13" s="464" t="s">
        <v>279</v>
      </c>
      <c r="B13" s="460">
        <v>39.999999000000003</v>
      </c>
      <c r="C13" s="461">
        <v>33.283650000000002</v>
      </c>
      <c r="D13" s="461">
        <v>-6.716349000000001</v>
      </c>
      <c r="E13" s="462">
        <v>0.83209127080228174</v>
      </c>
      <c r="F13" s="460">
        <v>40.000000200000002</v>
      </c>
      <c r="G13" s="461">
        <v>40.000000200000002</v>
      </c>
      <c r="H13" s="461">
        <v>8.6980599999999999</v>
      </c>
      <c r="I13" s="461">
        <v>39.566249999999997</v>
      </c>
      <c r="J13" s="461">
        <v>-0.43375020000000575</v>
      </c>
      <c r="K13" s="463">
        <v>0.98915624505421862</v>
      </c>
      <c r="L13" s="150"/>
      <c r="M13" s="459" t="str">
        <f t="shared" si="0"/>
        <v/>
      </c>
    </row>
    <row r="14" spans="1:13" ht="14.45" customHeight="1" x14ac:dyDescent="0.2">
      <c r="A14" s="464" t="s">
        <v>280</v>
      </c>
      <c r="B14" s="460">
        <v>3625</v>
      </c>
      <c r="C14" s="461">
        <v>3428.96479</v>
      </c>
      <c r="D14" s="461">
        <v>-196.03521000000001</v>
      </c>
      <c r="E14" s="462">
        <v>0.9459213213793104</v>
      </c>
      <c r="F14" s="460">
        <v>4500.0000003000005</v>
      </c>
      <c r="G14" s="461">
        <v>4500.0000003000005</v>
      </c>
      <c r="H14" s="461">
        <v>528.60135000000002</v>
      </c>
      <c r="I14" s="461">
        <v>5061.5874299999996</v>
      </c>
      <c r="J14" s="461">
        <v>561.58742969999912</v>
      </c>
      <c r="K14" s="463">
        <v>1.12479720659168</v>
      </c>
      <c r="L14" s="150"/>
      <c r="M14" s="459" t="str">
        <f t="shared" si="0"/>
        <v>X</v>
      </c>
    </row>
    <row r="15" spans="1:13" ht="14.45" customHeight="1" x14ac:dyDescent="0.2">
      <c r="A15" s="464" t="s">
        <v>281</v>
      </c>
      <c r="B15" s="460">
        <v>3200.0000010000003</v>
      </c>
      <c r="C15" s="461">
        <v>3092.3704500000003</v>
      </c>
      <c r="D15" s="461">
        <v>-107.62955099999999</v>
      </c>
      <c r="E15" s="462">
        <v>0.96636576532301066</v>
      </c>
      <c r="F15" s="460">
        <v>4075</v>
      </c>
      <c r="G15" s="461">
        <v>4075</v>
      </c>
      <c r="H15" s="461">
        <v>470.59091999999998</v>
      </c>
      <c r="I15" s="461">
        <v>4733.8287099999998</v>
      </c>
      <c r="J15" s="461">
        <v>658.82870999999977</v>
      </c>
      <c r="K15" s="463">
        <v>1.1616757570552148</v>
      </c>
      <c r="L15" s="150"/>
      <c r="M15" s="459" t="str">
        <f t="shared" si="0"/>
        <v/>
      </c>
    </row>
    <row r="16" spans="1:13" ht="14.45" customHeight="1" x14ac:dyDescent="0.2">
      <c r="A16" s="464" t="s">
        <v>282</v>
      </c>
      <c r="B16" s="460">
        <v>200</v>
      </c>
      <c r="C16" s="461">
        <v>213.06486999999998</v>
      </c>
      <c r="D16" s="461">
        <v>13.064869999999985</v>
      </c>
      <c r="E16" s="462">
        <v>1.06532435</v>
      </c>
      <c r="F16" s="460">
        <v>200.00000009999999</v>
      </c>
      <c r="G16" s="461">
        <v>200.00000009999997</v>
      </c>
      <c r="H16" s="461">
        <v>33.149929999999998</v>
      </c>
      <c r="I16" s="461">
        <v>248.30538000000001</v>
      </c>
      <c r="J16" s="461">
        <v>48.305379900000048</v>
      </c>
      <c r="K16" s="463">
        <v>1.2415268993792365</v>
      </c>
      <c r="L16" s="150"/>
      <c r="M16" s="459" t="str">
        <f t="shared" si="0"/>
        <v/>
      </c>
    </row>
    <row r="17" spans="1:13" ht="14.45" customHeight="1" x14ac:dyDescent="0.2">
      <c r="A17" s="464" t="s">
        <v>283</v>
      </c>
      <c r="B17" s="460">
        <v>9.999998999999999</v>
      </c>
      <c r="C17" s="461">
        <v>7.5468199999999994</v>
      </c>
      <c r="D17" s="461">
        <v>-2.4531789999999996</v>
      </c>
      <c r="E17" s="462">
        <v>0.75468207546820754</v>
      </c>
      <c r="F17" s="460">
        <v>10</v>
      </c>
      <c r="G17" s="461">
        <v>10</v>
      </c>
      <c r="H17" s="461">
        <v>2.3278400000000001</v>
      </c>
      <c r="I17" s="461">
        <v>5.0323700000000002</v>
      </c>
      <c r="J17" s="461">
        <v>-4.9676299999999998</v>
      </c>
      <c r="K17" s="463">
        <v>0.50323700000000005</v>
      </c>
      <c r="L17" s="150"/>
      <c r="M17" s="459" t="str">
        <f t="shared" si="0"/>
        <v/>
      </c>
    </row>
    <row r="18" spans="1:13" ht="14.45" customHeight="1" x14ac:dyDescent="0.2">
      <c r="A18" s="464" t="s">
        <v>284</v>
      </c>
      <c r="B18" s="460">
        <v>189.99999800000001</v>
      </c>
      <c r="C18" s="461">
        <v>97.367500000000007</v>
      </c>
      <c r="D18" s="461">
        <v>-92.632497999999998</v>
      </c>
      <c r="E18" s="462">
        <v>0.51246053171011086</v>
      </c>
      <c r="F18" s="460">
        <v>190</v>
      </c>
      <c r="G18" s="461">
        <v>190</v>
      </c>
      <c r="H18" s="461">
        <v>13.09971</v>
      </c>
      <c r="I18" s="461">
        <v>41.536199999999994</v>
      </c>
      <c r="J18" s="461">
        <v>-148.46379999999999</v>
      </c>
      <c r="K18" s="463">
        <v>0.21861157894736838</v>
      </c>
      <c r="L18" s="150"/>
      <c r="M18" s="459" t="str">
        <f t="shared" si="0"/>
        <v/>
      </c>
    </row>
    <row r="19" spans="1:13" ht="14.45" customHeight="1" x14ac:dyDescent="0.2">
      <c r="A19" s="464" t="s">
        <v>285</v>
      </c>
      <c r="B19" s="460">
        <v>0</v>
      </c>
      <c r="C19" s="461">
        <v>0</v>
      </c>
      <c r="D19" s="461">
        <v>0</v>
      </c>
      <c r="E19" s="462">
        <v>0</v>
      </c>
      <c r="F19" s="460">
        <v>0</v>
      </c>
      <c r="G19" s="461">
        <v>0</v>
      </c>
      <c r="H19" s="461">
        <v>0.41494999999999999</v>
      </c>
      <c r="I19" s="461">
        <v>0.41494999999999999</v>
      </c>
      <c r="J19" s="461">
        <v>0.41494999999999999</v>
      </c>
      <c r="K19" s="463">
        <v>0</v>
      </c>
      <c r="L19" s="150"/>
      <c r="M19" s="459" t="str">
        <f t="shared" si="0"/>
        <v/>
      </c>
    </row>
    <row r="20" spans="1:13" ht="14.45" customHeight="1" x14ac:dyDescent="0.2">
      <c r="A20" s="464" t="s">
        <v>286</v>
      </c>
      <c r="B20" s="460">
        <v>5.0000039999999997</v>
      </c>
      <c r="C20" s="461">
        <v>3.5680000000000001</v>
      </c>
      <c r="D20" s="461">
        <v>-1.4320039999999996</v>
      </c>
      <c r="E20" s="462">
        <v>0.71359942912045671</v>
      </c>
      <c r="F20" s="460">
        <v>5.0000002000000006</v>
      </c>
      <c r="G20" s="461">
        <v>5.0000002000000006</v>
      </c>
      <c r="H20" s="461">
        <v>0.39600000000000002</v>
      </c>
      <c r="I20" s="461">
        <v>3.7904</v>
      </c>
      <c r="J20" s="461">
        <v>-1.2096002000000006</v>
      </c>
      <c r="K20" s="463">
        <v>0.75807996967680114</v>
      </c>
      <c r="L20" s="150"/>
      <c r="M20" s="459" t="str">
        <f t="shared" si="0"/>
        <v/>
      </c>
    </row>
    <row r="21" spans="1:13" ht="14.45" customHeight="1" x14ac:dyDescent="0.2">
      <c r="A21" s="464" t="s">
        <v>287</v>
      </c>
      <c r="B21" s="460">
        <v>19.999997999999998</v>
      </c>
      <c r="C21" s="461">
        <v>15.04715</v>
      </c>
      <c r="D21" s="461">
        <v>-4.9528479999999977</v>
      </c>
      <c r="E21" s="462">
        <v>0.75235757523575764</v>
      </c>
      <c r="F21" s="460">
        <v>20</v>
      </c>
      <c r="G21" s="461">
        <v>20</v>
      </c>
      <c r="H21" s="461">
        <v>8.6219999999999999</v>
      </c>
      <c r="I21" s="461">
        <v>28.679419999999997</v>
      </c>
      <c r="J21" s="461">
        <v>8.6794199999999968</v>
      </c>
      <c r="K21" s="463">
        <v>1.4339709999999999</v>
      </c>
      <c r="L21" s="150"/>
      <c r="M21" s="459" t="str">
        <f t="shared" si="0"/>
        <v/>
      </c>
    </row>
    <row r="22" spans="1:13" ht="14.45" customHeight="1" x14ac:dyDescent="0.2">
      <c r="A22" s="464" t="s">
        <v>288</v>
      </c>
      <c r="B22" s="460">
        <v>103.810468</v>
      </c>
      <c r="C22" s="461">
        <v>80.784909999999996</v>
      </c>
      <c r="D22" s="461">
        <v>-23.025558000000004</v>
      </c>
      <c r="E22" s="462">
        <v>0.77819618345232777</v>
      </c>
      <c r="F22" s="460">
        <v>104.834266</v>
      </c>
      <c r="G22" s="461">
        <v>104.834266</v>
      </c>
      <c r="H22" s="461">
        <v>11.728389999999999</v>
      </c>
      <c r="I22" s="461">
        <v>99.725979999999993</v>
      </c>
      <c r="J22" s="461">
        <v>-5.1082860000000068</v>
      </c>
      <c r="K22" s="463">
        <v>0.95127274511560933</v>
      </c>
      <c r="L22" s="150"/>
      <c r="M22" s="459" t="str">
        <f t="shared" si="0"/>
        <v>X</v>
      </c>
    </row>
    <row r="23" spans="1:13" ht="14.45" customHeight="1" x14ac:dyDescent="0.2">
      <c r="A23" s="464" t="s">
        <v>289</v>
      </c>
      <c r="B23" s="460">
        <v>0</v>
      </c>
      <c r="C23" s="461">
        <v>-23.81766</v>
      </c>
      <c r="D23" s="461">
        <v>-23.81766</v>
      </c>
      <c r="E23" s="462">
        <v>0</v>
      </c>
      <c r="F23" s="460">
        <v>0</v>
      </c>
      <c r="G23" s="461">
        <v>0</v>
      </c>
      <c r="H23" s="461">
        <v>0</v>
      </c>
      <c r="I23" s="461">
        <v>-20.53068</v>
      </c>
      <c r="J23" s="461">
        <v>-20.53068</v>
      </c>
      <c r="K23" s="463">
        <v>0</v>
      </c>
      <c r="L23" s="150"/>
      <c r="M23" s="459" t="str">
        <f t="shared" si="0"/>
        <v/>
      </c>
    </row>
    <row r="24" spans="1:13" ht="14.45" customHeight="1" x14ac:dyDescent="0.2">
      <c r="A24" s="464" t="s">
        <v>290</v>
      </c>
      <c r="B24" s="460">
        <v>7</v>
      </c>
      <c r="C24" s="461">
        <v>6.75495</v>
      </c>
      <c r="D24" s="461">
        <v>-0.24504999999999999</v>
      </c>
      <c r="E24" s="462">
        <v>0.9649928571428571</v>
      </c>
      <c r="F24" s="460">
        <v>6.9999998999999997</v>
      </c>
      <c r="G24" s="461">
        <v>6.9999999000000006</v>
      </c>
      <c r="H24" s="461">
        <v>0.83559000000000005</v>
      </c>
      <c r="I24" s="461">
        <v>6.2702</v>
      </c>
      <c r="J24" s="461">
        <v>-0.72979990000000061</v>
      </c>
      <c r="K24" s="463">
        <v>0.89574286993918384</v>
      </c>
      <c r="L24" s="150"/>
      <c r="M24" s="459" t="str">
        <f t="shared" si="0"/>
        <v/>
      </c>
    </row>
    <row r="25" spans="1:13" ht="14.45" customHeight="1" x14ac:dyDescent="0.2">
      <c r="A25" s="464" t="s">
        <v>291</v>
      </c>
      <c r="B25" s="460">
        <v>15</v>
      </c>
      <c r="C25" s="461">
        <v>13.062860000000001</v>
      </c>
      <c r="D25" s="461">
        <v>-1.9371399999999994</v>
      </c>
      <c r="E25" s="462">
        <v>0.87085733333333337</v>
      </c>
      <c r="F25" s="460">
        <v>12.000000099999999</v>
      </c>
      <c r="G25" s="461">
        <v>12.000000100000001</v>
      </c>
      <c r="H25" s="461">
        <v>2.9989599999999998</v>
      </c>
      <c r="I25" s="461">
        <v>15.068010000000001</v>
      </c>
      <c r="J25" s="461">
        <v>3.0680098999999998</v>
      </c>
      <c r="K25" s="463">
        <v>1.2556674895361044</v>
      </c>
      <c r="L25" s="150"/>
      <c r="M25" s="459" t="str">
        <f t="shared" si="0"/>
        <v/>
      </c>
    </row>
    <row r="26" spans="1:13" ht="14.45" customHeight="1" x14ac:dyDescent="0.2">
      <c r="A26" s="464" t="s">
        <v>292</v>
      </c>
      <c r="B26" s="460">
        <v>32.999997999999998</v>
      </c>
      <c r="C26" s="461">
        <v>36.038519999999998</v>
      </c>
      <c r="D26" s="461">
        <v>3.0385220000000004</v>
      </c>
      <c r="E26" s="462">
        <v>1.0920764298228141</v>
      </c>
      <c r="F26" s="460">
        <v>36.999999900000006</v>
      </c>
      <c r="G26" s="461">
        <v>36.999999900000006</v>
      </c>
      <c r="H26" s="461">
        <v>4.3649899999999997</v>
      </c>
      <c r="I26" s="461">
        <v>39.833120000000001</v>
      </c>
      <c r="J26" s="461">
        <v>2.833120099999995</v>
      </c>
      <c r="K26" s="463">
        <v>1.0765708137204615</v>
      </c>
      <c r="L26" s="150"/>
      <c r="M26" s="459" t="str">
        <f t="shared" si="0"/>
        <v/>
      </c>
    </row>
    <row r="27" spans="1:13" ht="14.45" customHeight="1" x14ac:dyDescent="0.2">
      <c r="A27" s="464" t="s">
        <v>293</v>
      </c>
      <c r="B27" s="460">
        <v>0.36616300000000002</v>
      </c>
      <c r="C27" s="461">
        <v>1.9610000000000001</v>
      </c>
      <c r="D27" s="461">
        <v>1.5948370000000001</v>
      </c>
      <c r="E27" s="462">
        <v>5.3555383804480519</v>
      </c>
      <c r="F27" s="460">
        <v>1.7553337</v>
      </c>
      <c r="G27" s="461">
        <v>1.7553337</v>
      </c>
      <c r="H27" s="461">
        <v>0</v>
      </c>
      <c r="I27" s="461">
        <v>1.373</v>
      </c>
      <c r="J27" s="461">
        <v>-0.3823337</v>
      </c>
      <c r="K27" s="463">
        <v>0.78218745529696143</v>
      </c>
      <c r="L27" s="150"/>
      <c r="M27" s="459" t="str">
        <f t="shared" si="0"/>
        <v/>
      </c>
    </row>
    <row r="28" spans="1:13" ht="14.45" customHeight="1" x14ac:dyDescent="0.2">
      <c r="A28" s="464" t="s">
        <v>294</v>
      </c>
      <c r="B28" s="460">
        <v>0</v>
      </c>
      <c r="C28" s="461">
        <v>0.86648000000000003</v>
      </c>
      <c r="D28" s="461">
        <v>0.86648000000000003</v>
      </c>
      <c r="E28" s="462">
        <v>0</v>
      </c>
      <c r="F28" s="460">
        <v>0</v>
      </c>
      <c r="G28" s="461">
        <v>0</v>
      </c>
      <c r="H28" s="461">
        <v>0</v>
      </c>
      <c r="I28" s="461">
        <v>0.70422000000000007</v>
      </c>
      <c r="J28" s="461">
        <v>0.70422000000000007</v>
      </c>
      <c r="K28" s="463">
        <v>0</v>
      </c>
      <c r="L28" s="150"/>
      <c r="M28" s="459" t="str">
        <f t="shared" si="0"/>
        <v/>
      </c>
    </row>
    <row r="29" spans="1:13" ht="14.45" customHeight="1" x14ac:dyDescent="0.2">
      <c r="A29" s="464" t="s">
        <v>295</v>
      </c>
      <c r="B29" s="460">
        <v>0</v>
      </c>
      <c r="C29" s="461">
        <v>5.9900000000000002E-2</v>
      </c>
      <c r="D29" s="461">
        <v>5.9900000000000002E-2</v>
      </c>
      <c r="E29" s="462">
        <v>0</v>
      </c>
      <c r="F29" s="460">
        <v>0</v>
      </c>
      <c r="G29" s="461">
        <v>0</v>
      </c>
      <c r="H29" s="461">
        <v>0</v>
      </c>
      <c r="I29" s="461">
        <v>0</v>
      </c>
      <c r="J29" s="461">
        <v>0</v>
      </c>
      <c r="K29" s="463">
        <v>0</v>
      </c>
      <c r="L29" s="150"/>
      <c r="M29" s="459" t="str">
        <f t="shared" si="0"/>
        <v/>
      </c>
    </row>
    <row r="30" spans="1:13" ht="14.45" customHeight="1" x14ac:dyDescent="0.2">
      <c r="A30" s="464" t="s">
        <v>296</v>
      </c>
      <c r="B30" s="460">
        <v>2</v>
      </c>
      <c r="C30" s="461">
        <v>0.47239999999999999</v>
      </c>
      <c r="D30" s="461">
        <v>-1.5276000000000001</v>
      </c>
      <c r="E30" s="462">
        <v>0.23619999999999999</v>
      </c>
      <c r="F30" s="460">
        <v>2</v>
      </c>
      <c r="G30" s="461">
        <v>2</v>
      </c>
      <c r="H30" s="461">
        <v>0</v>
      </c>
      <c r="I30" s="461">
        <v>0.87120000000000009</v>
      </c>
      <c r="J30" s="461">
        <v>-1.1288</v>
      </c>
      <c r="K30" s="463">
        <v>0.43560000000000004</v>
      </c>
      <c r="L30" s="150"/>
      <c r="M30" s="459" t="str">
        <f t="shared" si="0"/>
        <v/>
      </c>
    </row>
    <row r="31" spans="1:13" ht="14.45" customHeight="1" x14ac:dyDescent="0.2">
      <c r="A31" s="464" t="s">
        <v>297</v>
      </c>
      <c r="B31" s="460">
        <v>21.444307000000002</v>
      </c>
      <c r="C31" s="461">
        <v>19.293419999999998</v>
      </c>
      <c r="D31" s="461">
        <v>-2.1508870000000044</v>
      </c>
      <c r="E31" s="462">
        <v>0.89969892708586929</v>
      </c>
      <c r="F31" s="460">
        <v>18.0973556</v>
      </c>
      <c r="G31" s="461">
        <v>18.0973556</v>
      </c>
      <c r="H31" s="461">
        <v>1.5125</v>
      </c>
      <c r="I31" s="461">
        <v>21.782040000000002</v>
      </c>
      <c r="J31" s="461">
        <v>3.6846844000000019</v>
      </c>
      <c r="K31" s="463">
        <v>1.2036034701114013</v>
      </c>
      <c r="L31" s="150"/>
      <c r="M31" s="459" t="str">
        <f t="shared" si="0"/>
        <v/>
      </c>
    </row>
    <row r="32" spans="1:13" ht="14.45" customHeight="1" x14ac:dyDescent="0.2">
      <c r="A32" s="464" t="s">
        <v>298</v>
      </c>
      <c r="B32" s="460">
        <v>25</v>
      </c>
      <c r="C32" s="461">
        <v>20.93844</v>
      </c>
      <c r="D32" s="461">
        <v>-4.0615600000000001</v>
      </c>
      <c r="E32" s="462">
        <v>0.83753759999999999</v>
      </c>
      <c r="F32" s="460">
        <v>22.000000100000001</v>
      </c>
      <c r="G32" s="461">
        <v>22.000000100000001</v>
      </c>
      <c r="H32" s="461">
        <v>2.0163500000000001</v>
      </c>
      <c r="I32" s="461">
        <v>18.11787</v>
      </c>
      <c r="J32" s="461">
        <v>-3.8821301000000012</v>
      </c>
      <c r="K32" s="463">
        <v>0.82353954171118382</v>
      </c>
      <c r="L32" s="150"/>
      <c r="M32" s="459" t="str">
        <f t="shared" si="0"/>
        <v/>
      </c>
    </row>
    <row r="33" spans="1:13" ht="14.45" customHeight="1" x14ac:dyDescent="0.2">
      <c r="A33" s="464" t="s">
        <v>299</v>
      </c>
      <c r="B33" s="460">
        <v>0</v>
      </c>
      <c r="C33" s="461">
        <v>5.1546000000000003</v>
      </c>
      <c r="D33" s="461">
        <v>5.1546000000000003</v>
      </c>
      <c r="E33" s="462">
        <v>0</v>
      </c>
      <c r="F33" s="460">
        <v>4.9815766999999997</v>
      </c>
      <c r="G33" s="461">
        <v>4.9815766999999997</v>
      </c>
      <c r="H33" s="461">
        <v>0</v>
      </c>
      <c r="I33" s="461">
        <v>16.236999999999998</v>
      </c>
      <c r="J33" s="461">
        <v>11.255423299999999</v>
      </c>
      <c r="K33" s="463">
        <v>3.2594098169762193</v>
      </c>
      <c r="L33" s="150"/>
      <c r="M33" s="459" t="str">
        <f t="shared" si="0"/>
        <v/>
      </c>
    </row>
    <row r="34" spans="1:13" ht="14.45" customHeight="1" x14ac:dyDescent="0.2">
      <c r="A34" s="464" t="s">
        <v>300</v>
      </c>
      <c r="B34" s="460">
        <v>11.48624</v>
      </c>
      <c r="C34" s="461">
        <v>10.221729999999999</v>
      </c>
      <c r="D34" s="461">
        <v>-1.2645100000000014</v>
      </c>
      <c r="E34" s="462">
        <v>0.88991088467592516</v>
      </c>
      <c r="F34" s="460">
        <v>3.7090378999999998</v>
      </c>
      <c r="G34" s="461">
        <v>3.7090378999999993</v>
      </c>
      <c r="H34" s="461">
        <v>3.5000000000000003E-2</v>
      </c>
      <c r="I34" s="461">
        <v>2.2704599999999999</v>
      </c>
      <c r="J34" s="461">
        <v>-1.4385778999999994</v>
      </c>
      <c r="K34" s="463">
        <v>0.61214257206700429</v>
      </c>
      <c r="L34" s="150"/>
      <c r="M34" s="459" t="str">
        <f t="shared" si="0"/>
        <v>X</v>
      </c>
    </row>
    <row r="35" spans="1:13" ht="14.45" customHeight="1" x14ac:dyDescent="0.2">
      <c r="A35" s="464" t="s">
        <v>301</v>
      </c>
      <c r="B35" s="460">
        <v>2.4650639999999999</v>
      </c>
      <c r="C35" s="461">
        <v>7.8495100000000004</v>
      </c>
      <c r="D35" s="461">
        <v>5.3844460000000005</v>
      </c>
      <c r="E35" s="462">
        <v>3.1843027199293816</v>
      </c>
      <c r="F35" s="460">
        <v>0.70903779999999994</v>
      </c>
      <c r="G35" s="461">
        <v>0.70903779999999994</v>
      </c>
      <c r="H35" s="461">
        <v>0</v>
      </c>
      <c r="I35" s="461">
        <v>0</v>
      </c>
      <c r="J35" s="461">
        <v>-0.70903779999999994</v>
      </c>
      <c r="K35" s="463">
        <v>0</v>
      </c>
      <c r="L35" s="150"/>
      <c r="M35" s="459" t="str">
        <f t="shared" si="0"/>
        <v/>
      </c>
    </row>
    <row r="36" spans="1:13" ht="14.45" customHeight="1" x14ac:dyDescent="0.2">
      <c r="A36" s="464" t="s">
        <v>302</v>
      </c>
      <c r="B36" s="460">
        <v>0</v>
      </c>
      <c r="C36" s="461">
        <v>0</v>
      </c>
      <c r="D36" s="461">
        <v>0</v>
      </c>
      <c r="E36" s="462">
        <v>0</v>
      </c>
      <c r="F36" s="460">
        <v>0</v>
      </c>
      <c r="G36" s="461">
        <v>0</v>
      </c>
      <c r="H36" s="461">
        <v>0</v>
      </c>
      <c r="I36" s="461">
        <v>1.4847000000000001</v>
      </c>
      <c r="J36" s="461">
        <v>1.4847000000000001</v>
      </c>
      <c r="K36" s="463">
        <v>0</v>
      </c>
      <c r="L36" s="150"/>
      <c r="M36" s="459" t="str">
        <f t="shared" si="0"/>
        <v/>
      </c>
    </row>
    <row r="37" spans="1:13" ht="14.45" customHeight="1" x14ac:dyDescent="0.2">
      <c r="A37" s="464" t="s">
        <v>303</v>
      </c>
      <c r="B37" s="460">
        <v>3.269361</v>
      </c>
      <c r="C37" s="461">
        <v>2.37222</v>
      </c>
      <c r="D37" s="461">
        <v>-0.89714099999999997</v>
      </c>
      <c r="E37" s="462">
        <v>0.72559133115003205</v>
      </c>
      <c r="F37" s="460">
        <v>3.0000001000000003</v>
      </c>
      <c r="G37" s="461">
        <v>3.0000001000000003</v>
      </c>
      <c r="H37" s="461">
        <v>3.5000000000000003E-2</v>
      </c>
      <c r="I37" s="461">
        <v>0.78576000000000001</v>
      </c>
      <c r="J37" s="461">
        <v>-2.2142401000000005</v>
      </c>
      <c r="K37" s="463">
        <v>0.26191999126933363</v>
      </c>
      <c r="L37" s="150"/>
      <c r="M37" s="459" t="str">
        <f t="shared" si="0"/>
        <v/>
      </c>
    </row>
    <row r="38" spans="1:13" ht="14.45" customHeight="1" x14ac:dyDescent="0.2">
      <c r="A38" s="464" t="s">
        <v>304</v>
      </c>
      <c r="B38" s="460">
        <v>5.7518149999999997</v>
      </c>
      <c r="C38" s="461">
        <v>0</v>
      </c>
      <c r="D38" s="461">
        <v>-5.7518149999999997</v>
      </c>
      <c r="E38" s="462">
        <v>0</v>
      </c>
      <c r="F38" s="460">
        <v>0</v>
      </c>
      <c r="G38" s="461">
        <v>0</v>
      </c>
      <c r="H38" s="461">
        <v>0</v>
      </c>
      <c r="I38" s="461">
        <v>0</v>
      </c>
      <c r="J38" s="461">
        <v>0</v>
      </c>
      <c r="K38" s="463">
        <v>0</v>
      </c>
      <c r="L38" s="150"/>
      <c r="M38" s="459" t="str">
        <f t="shared" si="0"/>
        <v/>
      </c>
    </row>
    <row r="39" spans="1:13" ht="14.45" customHeight="1" x14ac:dyDescent="0.2">
      <c r="A39" s="464" t="s">
        <v>305</v>
      </c>
      <c r="B39" s="460">
        <v>3.999997</v>
      </c>
      <c r="C39" s="461">
        <v>7.9735899999999997</v>
      </c>
      <c r="D39" s="461">
        <v>3.9735929999999997</v>
      </c>
      <c r="E39" s="462">
        <v>1.9933989950492461</v>
      </c>
      <c r="F39" s="460">
        <v>3.9999998999999997</v>
      </c>
      <c r="G39" s="461">
        <v>3.9999998999999997</v>
      </c>
      <c r="H39" s="461">
        <v>7.9911000000000003</v>
      </c>
      <c r="I39" s="461">
        <v>86.733949999999993</v>
      </c>
      <c r="J39" s="461">
        <v>82.733950099999987</v>
      </c>
      <c r="K39" s="463">
        <v>21.683488042087202</v>
      </c>
      <c r="L39" s="150"/>
      <c r="M39" s="459" t="str">
        <f t="shared" si="0"/>
        <v>X</v>
      </c>
    </row>
    <row r="40" spans="1:13" ht="14.45" customHeight="1" x14ac:dyDescent="0.2">
      <c r="A40" s="464" t="s">
        <v>306</v>
      </c>
      <c r="B40" s="460">
        <v>0</v>
      </c>
      <c r="C40" s="461">
        <v>3.6832600000000002</v>
      </c>
      <c r="D40" s="461">
        <v>3.6832600000000002</v>
      </c>
      <c r="E40" s="462">
        <v>0</v>
      </c>
      <c r="F40" s="460">
        <v>0</v>
      </c>
      <c r="G40" s="461">
        <v>0</v>
      </c>
      <c r="H40" s="461">
        <v>1.1591099999999999</v>
      </c>
      <c r="I40" s="461">
        <v>3.8724600000000002</v>
      </c>
      <c r="J40" s="461">
        <v>3.8724600000000002</v>
      </c>
      <c r="K40" s="463">
        <v>0</v>
      </c>
      <c r="L40" s="150"/>
      <c r="M40" s="459" t="str">
        <f t="shared" si="0"/>
        <v/>
      </c>
    </row>
    <row r="41" spans="1:13" ht="14.45" customHeight="1" x14ac:dyDescent="0.2">
      <c r="A41" s="464" t="s">
        <v>307</v>
      </c>
      <c r="B41" s="460">
        <v>0</v>
      </c>
      <c r="C41" s="461">
        <v>0</v>
      </c>
      <c r="D41" s="461">
        <v>0</v>
      </c>
      <c r="E41" s="462">
        <v>0</v>
      </c>
      <c r="F41" s="460">
        <v>0</v>
      </c>
      <c r="G41" s="461">
        <v>0</v>
      </c>
      <c r="H41" s="461">
        <v>6.0191499999999998</v>
      </c>
      <c r="I41" s="461">
        <v>31.603429999999999</v>
      </c>
      <c r="J41" s="461">
        <v>31.603429999999999</v>
      </c>
      <c r="K41" s="463">
        <v>0</v>
      </c>
      <c r="L41" s="150"/>
      <c r="M41" s="459" t="str">
        <f t="shared" si="0"/>
        <v/>
      </c>
    </row>
    <row r="42" spans="1:13" ht="14.45" customHeight="1" x14ac:dyDescent="0.2">
      <c r="A42" s="464" t="s">
        <v>308</v>
      </c>
      <c r="B42" s="460">
        <v>0.999996</v>
      </c>
      <c r="C42" s="461">
        <v>1.2913399999999999</v>
      </c>
      <c r="D42" s="461">
        <v>0.29134399999999994</v>
      </c>
      <c r="E42" s="462">
        <v>1.2913451653806614</v>
      </c>
      <c r="F42" s="460">
        <v>1</v>
      </c>
      <c r="G42" s="461">
        <v>1</v>
      </c>
      <c r="H42" s="461">
        <v>0.54107000000000005</v>
      </c>
      <c r="I42" s="461">
        <v>0.92527000000000004</v>
      </c>
      <c r="J42" s="461">
        <v>-7.4729999999999963E-2</v>
      </c>
      <c r="K42" s="463">
        <v>0.92527000000000004</v>
      </c>
      <c r="L42" s="150"/>
      <c r="M42" s="459" t="str">
        <f t="shared" si="0"/>
        <v/>
      </c>
    </row>
    <row r="43" spans="1:13" ht="14.45" customHeight="1" x14ac:dyDescent="0.2">
      <c r="A43" s="464" t="s">
        <v>309</v>
      </c>
      <c r="B43" s="460">
        <v>3.0000010000000001</v>
      </c>
      <c r="C43" s="461">
        <v>2.9989899999999996</v>
      </c>
      <c r="D43" s="461">
        <v>-1.0110000000005392E-3</v>
      </c>
      <c r="E43" s="462">
        <v>0.99966300011233311</v>
      </c>
      <c r="F43" s="460">
        <v>2.9999998999999997</v>
      </c>
      <c r="G43" s="461">
        <v>2.9999998999999997</v>
      </c>
      <c r="H43" s="461">
        <v>0.27176999999999996</v>
      </c>
      <c r="I43" s="461">
        <v>2.9921500000000001</v>
      </c>
      <c r="J43" s="461">
        <v>-7.8498999999996322E-3</v>
      </c>
      <c r="K43" s="463">
        <v>0.99738336657944571</v>
      </c>
      <c r="L43" s="150"/>
      <c r="M43" s="459" t="str">
        <f t="shared" si="0"/>
        <v/>
      </c>
    </row>
    <row r="44" spans="1:13" ht="14.45" customHeight="1" x14ac:dyDescent="0.2">
      <c r="A44" s="464" t="s">
        <v>310</v>
      </c>
      <c r="B44" s="460">
        <v>0</v>
      </c>
      <c r="C44" s="461">
        <v>0</v>
      </c>
      <c r="D44" s="461">
        <v>0</v>
      </c>
      <c r="E44" s="462">
        <v>0</v>
      </c>
      <c r="F44" s="460">
        <v>0</v>
      </c>
      <c r="G44" s="461">
        <v>0</v>
      </c>
      <c r="H44" s="461">
        <v>0</v>
      </c>
      <c r="I44" s="461">
        <v>0.31866</v>
      </c>
      <c r="J44" s="461">
        <v>0.31866</v>
      </c>
      <c r="K44" s="463">
        <v>0</v>
      </c>
      <c r="L44" s="150"/>
      <c r="M44" s="459" t="str">
        <f t="shared" si="0"/>
        <v/>
      </c>
    </row>
    <row r="45" spans="1:13" ht="14.45" customHeight="1" x14ac:dyDescent="0.2">
      <c r="A45" s="464" t="s">
        <v>311</v>
      </c>
      <c r="B45" s="460">
        <v>0</v>
      </c>
      <c r="C45" s="461">
        <v>0</v>
      </c>
      <c r="D45" s="461">
        <v>0</v>
      </c>
      <c r="E45" s="462">
        <v>0</v>
      </c>
      <c r="F45" s="460">
        <v>0</v>
      </c>
      <c r="G45" s="461">
        <v>0</v>
      </c>
      <c r="H45" s="461">
        <v>0</v>
      </c>
      <c r="I45" s="461">
        <v>42.906599999999997</v>
      </c>
      <c r="J45" s="461">
        <v>42.906599999999997</v>
      </c>
      <c r="K45" s="463">
        <v>0</v>
      </c>
      <c r="L45" s="150"/>
      <c r="M45" s="459" t="str">
        <f t="shared" si="0"/>
        <v/>
      </c>
    </row>
    <row r="46" spans="1:13" ht="14.45" customHeight="1" x14ac:dyDescent="0.2">
      <c r="A46" s="464" t="s">
        <v>312</v>
      </c>
      <c r="B46" s="460">
        <v>0</v>
      </c>
      <c r="C46" s="461">
        <v>0</v>
      </c>
      <c r="D46" s="461">
        <v>0</v>
      </c>
      <c r="E46" s="462">
        <v>0</v>
      </c>
      <c r="F46" s="460">
        <v>0</v>
      </c>
      <c r="G46" s="461">
        <v>0</v>
      </c>
      <c r="H46" s="461">
        <v>0</v>
      </c>
      <c r="I46" s="461">
        <v>4.11538</v>
      </c>
      <c r="J46" s="461">
        <v>4.11538</v>
      </c>
      <c r="K46" s="463">
        <v>0</v>
      </c>
      <c r="L46" s="150"/>
      <c r="M46" s="459" t="str">
        <f t="shared" si="0"/>
        <v/>
      </c>
    </row>
    <row r="47" spans="1:13" ht="14.45" customHeight="1" x14ac:dyDescent="0.2">
      <c r="A47" s="464" t="s">
        <v>313</v>
      </c>
      <c r="B47" s="460">
        <v>187.752206</v>
      </c>
      <c r="C47" s="461">
        <v>188.44200000000001</v>
      </c>
      <c r="D47" s="461">
        <v>0.68979400000000624</v>
      </c>
      <c r="E47" s="462">
        <v>1.0036739594953148</v>
      </c>
      <c r="F47" s="460">
        <v>184.74593489999998</v>
      </c>
      <c r="G47" s="461">
        <v>184.74593489999998</v>
      </c>
      <c r="H47" s="461">
        <v>18.216999999999999</v>
      </c>
      <c r="I47" s="461">
        <v>179.505</v>
      </c>
      <c r="J47" s="461">
        <v>-5.240934899999985</v>
      </c>
      <c r="K47" s="463">
        <v>0.97163166321988725</v>
      </c>
      <c r="L47" s="150"/>
      <c r="M47" s="459" t="str">
        <f t="shared" si="0"/>
        <v/>
      </c>
    </row>
    <row r="48" spans="1:13" ht="14.45" customHeight="1" x14ac:dyDescent="0.2">
      <c r="A48" s="464" t="s">
        <v>314</v>
      </c>
      <c r="B48" s="460">
        <v>187.752206</v>
      </c>
      <c r="C48" s="461">
        <v>188.44200000000001</v>
      </c>
      <c r="D48" s="461">
        <v>0.68979400000000624</v>
      </c>
      <c r="E48" s="462">
        <v>1.0036739594953148</v>
      </c>
      <c r="F48" s="460">
        <v>184.74593489999998</v>
      </c>
      <c r="G48" s="461">
        <v>184.74593489999998</v>
      </c>
      <c r="H48" s="461">
        <v>18.216999999999999</v>
      </c>
      <c r="I48" s="461">
        <v>179.505</v>
      </c>
      <c r="J48" s="461">
        <v>-5.240934899999985</v>
      </c>
      <c r="K48" s="463">
        <v>0.97163166321988725</v>
      </c>
      <c r="L48" s="150"/>
      <c r="M48" s="459" t="str">
        <f t="shared" si="0"/>
        <v>X</v>
      </c>
    </row>
    <row r="49" spans="1:13" ht="14.45" customHeight="1" x14ac:dyDescent="0.2">
      <c r="A49" s="464" t="s">
        <v>315</v>
      </c>
      <c r="B49" s="460">
        <v>77.203828999999999</v>
      </c>
      <c r="C49" s="461">
        <v>82.11</v>
      </c>
      <c r="D49" s="461">
        <v>4.9061710000000005</v>
      </c>
      <c r="E49" s="462">
        <v>1.063548285927632</v>
      </c>
      <c r="F49" s="460">
        <v>74.717999899999995</v>
      </c>
      <c r="G49" s="461">
        <v>74.717999899999995</v>
      </c>
      <c r="H49" s="461">
        <v>6.0739999999999998</v>
      </c>
      <c r="I49" s="461">
        <v>72.311999999999998</v>
      </c>
      <c r="J49" s="461">
        <v>-2.4059998999999976</v>
      </c>
      <c r="K49" s="463">
        <v>0.96779892524933608</v>
      </c>
      <c r="L49" s="150"/>
      <c r="M49" s="459" t="str">
        <f t="shared" si="0"/>
        <v/>
      </c>
    </row>
    <row r="50" spans="1:13" ht="14.45" customHeight="1" x14ac:dyDescent="0.2">
      <c r="A50" s="464" t="s">
        <v>316</v>
      </c>
      <c r="B50" s="460">
        <v>27.096837999999998</v>
      </c>
      <c r="C50" s="461">
        <v>25.986000000000001</v>
      </c>
      <c r="D50" s="461">
        <v>-1.1108379999999975</v>
      </c>
      <c r="E50" s="462">
        <v>0.95900488462897415</v>
      </c>
      <c r="F50" s="460">
        <v>28.295901300000001</v>
      </c>
      <c r="G50" s="461">
        <v>28.295901299999997</v>
      </c>
      <c r="H50" s="461">
        <v>1.4950000000000001</v>
      </c>
      <c r="I50" s="461">
        <v>25.026</v>
      </c>
      <c r="J50" s="461">
        <v>-3.2699012999999972</v>
      </c>
      <c r="K50" s="463">
        <v>0.88443904771465964</v>
      </c>
      <c r="L50" s="150"/>
      <c r="M50" s="459" t="str">
        <f t="shared" si="0"/>
        <v/>
      </c>
    </row>
    <row r="51" spans="1:13" ht="14.45" customHeight="1" x14ac:dyDescent="0.2">
      <c r="A51" s="464" t="s">
        <v>317</v>
      </c>
      <c r="B51" s="460">
        <v>83.451539000000011</v>
      </c>
      <c r="C51" s="461">
        <v>80.346000000000004</v>
      </c>
      <c r="D51" s="461">
        <v>-3.1055390000000074</v>
      </c>
      <c r="E51" s="462">
        <v>0.96278631841648832</v>
      </c>
      <c r="F51" s="460">
        <v>81.732033700000002</v>
      </c>
      <c r="G51" s="461">
        <v>81.732033700000002</v>
      </c>
      <c r="H51" s="461">
        <v>10.648</v>
      </c>
      <c r="I51" s="461">
        <v>82.167000000000002</v>
      </c>
      <c r="J51" s="461">
        <v>0.43496629999999925</v>
      </c>
      <c r="K51" s="463">
        <v>1.0053218582764814</v>
      </c>
      <c r="L51" s="150"/>
      <c r="M51" s="459" t="str">
        <f t="shared" si="0"/>
        <v/>
      </c>
    </row>
    <row r="52" spans="1:13" ht="14.45" customHeight="1" x14ac:dyDescent="0.2">
      <c r="A52" s="464" t="s">
        <v>318</v>
      </c>
      <c r="B52" s="460">
        <v>1734.8668799999998</v>
      </c>
      <c r="C52" s="461">
        <v>1471.8824299999999</v>
      </c>
      <c r="D52" s="461">
        <v>-262.98444999999992</v>
      </c>
      <c r="E52" s="462">
        <v>0.84841231737618972</v>
      </c>
      <c r="F52" s="460">
        <v>1343.0908715999999</v>
      </c>
      <c r="G52" s="461">
        <v>1343.0908715999999</v>
      </c>
      <c r="H52" s="461">
        <v>170.67685999999998</v>
      </c>
      <c r="I52" s="461">
        <v>1503.1724400000001</v>
      </c>
      <c r="J52" s="461">
        <v>160.08156840000015</v>
      </c>
      <c r="K52" s="463">
        <v>1.1191889333662866</v>
      </c>
      <c r="L52" s="150"/>
      <c r="M52" s="459" t="str">
        <f t="shared" si="0"/>
        <v/>
      </c>
    </row>
    <row r="53" spans="1:13" ht="14.45" customHeight="1" x14ac:dyDescent="0.2">
      <c r="A53" s="464" t="s">
        <v>319</v>
      </c>
      <c r="B53" s="460">
        <v>437.422483</v>
      </c>
      <c r="C53" s="461">
        <v>262.70245</v>
      </c>
      <c r="D53" s="461">
        <v>-174.720033</v>
      </c>
      <c r="E53" s="462">
        <v>0.60056915272917055</v>
      </c>
      <c r="F53" s="460">
        <v>192.42510289999998</v>
      </c>
      <c r="G53" s="461">
        <v>192.42510289999998</v>
      </c>
      <c r="H53" s="461">
        <v>92.849740000000011</v>
      </c>
      <c r="I53" s="461">
        <v>298.64371999999997</v>
      </c>
      <c r="J53" s="461">
        <v>106.21861709999999</v>
      </c>
      <c r="K53" s="463">
        <v>1.5519997936818044</v>
      </c>
      <c r="L53" s="150"/>
      <c r="M53" s="459" t="str">
        <f t="shared" si="0"/>
        <v/>
      </c>
    </row>
    <row r="54" spans="1:13" ht="14.45" customHeight="1" x14ac:dyDescent="0.2">
      <c r="A54" s="464" t="s">
        <v>320</v>
      </c>
      <c r="B54" s="460">
        <v>437.422483</v>
      </c>
      <c r="C54" s="461">
        <v>262.70245</v>
      </c>
      <c r="D54" s="461">
        <v>-174.720033</v>
      </c>
      <c r="E54" s="462">
        <v>0.60056915272917055</v>
      </c>
      <c r="F54" s="460">
        <v>192.42510289999998</v>
      </c>
      <c r="G54" s="461">
        <v>192.42510289999998</v>
      </c>
      <c r="H54" s="461">
        <v>92.849740000000011</v>
      </c>
      <c r="I54" s="461">
        <v>298.64371999999997</v>
      </c>
      <c r="J54" s="461">
        <v>106.21861709999999</v>
      </c>
      <c r="K54" s="463">
        <v>1.5519997936818044</v>
      </c>
      <c r="L54" s="150"/>
      <c r="M54" s="459" t="str">
        <f t="shared" si="0"/>
        <v>X</v>
      </c>
    </row>
    <row r="55" spans="1:13" ht="14.45" customHeight="1" x14ac:dyDescent="0.2">
      <c r="A55" s="464" t="s">
        <v>321</v>
      </c>
      <c r="B55" s="460">
        <v>285.34893399999999</v>
      </c>
      <c r="C55" s="461">
        <v>90.626580000000004</v>
      </c>
      <c r="D55" s="461">
        <v>-194.722354</v>
      </c>
      <c r="E55" s="462">
        <v>0.31759915388364479</v>
      </c>
      <c r="F55" s="460">
        <v>92.780836699999995</v>
      </c>
      <c r="G55" s="461">
        <v>92.780836699999995</v>
      </c>
      <c r="H55" s="461">
        <v>24.646879999999999</v>
      </c>
      <c r="I55" s="461">
        <v>126.19007999999999</v>
      </c>
      <c r="J55" s="461">
        <v>33.4092433</v>
      </c>
      <c r="K55" s="463">
        <v>1.3600877561389786</v>
      </c>
      <c r="L55" s="150"/>
      <c r="M55" s="459" t="str">
        <f t="shared" si="0"/>
        <v/>
      </c>
    </row>
    <row r="56" spans="1:13" ht="14.45" customHeight="1" x14ac:dyDescent="0.2">
      <c r="A56" s="464" t="s">
        <v>322</v>
      </c>
      <c r="B56" s="460">
        <v>0.24384299999999998</v>
      </c>
      <c r="C56" s="461">
        <v>15.589</v>
      </c>
      <c r="D56" s="461">
        <v>15.345157</v>
      </c>
      <c r="E56" s="462">
        <v>63.930479857941386</v>
      </c>
      <c r="F56" s="460">
        <v>0.66547509999999999</v>
      </c>
      <c r="G56" s="461">
        <v>0.66547509999999999</v>
      </c>
      <c r="H56" s="461">
        <v>0</v>
      </c>
      <c r="I56" s="461">
        <v>0</v>
      </c>
      <c r="J56" s="461">
        <v>-0.66547509999999999</v>
      </c>
      <c r="K56" s="463">
        <v>0</v>
      </c>
      <c r="L56" s="150"/>
      <c r="M56" s="459" t="str">
        <f t="shared" si="0"/>
        <v/>
      </c>
    </row>
    <row r="57" spans="1:13" ht="14.45" customHeight="1" x14ac:dyDescent="0.2">
      <c r="A57" s="464" t="s">
        <v>323</v>
      </c>
      <c r="B57" s="460">
        <v>112.696298</v>
      </c>
      <c r="C57" s="461">
        <v>67.954149999999998</v>
      </c>
      <c r="D57" s="461">
        <v>-44.742148</v>
      </c>
      <c r="E57" s="462">
        <v>0.60298475820385866</v>
      </c>
      <c r="F57" s="460">
        <v>38</v>
      </c>
      <c r="G57" s="461">
        <v>38</v>
      </c>
      <c r="H57" s="461">
        <v>68.202860000000001</v>
      </c>
      <c r="I57" s="461">
        <v>136.70681999999999</v>
      </c>
      <c r="J57" s="461">
        <v>98.706819999999993</v>
      </c>
      <c r="K57" s="463">
        <v>3.597547894736842</v>
      </c>
      <c r="L57" s="150"/>
      <c r="M57" s="459" t="str">
        <f t="shared" si="0"/>
        <v/>
      </c>
    </row>
    <row r="58" spans="1:13" ht="14.45" customHeight="1" x14ac:dyDescent="0.2">
      <c r="A58" s="464" t="s">
        <v>324</v>
      </c>
      <c r="B58" s="460">
        <v>31.352057000000002</v>
      </c>
      <c r="C58" s="461">
        <v>34.76032</v>
      </c>
      <c r="D58" s="461">
        <v>3.408262999999998</v>
      </c>
      <c r="E58" s="462">
        <v>1.1087093902642495</v>
      </c>
      <c r="F58" s="460">
        <v>30.978791099999999</v>
      </c>
      <c r="G58" s="461">
        <v>30.978791100000002</v>
      </c>
      <c r="H58" s="461">
        <v>0</v>
      </c>
      <c r="I58" s="461">
        <v>25.863599999999998</v>
      </c>
      <c r="J58" s="461">
        <v>-5.1151911000000041</v>
      </c>
      <c r="K58" s="463">
        <v>0.8348808678980375</v>
      </c>
      <c r="L58" s="150"/>
      <c r="M58" s="459" t="str">
        <f t="shared" si="0"/>
        <v/>
      </c>
    </row>
    <row r="59" spans="1:13" ht="14.45" customHeight="1" x14ac:dyDescent="0.2">
      <c r="A59" s="464" t="s">
        <v>325</v>
      </c>
      <c r="B59" s="460">
        <v>2.9798710000000002</v>
      </c>
      <c r="C59" s="461">
        <v>0</v>
      </c>
      <c r="D59" s="461">
        <v>-2.9798710000000002</v>
      </c>
      <c r="E59" s="462">
        <v>0</v>
      </c>
      <c r="F59" s="460">
        <v>0</v>
      </c>
      <c r="G59" s="461">
        <v>0</v>
      </c>
      <c r="H59" s="461">
        <v>0</v>
      </c>
      <c r="I59" s="461">
        <v>0</v>
      </c>
      <c r="J59" s="461">
        <v>0</v>
      </c>
      <c r="K59" s="463">
        <v>0</v>
      </c>
      <c r="L59" s="150"/>
      <c r="M59" s="459" t="str">
        <f t="shared" si="0"/>
        <v/>
      </c>
    </row>
    <row r="60" spans="1:13" ht="14.45" customHeight="1" x14ac:dyDescent="0.2">
      <c r="A60" s="464" t="s">
        <v>326</v>
      </c>
      <c r="B60" s="460">
        <v>3.625607</v>
      </c>
      <c r="C60" s="461">
        <v>53.772400000000005</v>
      </c>
      <c r="D60" s="461">
        <v>50.146793000000002</v>
      </c>
      <c r="E60" s="462">
        <v>14.831282044634182</v>
      </c>
      <c r="F60" s="460">
        <v>30</v>
      </c>
      <c r="G60" s="461">
        <v>30</v>
      </c>
      <c r="H60" s="461">
        <v>0</v>
      </c>
      <c r="I60" s="461">
        <v>8.8112199999999987</v>
      </c>
      <c r="J60" s="461">
        <v>-21.188780000000001</v>
      </c>
      <c r="K60" s="463">
        <v>0.29370733333333326</v>
      </c>
      <c r="L60" s="150"/>
      <c r="M60" s="459" t="str">
        <f t="shared" si="0"/>
        <v/>
      </c>
    </row>
    <row r="61" spans="1:13" ht="14.45" customHeight="1" x14ac:dyDescent="0.2">
      <c r="A61" s="464" t="s">
        <v>327</v>
      </c>
      <c r="B61" s="460">
        <v>1.1758729999999999</v>
      </c>
      <c r="C61" s="461">
        <v>0</v>
      </c>
      <c r="D61" s="461">
        <v>-1.1758729999999999</v>
      </c>
      <c r="E61" s="462">
        <v>0</v>
      </c>
      <c r="F61" s="460">
        <v>0</v>
      </c>
      <c r="G61" s="461">
        <v>0</v>
      </c>
      <c r="H61" s="461">
        <v>0</v>
      </c>
      <c r="I61" s="461">
        <v>1.0720000000000001</v>
      </c>
      <c r="J61" s="461">
        <v>1.0720000000000001</v>
      </c>
      <c r="K61" s="463">
        <v>0</v>
      </c>
      <c r="L61" s="150"/>
      <c r="M61" s="459" t="str">
        <f t="shared" si="0"/>
        <v/>
      </c>
    </row>
    <row r="62" spans="1:13" ht="14.45" customHeight="1" x14ac:dyDescent="0.2">
      <c r="A62" s="464" t="s">
        <v>328</v>
      </c>
      <c r="B62" s="460">
        <v>0</v>
      </c>
      <c r="C62" s="461">
        <v>151.14699999999999</v>
      </c>
      <c r="D62" s="461">
        <v>151.14699999999999</v>
      </c>
      <c r="E62" s="462">
        <v>0</v>
      </c>
      <c r="F62" s="460">
        <v>0</v>
      </c>
      <c r="G62" s="461">
        <v>0</v>
      </c>
      <c r="H62" s="461">
        <v>0.59299999999999997</v>
      </c>
      <c r="I62" s="461">
        <v>55.207999999999998</v>
      </c>
      <c r="J62" s="461">
        <v>55.207999999999998</v>
      </c>
      <c r="K62" s="463">
        <v>0</v>
      </c>
      <c r="L62" s="150"/>
      <c r="M62" s="459" t="str">
        <f t="shared" si="0"/>
        <v/>
      </c>
    </row>
    <row r="63" spans="1:13" ht="14.45" customHeight="1" x14ac:dyDescent="0.2">
      <c r="A63" s="464" t="s">
        <v>329</v>
      </c>
      <c r="B63" s="460">
        <v>0</v>
      </c>
      <c r="C63" s="461">
        <v>121.133</v>
      </c>
      <c r="D63" s="461">
        <v>121.133</v>
      </c>
      <c r="E63" s="462">
        <v>0</v>
      </c>
      <c r="F63" s="460">
        <v>0</v>
      </c>
      <c r="G63" s="461">
        <v>0</v>
      </c>
      <c r="H63" s="461">
        <v>0.59299999999999997</v>
      </c>
      <c r="I63" s="461">
        <v>55.207999999999998</v>
      </c>
      <c r="J63" s="461">
        <v>55.207999999999998</v>
      </c>
      <c r="K63" s="463">
        <v>0</v>
      </c>
      <c r="L63" s="150"/>
      <c r="M63" s="459" t="str">
        <f t="shared" si="0"/>
        <v>X</v>
      </c>
    </row>
    <row r="64" spans="1:13" ht="14.45" customHeight="1" x14ac:dyDescent="0.2">
      <c r="A64" s="464" t="s">
        <v>330</v>
      </c>
      <c r="B64" s="460">
        <v>0</v>
      </c>
      <c r="C64" s="461">
        <v>114.49299999999999</v>
      </c>
      <c r="D64" s="461">
        <v>114.49299999999999</v>
      </c>
      <c r="E64" s="462">
        <v>0</v>
      </c>
      <c r="F64" s="460">
        <v>0</v>
      </c>
      <c r="G64" s="461">
        <v>0</v>
      </c>
      <c r="H64" s="461">
        <v>0.59299999999999997</v>
      </c>
      <c r="I64" s="461">
        <v>39.886000000000003</v>
      </c>
      <c r="J64" s="461">
        <v>39.886000000000003</v>
      </c>
      <c r="K64" s="463">
        <v>0</v>
      </c>
      <c r="L64" s="150"/>
      <c r="M64" s="459" t="str">
        <f t="shared" si="0"/>
        <v/>
      </c>
    </row>
    <row r="65" spans="1:13" ht="14.45" customHeight="1" x14ac:dyDescent="0.2">
      <c r="A65" s="464" t="s">
        <v>331</v>
      </c>
      <c r="B65" s="460">
        <v>0</v>
      </c>
      <c r="C65" s="461">
        <v>6.64</v>
      </c>
      <c r="D65" s="461">
        <v>6.64</v>
      </c>
      <c r="E65" s="462">
        <v>0</v>
      </c>
      <c r="F65" s="460">
        <v>0</v>
      </c>
      <c r="G65" s="461">
        <v>0</v>
      </c>
      <c r="H65" s="461">
        <v>0</v>
      </c>
      <c r="I65" s="461">
        <v>15.321999999999999</v>
      </c>
      <c r="J65" s="461">
        <v>15.321999999999999</v>
      </c>
      <c r="K65" s="463">
        <v>0</v>
      </c>
      <c r="L65" s="150"/>
      <c r="M65" s="459" t="str">
        <f t="shared" si="0"/>
        <v/>
      </c>
    </row>
    <row r="66" spans="1:13" ht="14.45" customHeight="1" x14ac:dyDescent="0.2">
      <c r="A66" s="464" t="s">
        <v>332</v>
      </c>
      <c r="B66" s="460">
        <v>0</v>
      </c>
      <c r="C66" s="461">
        <v>30.013999999999999</v>
      </c>
      <c r="D66" s="461">
        <v>30.013999999999999</v>
      </c>
      <c r="E66" s="462">
        <v>0</v>
      </c>
      <c r="F66" s="460">
        <v>0</v>
      </c>
      <c r="G66" s="461">
        <v>0</v>
      </c>
      <c r="H66" s="461">
        <v>0</v>
      </c>
      <c r="I66" s="461">
        <v>0</v>
      </c>
      <c r="J66" s="461">
        <v>0</v>
      </c>
      <c r="K66" s="463">
        <v>0</v>
      </c>
      <c r="L66" s="150"/>
      <c r="M66" s="459" t="str">
        <f t="shared" si="0"/>
        <v>X</v>
      </c>
    </row>
    <row r="67" spans="1:13" ht="14.45" customHeight="1" x14ac:dyDescent="0.2">
      <c r="A67" s="464" t="s">
        <v>333</v>
      </c>
      <c r="B67" s="460">
        <v>0</v>
      </c>
      <c r="C67" s="461">
        <v>30.013999999999999</v>
      </c>
      <c r="D67" s="461">
        <v>30.013999999999999</v>
      </c>
      <c r="E67" s="462">
        <v>0</v>
      </c>
      <c r="F67" s="460">
        <v>0</v>
      </c>
      <c r="G67" s="461">
        <v>0</v>
      </c>
      <c r="H67" s="461">
        <v>0</v>
      </c>
      <c r="I67" s="461">
        <v>0</v>
      </c>
      <c r="J67" s="461">
        <v>0</v>
      </c>
      <c r="K67" s="463">
        <v>0</v>
      </c>
      <c r="L67" s="150"/>
      <c r="M67" s="459" t="str">
        <f t="shared" si="0"/>
        <v/>
      </c>
    </row>
    <row r="68" spans="1:13" ht="14.45" customHeight="1" x14ac:dyDescent="0.2">
      <c r="A68" s="464" t="s">
        <v>334</v>
      </c>
      <c r="B68" s="460">
        <v>1297.4443970000002</v>
      </c>
      <c r="C68" s="461">
        <v>1058.03298</v>
      </c>
      <c r="D68" s="461">
        <v>-239.41141700000026</v>
      </c>
      <c r="E68" s="462">
        <v>0.81547462260920289</v>
      </c>
      <c r="F68" s="460">
        <v>1150.6657686999999</v>
      </c>
      <c r="G68" s="461">
        <v>1150.6657686999999</v>
      </c>
      <c r="H68" s="461">
        <v>77.23411999999999</v>
      </c>
      <c r="I68" s="461">
        <v>1149.3207199999999</v>
      </c>
      <c r="J68" s="461">
        <v>-1.3450487000000066</v>
      </c>
      <c r="K68" s="463">
        <v>0.99883106916309883</v>
      </c>
      <c r="L68" s="150"/>
      <c r="M68" s="459" t="str">
        <f t="shared" si="0"/>
        <v/>
      </c>
    </row>
    <row r="69" spans="1:13" ht="14.45" customHeight="1" x14ac:dyDescent="0.2">
      <c r="A69" s="464" t="s">
        <v>335</v>
      </c>
      <c r="B69" s="460">
        <v>51.626109</v>
      </c>
      <c r="C69" s="461">
        <v>55.706780000000002</v>
      </c>
      <c r="D69" s="461">
        <v>4.0806710000000024</v>
      </c>
      <c r="E69" s="462">
        <v>1.0790427765919761</v>
      </c>
      <c r="F69" s="460">
        <v>57.365897599999997</v>
      </c>
      <c r="G69" s="461">
        <v>57.365897599999997</v>
      </c>
      <c r="H69" s="461">
        <v>3.28356</v>
      </c>
      <c r="I69" s="461">
        <v>50.143380000000001</v>
      </c>
      <c r="J69" s="461">
        <v>-7.2225175999999962</v>
      </c>
      <c r="K69" s="463">
        <v>0.87409736616759581</v>
      </c>
      <c r="L69" s="150"/>
      <c r="M69" s="459" t="str">
        <f t="shared" si="0"/>
        <v>X</v>
      </c>
    </row>
    <row r="70" spans="1:13" ht="14.45" customHeight="1" x14ac:dyDescent="0.2">
      <c r="A70" s="464" t="s">
        <v>336</v>
      </c>
      <c r="B70" s="460">
        <v>40.058546999999997</v>
      </c>
      <c r="C70" s="461">
        <v>42.783300000000004</v>
      </c>
      <c r="D70" s="461">
        <v>2.7247530000000069</v>
      </c>
      <c r="E70" s="462">
        <v>1.068019266899521</v>
      </c>
      <c r="F70" s="460">
        <v>43.368222699999997</v>
      </c>
      <c r="G70" s="461">
        <v>43.368222699999997</v>
      </c>
      <c r="H70" s="461">
        <v>2.5033000000000003</v>
      </c>
      <c r="I70" s="461">
        <v>38.634900000000002</v>
      </c>
      <c r="J70" s="461">
        <v>-4.7333226999999951</v>
      </c>
      <c r="K70" s="463">
        <v>0.89085735118215958</v>
      </c>
      <c r="L70" s="150"/>
      <c r="M70" s="459" t="str">
        <f t="shared" ref="M70:M133" si="1">IF(A70="HV","HV",IF(OR(LEFT(A70,16)="               5",LEFT(A70,16)="               6",LEFT(A70,16)="               7",LEFT(A70,16)="               8"),"X",""))</f>
        <v/>
      </c>
    </row>
    <row r="71" spans="1:13" ht="14.45" customHeight="1" x14ac:dyDescent="0.2">
      <c r="A71" s="464" t="s">
        <v>337</v>
      </c>
      <c r="B71" s="460">
        <v>11.567562000000001</v>
      </c>
      <c r="C71" s="461">
        <v>12.92348</v>
      </c>
      <c r="D71" s="461">
        <v>1.3559179999999991</v>
      </c>
      <c r="E71" s="462">
        <v>1.1172172666980302</v>
      </c>
      <c r="F71" s="460">
        <v>13.9976749</v>
      </c>
      <c r="G71" s="461">
        <v>13.9976749</v>
      </c>
      <c r="H71" s="461">
        <v>0.78025999999999995</v>
      </c>
      <c r="I71" s="461">
        <v>11.508479999999999</v>
      </c>
      <c r="J71" s="461">
        <v>-2.4891949000000011</v>
      </c>
      <c r="K71" s="463">
        <v>0.8221708306713138</v>
      </c>
      <c r="L71" s="150"/>
      <c r="M71" s="459" t="str">
        <f t="shared" si="1"/>
        <v/>
      </c>
    </row>
    <row r="72" spans="1:13" ht="14.45" customHeight="1" x14ac:dyDescent="0.2">
      <c r="A72" s="464" t="s">
        <v>338</v>
      </c>
      <c r="B72" s="460">
        <v>21.843737000000001</v>
      </c>
      <c r="C72" s="461">
        <v>21.138999999999999</v>
      </c>
      <c r="D72" s="461">
        <v>-0.7047370000000015</v>
      </c>
      <c r="E72" s="462">
        <v>0.9677373427449707</v>
      </c>
      <c r="F72" s="460">
        <v>22.2229493</v>
      </c>
      <c r="G72" s="461">
        <v>22.2229493</v>
      </c>
      <c r="H72" s="461">
        <v>0</v>
      </c>
      <c r="I72" s="461">
        <v>21.7575</v>
      </c>
      <c r="J72" s="461">
        <v>-0.46544929999999951</v>
      </c>
      <c r="K72" s="463">
        <v>0.97905546677371036</v>
      </c>
      <c r="L72" s="150"/>
      <c r="M72" s="459" t="str">
        <f t="shared" si="1"/>
        <v>X</v>
      </c>
    </row>
    <row r="73" spans="1:13" ht="14.45" customHeight="1" x14ac:dyDescent="0.2">
      <c r="A73" s="464" t="s">
        <v>339</v>
      </c>
      <c r="B73" s="460">
        <v>3</v>
      </c>
      <c r="C73" s="461">
        <v>2.7</v>
      </c>
      <c r="D73" s="461">
        <v>-0.29999999999999982</v>
      </c>
      <c r="E73" s="462">
        <v>0.9</v>
      </c>
      <c r="F73" s="460">
        <v>2.7</v>
      </c>
      <c r="G73" s="461">
        <v>2.7</v>
      </c>
      <c r="H73" s="461">
        <v>0</v>
      </c>
      <c r="I73" s="461">
        <v>2.7</v>
      </c>
      <c r="J73" s="461">
        <v>0</v>
      </c>
      <c r="K73" s="463">
        <v>1</v>
      </c>
      <c r="L73" s="150"/>
      <c r="M73" s="459" t="str">
        <f t="shared" si="1"/>
        <v/>
      </c>
    </row>
    <row r="74" spans="1:13" ht="14.45" customHeight="1" x14ac:dyDescent="0.2">
      <c r="A74" s="464" t="s">
        <v>340</v>
      </c>
      <c r="B74" s="460">
        <v>18.843737000000001</v>
      </c>
      <c r="C74" s="461">
        <v>18.439</v>
      </c>
      <c r="D74" s="461">
        <v>-0.40473700000000079</v>
      </c>
      <c r="E74" s="462">
        <v>0.97852140475108518</v>
      </c>
      <c r="F74" s="460">
        <v>19.522949300000001</v>
      </c>
      <c r="G74" s="461">
        <v>19.522949300000001</v>
      </c>
      <c r="H74" s="461">
        <v>0</v>
      </c>
      <c r="I74" s="461">
        <v>19.057500000000001</v>
      </c>
      <c r="J74" s="461">
        <v>-0.46544929999999951</v>
      </c>
      <c r="K74" s="463">
        <v>0.976158863456148</v>
      </c>
      <c r="L74" s="150"/>
      <c r="M74" s="459" t="str">
        <f t="shared" si="1"/>
        <v/>
      </c>
    </row>
    <row r="75" spans="1:13" ht="14.45" customHeight="1" x14ac:dyDescent="0.2">
      <c r="A75" s="464" t="s">
        <v>341</v>
      </c>
      <c r="B75" s="460">
        <v>282.03396399999997</v>
      </c>
      <c r="C75" s="461">
        <v>289.46156000000002</v>
      </c>
      <c r="D75" s="461">
        <v>7.4275960000000509</v>
      </c>
      <c r="E75" s="462">
        <v>1.0263358210289881</v>
      </c>
      <c r="F75" s="460">
        <v>318.0081386</v>
      </c>
      <c r="G75" s="461">
        <v>318.0081386</v>
      </c>
      <c r="H75" s="461">
        <v>32.091569999999997</v>
      </c>
      <c r="I75" s="461">
        <v>372.85591999999997</v>
      </c>
      <c r="J75" s="461">
        <v>54.847781399999974</v>
      </c>
      <c r="K75" s="463">
        <v>1.1724728858873299</v>
      </c>
      <c r="L75" s="150"/>
      <c r="M75" s="459" t="str">
        <f t="shared" si="1"/>
        <v>X</v>
      </c>
    </row>
    <row r="76" spans="1:13" ht="14.45" customHeight="1" x14ac:dyDescent="0.2">
      <c r="A76" s="464" t="s">
        <v>342</v>
      </c>
      <c r="B76" s="460">
        <v>247.385908</v>
      </c>
      <c r="C76" s="461">
        <v>247.5642</v>
      </c>
      <c r="D76" s="461">
        <v>0.17829199999999901</v>
      </c>
      <c r="E76" s="462">
        <v>1.0007207039456749</v>
      </c>
      <c r="F76" s="460">
        <v>271.33456800000005</v>
      </c>
      <c r="G76" s="461">
        <v>271.33456800000005</v>
      </c>
      <c r="H76" s="461">
        <v>22.749569999999999</v>
      </c>
      <c r="I76" s="461">
        <v>271.17266999999998</v>
      </c>
      <c r="J76" s="461">
        <v>-0.16189800000006471</v>
      </c>
      <c r="K76" s="463">
        <v>0.99940332703940593</v>
      </c>
      <c r="L76" s="150"/>
      <c r="M76" s="459" t="str">
        <f t="shared" si="1"/>
        <v/>
      </c>
    </row>
    <row r="77" spans="1:13" ht="14.45" customHeight="1" x14ac:dyDescent="0.2">
      <c r="A77" s="464" t="s">
        <v>343</v>
      </c>
      <c r="B77" s="460">
        <v>0</v>
      </c>
      <c r="C77" s="461">
        <v>4.2350000000000003</v>
      </c>
      <c r="D77" s="461">
        <v>4.2350000000000003</v>
      </c>
      <c r="E77" s="462">
        <v>0</v>
      </c>
      <c r="F77" s="460">
        <v>2.5921601999999999</v>
      </c>
      <c r="G77" s="461">
        <v>2.5921601999999999</v>
      </c>
      <c r="H77" s="461">
        <v>0</v>
      </c>
      <c r="I77" s="461">
        <v>0</v>
      </c>
      <c r="J77" s="461">
        <v>-2.5921601999999999</v>
      </c>
      <c r="K77" s="463">
        <v>0</v>
      </c>
      <c r="L77" s="150"/>
      <c r="M77" s="459" t="str">
        <f t="shared" si="1"/>
        <v/>
      </c>
    </row>
    <row r="78" spans="1:13" ht="14.45" customHeight="1" x14ac:dyDescent="0.2">
      <c r="A78" s="464" t="s">
        <v>344</v>
      </c>
      <c r="B78" s="460">
        <v>0.35685600000000001</v>
      </c>
      <c r="C78" s="461">
        <v>0.36399999999999999</v>
      </c>
      <c r="D78" s="461">
        <v>7.1439999999999837E-3</v>
      </c>
      <c r="E78" s="462">
        <v>1.0200192794852825</v>
      </c>
      <c r="F78" s="460">
        <v>0.35969400000000001</v>
      </c>
      <c r="G78" s="461">
        <v>0.35969400000000001</v>
      </c>
      <c r="H78" s="461">
        <v>0</v>
      </c>
      <c r="I78" s="461">
        <v>0.36299999999999999</v>
      </c>
      <c r="J78" s="461">
        <v>3.3059999999999756E-3</v>
      </c>
      <c r="K78" s="463">
        <v>1.0091911458072695</v>
      </c>
      <c r="L78" s="150"/>
      <c r="M78" s="459" t="str">
        <f t="shared" si="1"/>
        <v/>
      </c>
    </row>
    <row r="79" spans="1:13" ht="14.45" customHeight="1" x14ac:dyDescent="0.2">
      <c r="A79" s="464" t="s">
        <v>345</v>
      </c>
      <c r="B79" s="460">
        <v>34.291199999999996</v>
      </c>
      <c r="C79" s="461">
        <v>28.97662</v>
      </c>
      <c r="D79" s="461">
        <v>-5.3145799999999959</v>
      </c>
      <c r="E79" s="462">
        <v>0.84501621407241523</v>
      </c>
      <c r="F79" s="460">
        <v>29.160716000000001</v>
      </c>
      <c r="G79" s="461">
        <v>29.160716000000001</v>
      </c>
      <c r="H79" s="461">
        <v>2.61863</v>
      </c>
      <c r="I79" s="461">
        <v>29.075220000000002</v>
      </c>
      <c r="J79" s="461">
        <v>-8.5495999999999128E-2</v>
      </c>
      <c r="K79" s="463">
        <v>0.99706811039893539</v>
      </c>
      <c r="L79" s="150"/>
      <c r="M79" s="459" t="str">
        <f t="shared" si="1"/>
        <v/>
      </c>
    </row>
    <row r="80" spans="1:13" ht="14.45" customHeight="1" x14ac:dyDescent="0.2">
      <c r="A80" s="464" t="s">
        <v>346</v>
      </c>
      <c r="B80" s="460">
        <v>0</v>
      </c>
      <c r="C80" s="461">
        <v>8.3217400000000001</v>
      </c>
      <c r="D80" s="461">
        <v>8.3217400000000001</v>
      </c>
      <c r="E80" s="462">
        <v>0</v>
      </c>
      <c r="F80" s="460">
        <v>14.561000400000001</v>
      </c>
      <c r="G80" s="461">
        <v>14.561000400000001</v>
      </c>
      <c r="H80" s="461">
        <v>6.7233700000000001</v>
      </c>
      <c r="I80" s="461">
        <v>72.24503</v>
      </c>
      <c r="J80" s="461">
        <v>57.684029600000002</v>
      </c>
      <c r="K80" s="463">
        <v>4.961543026947516</v>
      </c>
      <c r="L80" s="150"/>
      <c r="M80" s="459" t="str">
        <f t="shared" si="1"/>
        <v/>
      </c>
    </row>
    <row r="81" spans="1:13" ht="14.45" customHeight="1" x14ac:dyDescent="0.2">
      <c r="A81" s="464" t="s">
        <v>347</v>
      </c>
      <c r="B81" s="460">
        <v>0</v>
      </c>
      <c r="C81" s="461">
        <v>1.1287700000000001</v>
      </c>
      <c r="D81" s="461">
        <v>1.1287700000000001</v>
      </c>
      <c r="E81" s="462">
        <v>0</v>
      </c>
      <c r="F81" s="460">
        <v>0.84035749999999998</v>
      </c>
      <c r="G81" s="461">
        <v>0.84035749999999987</v>
      </c>
      <c r="H81" s="461">
        <v>0</v>
      </c>
      <c r="I81" s="461">
        <v>0</v>
      </c>
      <c r="J81" s="461">
        <v>-0.84035749999999987</v>
      </c>
      <c r="K81" s="463">
        <v>0</v>
      </c>
      <c r="L81" s="150"/>
      <c r="M81" s="459" t="str">
        <f t="shared" si="1"/>
        <v>X</v>
      </c>
    </row>
    <row r="82" spans="1:13" ht="14.45" customHeight="1" x14ac:dyDescent="0.2">
      <c r="A82" s="464" t="s">
        <v>348</v>
      </c>
      <c r="B82" s="460">
        <v>0</v>
      </c>
      <c r="C82" s="461">
        <v>1.1287700000000001</v>
      </c>
      <c r="D82" s="461">
        <v>1.1287700000000001</v>
      </c>
      <c r="E82" s="462">
        <v>0</v>
      </c>
      <c r="F82" s="460">
        <v>0.84035749999999998</v>
      </c>
      <c r="G82" s="461">
        <v>0.84035749999999987</v>
      </c>
      <c r="H82" s="461">
        <v>0</v>
      </c>
      <c r="I82" s="461">
        <v>0</v>
      </c>
      <c r="J82" s="461">
        <v>-0.84035749999999987</v>
      </c>
      <c r="K82" s="463">
        <v>0</v>
      </c>
      <c r="L82" s="150"/>
      <c r="M82" s="459" t="str">
        <f t="shared" si="1"/>
        <v/>
      </c>
    </row>
    <row r="83" spans="1:13" ht="14.45" customHeight="1" x14ac:dyDescent="0.2">
      <c r="A83" s="464" t="s">
        <v>349</v>
      </c>
      <c r="B83" s="460">
        <v>711.94058299999995</v>
      </c>
      <c r="C83" s="461">
        <v>594.59748000000002</v>
      </c>
      <c r="D83" s="461">
        <v>-117.34310299999993</v>
      </c>
      <c r="E83" s="462">
        <v>0.8351785165757295</v>
      </c>
      <c r="F83" s="460">
        <v>537.50022730000001</v>
      </c>
      <c r="G83" s="461">
        <v>537.50022730000001</v>
      </c>
      <c r="H83" s="461">
        <v>34.598990000000001</v>
      </c>
      <c r="I83" s="461">
        <v>591.87209999999993</v>
      </c>
      <c r="J83" s="461">
        <v>54.371872699999926</v>
      </c>
      <c r="K83" s="463">
        <v>1.1011569296874972</v>
      </c>
      <c r="L83" s="150"/>
      <c r="M83" s="459" t="str">
        <f t="shared" si="1"/>
        <v>X</v>
      </c>
    </row>
    <row r="84" spans="1:13" ht="14.45" customHeight="1" x14ac:dyDescent="0.2">
      <c r="A84" s="464" t="s">
        <v>350</v>
      </c>
      <c r="B84" s="460">
        <v>447.95133899999996</v>
      </c>
      <c r="C84" s="461">
        <v>330.62581</v>
      </c>
      <c r="D84" s="461">
        <v>-117.32552899999996</v>
      </c>
      <c r="E84" s="462">
        <v>0.73808420963331467</v>
      </c>
      <c r="F84" s="460">
        <v>295.84675319999997</v>
      </c>
      <c r="G84" s="461">
        <v>295.84675319999997</v>
      </c>
      <c r="H84" s="461">
        <v>32.43309</v>
      </c>
      <c r="I84" s="461">
        <v>412.55715000000004</v>
      </c>
      <c r="J84" s="461">
        <v>116.71039680000007</v>
      </c>
      <c r="K84" s="463">
        <v>1.3944961218523189</v>
      </c>
      <c r="L84" s="150"/>
      <c r="M84" s="459" t="str">
        <f t="shared" si="1"/>
        <v/>
      </c>
    </row>
    <row r="85" spans="1:13" ht="14.45" customHeight="1" x14ac:dyDescent="0.2">
      <c r="A85" s="464" t="s">
        <v>351</v>
      </c>
      <c r="B85" s="460">
        <v>10</v>
      </c>
      <c r="C85" s="461">
        <v>7.6684999999999999</v>
      </c>
      <c r="D85" s="461">
        <v>-2.3315000000000001</v>
      </c>
      <c r="E85" s="462">
        <v>0.76685000000000003</v>
      </c>
      <c r="F85" s="460">
        <v>10</v>
      </c>
      <c r="G85" s="461">
        <v>10</v>
      </c>
      <c r="H85" s="461">
        <v>2.1659000000000002</v>
      </c>
      <c r="I85" s="461">
        <v>11.136379999999999</v>
      </c>
      <c r="J85" s="461">
        <v>1.1363799999999991</v>
      </c>
      <c r="K85" s="463">
        <v>1.1136379999999999</v>
      </c>
      <c r="L85" s="150"/>
      <c r="M85" s="459" t="str">
        <f t="shared" si="1"/>
        <v/>
      </c>
    </row>
    <row r="86" spans="1:13" ht="14.45" customHeight="1" x14ac:dyDescent="0.2">
      <c r="A86" s="464" t="s">
        <v>352</v>
      </c>
      <c r="B86" s="460">
        <v>233.75619800000001</v>
      </c>
      <c r="C86" s="461">
        <v>216.67735000000002</v>
      </c>
      <c r="D86" s="461">
        <v>-17.078847999999994</v>
      </c>
      <c r="E86" s="462">
        <v>0.92693734691903229</v>
      </c>
      <c r="F86" s="460">
        <v>226.65347370000001</v>
      </c>
      <c r="G86" s="461">
        <v>226.65347370000001</v>
      </c>
      <c r="H86" s="461">
        <v>0</v>
      </c>
      <c r="I86" s="461">
        <v>167.91896</v>
      </c>
      <c r="J86" s="461">
        <v>-58.734513700000008</v>
      </c>
      <c r="K86" s="463">
        <v>0.7408620625080673</v>
      </c>
      <c r="L86" s="150"/>
      <c r="M86" s="459" t="str">
        <f t="shared" si="1"/>
        <v/>
      </c>
    </row>
    <row r="87" spans="1:13" ht="14.45" customHeight="1" x14ac:dyDescent="0.2">
      <c r="A87" s="464" t="s">
        <v>353</v>
      </c>
      <c r="B87" s="460">
        <v>20.233045999999998</v>
      </c>
      <c r="C87" s="461">
        <v>17.48282</v>
      </c>
      <c r="D87" s="461">
        <v>-2.7502259999999978</v>
      </c>
      <c r="E87" s="462">
        <v>0.86407256722492509</v>
      </c>
      <c r="F87" s="460">
        <v>0</v>
      </c>
      <c r="G87" s="461">
        <v>0</v>
      </c>
      <c r="H87" s="461">
        <v>0</v>
      </c>
      <c r="I87" s="461">
        <v>0</v>
      </c>
      <c r="J87" s="461">
        <v>0</v>
      </c>
      <c r="K87" s="463">
        <v>0</v>
      </c>
      <c r="L87" s="150"/>
      <c r="M87" s="459" t="str">
        <f t="shared" si="1"/>
        <v/>
      </c>
    </row>
    <row r="88" spans="1:13" ht="14.45" customHeight="1" x14ac:dyDescent="0.2">
      <c r="A88" s="464" t="s">
        <v>354</v>
      </c>
      <c r="B88" s="460">
        <v>0</v>
      </c>
      <c r="C88" s="461">
        <v>22.143000000000001</v>
      </c>
      <c r="D88" s="461">
        <v>22.143000000000001</v>
      </c>
      <c r="E88" s="462">
        <v>0</v>
      </c>
      <c r="F88" s="460">
        <v>5.0000004000000002</v>
      </c>
      <c r="G88" s="461">
        <v>5.0000004000000002</v>
      </c>
      <c r="H88" s="461">
        <v>0</v>
      </c>
      <c r="I88" s="461">
        <v>0.25961000000000001</v>
      </c>
      <c r="J88" s="461">
        <v>-4.7403903999999999</v>
      </c>
      <c r="K88" s="463">
        <v>5.1921995846240333E-2</v>
      </c>
      <c r="L88" s="150"/>
      <c r="M88" s="459" t="str">
        <f t="shared" si="1"/>
        <v/>
      </c>
    </row>
    <row r="89" spans="1:13" ht="14.45" customHeight="1" x14ac:dyDescent="0.2">
      <c r="A89" s="464" t="s">
        <v>355</v>
      </c>
      <c r="B89" s="460">
        <v>230.00000399999999</v>
      </c>
      <c r="C89" s="461">
        <v>95.999390000000005</v>
      </c>
      <c r="D89" s="461">
        <v>-134.00061399999998</v>
      </c>
      <c r="E89" s="462">
        <v>0.41738864491498012</v>
      </c>
      <c r="F89" s="460">
        <v>214.7281984</v>
      </c>
      <c r="G89" s="461">
        <v>214.7281984</v>
      </c>
      <c r="H89" s="461">
        <v>7.26</v>
      </c>
      <c r="I89" s="461">
        <v>112.69182000000001</v>
      </c>
      <c r="J89" s="461">
        <v>-102.03637839999999</v>
      </c>
      <c r="K89" s="463">
        <v>0.52481146323444405</v>
      </c>
      <c r="L89" s="150"/>
      <c r="M89" s="459" t="str">
        <f t="shared" si="1"/>
        <v>X</v>
      </c>
    </row>
    <row r="90" spans="1:13" ht="14.45" customHeight="1" x14ac:dyDescent="0.2">
      <c r="A90" s="464" t="s">
        <v>356</v>
      </c>
      <c r="B90" s="460">
        <v>120</v>
      </c>
      <c r="C90" s="461">
        <v>32.287289999999999</v>
      </c>
      <c r="D90" s="461">
        <v>-87.712710000000001</v>
      </c>
      <c r="E90" s="462">
        <v>0.26906075000000002</v>
      </c>
      <c r="F90" s="460">
        <v>31.693586</v>
      </c>
      <c r="G90" s="461">
        <v>31.693585999999996</v>
      </c>
      <c r="H90" s="461">
        <v>0</v>
      </c>
      <c r="I90" s="461">
        <v>105.43182</v>
      </c>
      <c r="J90" s="461">
        <v>73.738234000000006</v>
      </c>
      <c r="K90" s="463">
        <v>3.3265980062969209</v>
      </c>
      <c r="L90" s="150"/>
      <c r="M90" s="459" t="str">
        <f t="shared" si="1"/>
        <v/>
      </c>
    </row>
    <row r="91" spans="1:13" ht="14.45" customHeight="1" x14ac:dyDescent="0.2">
      <c r="A91" s="464" t="s">
        <v>357</v>
      </c>
      <c r="B91" s="460">
        <v>110.000004</v>
      </c>
      <c r="C91" s="461">
        <v>63.7121</v>
      </c>
      <c r="D91" s="461">
        <v>-46.287904000000005</v>
      </c>
      <c r="E91" s="462">
        <v>0.57920088802905856</v>
      </c>
      <c r="F91" s="460">
        <v>183.03461240000001</v>
      </c>
      <c r="G91" s="461">
        <v>183.03461240000001</v>
      </c>
      <c r="H91" s="461">
        <v>7.26</v>
      </c>
      <c r="I91" s="461">
        <v>7.26</v>
      </c>
      <c r="J91" s="461">
        <v>-175.77461240000002</v>
      </c>
      <c r="K91" s="463">
        <v>3.966462902729101E-2</v>
      </c>
      <c r="L91" s="150"/>
      <c r="M91" s="459" t="str">
        <f t="shared" si="1"/>
        <v/>
      </c>
    </row>
    <row r="92" spans="1:13" ht="14.45" customHeight="1" x14ac:dyDescent="0.2">
      <c r="A92" s="464" t="s">
        <v>358</v>
      </c>
      <c r="B92" s="460">
        <v>23016.645256</v>
      </c>
      <c r="C92" s="461">
        <v>22058.038619999999</v>
      </c>
      <c r="D92" s="461">
        <v>-958.60663600000044</v>
      </c>
      <c r="E92" s="462">
        <v>0.95835159184416285</v>
      </c>
      <c r="F92" s="460">
        <v>23106.0060328</v>
      </c>
      <c r="G92" s="461">
        <v>23106.0060328</v>
      </c>
      <c r="H92" s="461">
        <v>2392.4083599999999</v>
      </c>
      <c r="I92" s="461">
        <v>25311.505860000001</v>
      </c>
      <c r="J92" s="461">
        <v>2205.4998272000012</v>
      </c>
      <c r="K92" s="463">
        <v>1.095451365505107</v>
      </c>
      <c r="L92" s="150"/>
      <c r="M92" s="459" t="str">
        <f t="shared" si="1"/>
        <v/>
      </c>
    </row>
    <row r="93" spans="1:13" ht="14.45" customHeight="1" x14ac:dyDescent="0.2">
      <c r="A93" s="464" t="s">
        <v>359</v>
      </c>
      <c r="B93" s="460">
        <v>16350.56</v>
      </c>
      <c r="C93" s="461">
        <v>16243.483</v>
      </c>
      <c r="D93" s="461">
        <v>-107.07699999999932</v>
      </c>
      <c r="E93" s="462">
        <v>0.99345117231458746</v>
      </c>
      <c r="F93" s="460">
        <v>16977.1855301</v>
      </c>
      <c r="G93" s="461">
        <v>16977.1855301</v>
      </c>
      <c r="H93" s="461">
        <v>1762.6369999999999</v>
      </c>
      <c r="I93" s="461">
        <v>18672.617999999999</v>
      </c>
      <c r="J93" s="461">
        <v>1695.432469899999</v>
      </c>
      <c r="K93" s="463">
        <v>1.099865343810613</v>
      </c>
      <c r="L93" s="150"/>
      <c r="M93" s="459" t="str">
        <f t="shared" si="1"/>
        <v/>
      </c>
    </row>
    <row r="94" spans="1:13" ht="14.45" customHeight="1" x14ac:dyDescent="0.2">
      <c r="A94" s="464" t="s">
        <v>360</v>
      </c>
      <c r="B94" s="460">
        <v>15897.67</v>
      </c>
      <c r="C94" s="461">
        <v>16125.084000000001</v>
      </c>
      <c r="D94" s="461">
        <v>227.41400000000067</v>
      </c>
      <c r="E94" s="462">
        <v>1.0143048635428966</v>
      </c>
      <c r="F94" s="460">
        <v>16854.650606400002</v>
      </c>
      <c r="G94" s="461">
        <v>16854.650606400002</v>
      </c>
      <c r="H94" s="461">
        <v>1755.3869999999999</v>
      </c>
      <c r="I94" s="461">
        <v>17024.092000000001</v>
      </c>
      <c r="J94" s="461">
        <v>169.44139359999826</v>
      </c>
      <c r="K94" s="463">
        <v>1.0100530943985073</v>
      </c>
      <c r="L94" s="150"/>
      <c r="M94" s="459" t="str">
        <f t="shared" si="1"/>
        <v>X</v>
      </c>
    </row>
    <row r="95" spans="1:13" ht="14.45" customHeight="1" x14ac:dyDescent="0.2">
      <c r="A95" s="464" t="s">
        <v>361</v>
      </c>
      <c r="B95" s="460">
        <v>15897.67</v>
      </c>
      <c r="C95" s="461">
        <v>16125.084000000001</v>
      </c>
      <c r="D95" s="461">
        <v>227.41400000000067</v>
      </c>
      <c r="E95" s="462">
        <v>1.0143048635428966</v>
      </c>
      <c r="F95" s="460">
        <v>16854.650606400002</v>
      </c>
      <c r="G95" s="461">
        <v>16854.650606400002</v>
      </c>
      <c r="H95" s="461">
        <v>1755.3869999999999</v>
      </c>
      <c r="I95" s="461">
        <v>17024.092000000001</v>
      </c>
      <c r="J95" s="461">
        <v>169.44139359999826</v>
      </c>
      <c r="K95" s="463">
        <v>1.0100530943985073</v>
      </c>
      <c r="L95" s="150"/>
      <c r="M95" s="459" t="str">
        <f t="shared" si="1"/>
        <v/>
      </c>
    </row>
    <row r="96" spans="1:13" ht="14.45" customHeight="1" x14ac:dyDescent="0.2">
      <c r="A96" s="464" t="s">
        <v>362</v>
      </c>
      <c r="B96" s="460">
        <v>416.3</v>
      </c>
      <c r="C96" s="461">
        <v>58.5</v>
      </c>
      <c r="D96" s="461">
        <v>-357.8</v>
      </c>
      <c r="E96" s="462">
        <v>0.14052366082152293</v>
      </c>
      <c r="F96" s="460">
        <v>60.545453999999999</v>
      </c>
      <c r="G96" s="461">
        <v>60.545453999999999</v>
      </c>
      <c r="H96" s="461">
        <v>2.25</v>
      </c>
      <c r="I96" s="461">
        <v>71.302000000000007</v>
      </c>
      <c r="J96" s="461">
        <v>10.756546000000007</v>
      </c>
      <c r="K96" s="463">
        <v>1.1776606712702165</v>
      </c>
      <c r="L96" s="150"/>
      <c r="M96" s="459" t="str">
        <f t="shared" si="1"/>
        <v>X</v>
      </c>
    </row>
    <row r="97" spans="1:13" ht="14.45" customHeight="1" x14ac:dyDescent="0.2">
      <c r="A97" s="464" t="s">
        <v>363</v>
      </c>
      <c r="B97" s="460">
        <v>416.3</v>
      </c>
      <c r="C97" s="461">
        <v>58.5</v>
      </c>
      <c r="D97" s="461">
        <v>-357.8</v>
      </c>
      <c r="E97" s="462">
        <v>0.14052366082152293</v>
      </c>
      <c r="F97" s="460">
        <v>60.545453999999999</v>
      </c>
      <c r="G97" s="461">
        <v>60.545453999999999</v>
      </c>
      <c r="H97" s="461">
        <v>2.25</v>
      </c>
      <c r="I97" s="461">
        <v>71.302000000000007</v>
      </c>
      <c r="J97" s="461">
        <v>10.756546000000007</v>
      </c>
      <c r="K97" s="463">
        <v>1.1776606712702165</v>
      </c>
      <c r="L97" s="150"/>
      <c r="M97" s="459" t="str">
        <f t="shared" si="1"/>
        <v/>
      </c>
    </row>
    <row r="98" spans="1:13" ht="14.45" customHeight="1" x14ac:dyDescent="0.2">
      <c r="A98" s="464" t="s">
        <v>364</v>
      </c>
      <c r="B98" s="460">
        <v>23.51</v>
      </c>
      <c r="C98" s="461">
        <v>37.399000000000001</v>
      </c>
      <c r="D98" s="461">
        <v>13.888999999999999</v>
      </c>
      <c r="E98" s="462">
        <v>1.590769885155253</v>
      </c>
      <c r="F98" s="460">
        <v>37.151203699999996</v>
      </c>
      <c r="G98" s="461">
        <v>37.151203699999996</v>
      </c>
      <c r="H98" s="461">
        <v>0</v>
      </c>
      <c r="I98" s="461">
        <v>49.667999999999999</v>
      </c>
      <c r="J98" s="461">
        <v>12.516796300000003</v>
      </c>
      <c r="K98" s="463">
        <v>1.3369149597701999</v>
      </c>
      <c r="L98" s="150"/>
      <c r="M98" s="459" t="str">
        <f t="shared" si="1"/>
        <v>X</v>
      </c>
    </row>
    <row r="99" spans="1:13" ht="14.45" customHeight="1" x14ac:dyDescent="0.2">
      <c r="A99" s="464" t="s">
        <v>365</v>
      </c>
      <c r="B99" s="460">
        <v>23.51</v>
      </c>
      <c r="C99" s="461">
        <v>37.399000000000001</v>
      </c>
      <c r="D99" s="461">
        <v>13.888999999999999</v>
      </c>
      <c r="E99" s="462">
        <v>1.590769885155253</v>
      </c>
      <c r="F99" s="460">
        <v>37.151203699999996</v>
      </c>
      <c r="G99" s="461">
        <v>37.151203699999996</v>
      </c>
      <c r="H99" s="461">
        <v>0</v>
      </c>
      <c r="I99" s="461">
        <v>49.667999999999999</v>
      </c>
      <c r="J99" s="461">
        <v>12.516796300000003</v>
      </c>
      <c r="K99" s="463">
        <v>1.3369149597701999</v>
      </c>
      <c r="L99" s="150"/>
      <c r="M99" s="459" t="str">
        <f t="shared" si="1"/>
        <v/>
      </c>
    </row>
    <row r="100" spans="1:13" ht="14.45" customHeight="1" x14ac:dyDescent="0.2">
      <c r="A100" s="464" t="s">
        <v>366</v>
      </c>
      <c r="B100" s="460">
        <v>13.08</v>
      </c>
      <c r="C100" s="461">
        <v>22.5</v>
      </c>
      <c r="D100" s="461">
        <v>9.42</v>
      </c>
      <c r="E100" s="462">
        <v>1.7201834862385321</v>
      </c>
      <c r="F100" s="460">
        <v>24.838266000000001</v>
      </c>
      <c r="G100" s="461">
        <v>24.838266000000001</v>
      </c>
      <c r="H100" s="461">
        <v>5</v>
      </c>
      <c r="I100" s="461">
        <v>18.25</v>
      </c>
      <c r="J100" s="461">
        <v>-6.5882660000000008</v>
      </c>
      <c r="K100" s="463">
        <v>0.73475338415330604</v>
      </c>
      <c r="L100" s="150"/>
      <c r="M100" s="459" t="str">
        <f t="shared" si="1"/>
        <v>X</v>
      </c>
    </row>
    <row r="101" spans="1:13" ht="14.45" customHeight="1" x14ac:dyDescent="0.2">
      <c r="A101" s="464" t="s">
        <v>367</v>
      </c>
      <c r="B101" s="460">
        <v>13.08</v>
      </c>
      <c r="C101" s="461">
        <v>22.5</v>
      </c>
      <c r="D101" s="461">
        <v>9.42</v>
      </c>
      <c r="E101" s="462">
        <v>1.7201834862385321</v>
      </c>
      <c r="F101" s="460">
        <v>24.838266000000001</v>
      </c>
      <c r="G101" s="461">
        <v>24.838266000000001</v>
      </c>
      <c r="H101" s="461">
        <v>5</v>
      </c>
      <c r="I101" s="461">
        <v>18.25</v>
      </c>
      <c r="J101" s="461">
        <v>-6.5882660000000008</v>
      </c>
      <c r="K101" s="463">
        <v>0.73475338415330604</v>
      </c>
      <c r="L101" s="150"/>
      <c r="M101" s="459" t="str">
        <f t="shared" si="1"/>
        <v/>
      </c>
    </row>
    <row r="102" spans="1:13" ht="14.45" customHeight="1" x14ac:dyDescent="0.2">
      <c r="A102" s="464" t="s">
        <v>368</v>
      </c>
      <c r="B102" s="460">
        <v>0</v>
      </c>
      <c r="C102" s="461">
        <v>0</v>
      </c>
      <c r="D102" s="461">
        <v>0</v>
      </c>
      <c r="E102" s="462">
        <v>0</v>
      </c>
      <c r="F102" s="460">
        <v>0</v>
      </c>
      <c r="G102" s="461">
        <v>0</v>
      </c>
      <c r="H102" s="461">
        <v>0</v>
      </c>
      <c r="I102" s="461">
        <v>1509.306</v>
      </c>
      <c r="J102" s="461">
        <v>1509.306</v>
      </c>
      <c r="K102" s="463">
        <v>0</v>
      </c>
      <c r="L102" s="150"/>
      <c r="M102" s="459" t="str">
        <f t="shared" si="1"/>
        <v>X</v>
      </c>
    </row>
    <row r="103" spans="1:13" ht="14.45" customHeight="1" x14ac:dyDescent="0.2">
      <c r="A103" s="464" t="s">
        <v>369</v>
      </c>
      <c r="B103" s="460">
        <v>0</v>
      </c>
      <c r="C103" s="461">
        <v>0</v>
      </c>
      <c r="D103" s="461">
        <v>0</v>
      </c>
      <c r="E103" s="462">
        <v>0</v>
      </c>
      <c r="F103" s="460">
        <v>0</v>
      </c>
      <c r="G103" s="461">
        <v>0</v>
      </c>
      <c r="H103" s="461">
        <v>0</v>
      </c>
      <c r="I103" s="461">
        <v>1509.306</v>
      </c>
      <c r="J103" s="461">
        <v>1509.306</v>
      </c>
      <c r="K103" s="463">
        <v>0</v>
      </c>
      <c r="L103" s="150"/>
      <c r="M103" s="459" t="str">
        <f t="shared" si="1"/>
        <v/>
      </c>
    </row>
    <row r="104" spans="1:13" ht="14.45" customHeight="1" x14ac:dyDescent="0.2">
      <c r="A104" s="464" t="s">
        <v>370</v>
      </c>
      <c r="B104" s="460">
        <v>6222.09</v>
      </c>
      <c r="C104" s="461">
        <v>5491.2854500000003</v>
      </c>
      <c r="D104" s="461">
        <v>-730.80454999999984</v>
      </c>
      <c r="E104" s="462">
        <v>0.88254677286892347</v>
      </c>
      <c r="F104" s="460">
        <v>5717.8243474000001</v>
      </c>
      <c r="G104" s="461">
        <v>5717.8243474000001</v>
      </c>
      <c r="H104" s="461">
        <v>594.65968999999996</v>
      </c>
      <c r="I104" s="461">
        <v>6292.49899</v>
      </c>
      <c r="J104" s="461">
        <v>574.67464259999997</v>
      </c>
      <c r="K104" s="463">
        <v>1.1005058231390608</v>
      </c>
      <c r="L104" s="150"/>
      <c r="M104" s="459" t="str">
        <f t="shared" si="1"/>
        <v/>
      </c>
    </row>
    <row r="105" spans="1:13" ht="14.45" customHeight="1" x14ac:dyDescent="0.2">
      <c r="A105" s="464" t="s">
        <v>371</v>
      </c>
      <c r="B105" s="460">
        <v>1652.11</v>
      </c>
      <c r="C105" s="461">
        <v>1458.5520800000002</v>
      </c>
      <c r="D105" s="461">
        <v>-193.55791999999974</v>
      </c>
      <c r="E105" s="462">
        <v>0.8828419899401373</v>
      </c>
      <c r="F105" s="460">
        <v>1522.4976071999999</v>
      </c>
      <c r="G105" s="461">
        <v>1522.4976071999999</v>
      </c>
      <c r="H105" s="461">
        <v>158.43314999999998</v>
      </c>
      <c r="I105" s="461">
        <v>1540.4947</v>
      </c>
      <c r="J105" s="461">
        <v>17.997092800000019</v>
      </c>
      <c r="K105" s="463">
        <v>1.0118207691853771</v>
      </c>
      <c r="L105" s="150"/>
      <c r="M105" s="459" t="str">
        <f t="shared" si="1"/>
        <v>X</v>
      </c>
    </row>
    <row r="106" spans="1:13" ht="14.45" customHeight="1" x14ac:dyDescent="0.2">
      <c r="A106" s="464" t="s">
        <v>372</v>
      </c>
      <c r="B106" s="460">
        <v>1652.11</v>
      </c>
      <c r="C106" s="461">
        <v>1458.5520800000002</v>
      </c>
      <c r="D106" s="461">
        <v>-193.55791999999974</v>
      </c>
      <c r="E106" s="462">
        <v>0.8828419899401373</v>
      </c>
      <c r="F106" s="460">
        <v>1522.4976071999999</v>
      </c>
      <c r="G106" s="461">
        <v>1522.4976071999999</v>
      </c>
      <c r="H106" s="461">
        <v>158.43314999999998</v>
      </c>
      <c r="I106" s="461">
        <v>1540.4947</v>
      </c>
      <c r="J106" s="461">
        <v>17.997092800000019</v>
      </c>
      <c r="K106" s="463">
        <v>1.0118207691853771</v>
      </c>
      <c r="L106" s="150"/>
      <c r="M106" s="459" t="str">
        <f t="shared" si="1"/>
        <v/>
      </c>
    </row>
    <row r="107" spans="1:13" ht="14.45" customHeight="1" x14ac:dyDescent="0.2">
      <c r="A107" s="464" t="s">
        <v>373</v>
      </c>
      <c r="B107" s="460">
        <v>4569.9799999999996</v>
      </c>
      <c r="C107" s="461">
        <v>4032.7333699999999</v>
      </c>
      <c r="D107" s="461">
        <v>-537.24662999999964</v>
      </c>
      <c r="E107" s="462">
        <v>0.88244004787767127</v>
      </c>
      <c r="F107" s="460">
        <v>4195.3267402000001</v>
      </c>
      <c r="G107" s="461">
        <v>4195.3267402000001</v>
      </c>
      <c r="H107" s="461">
        <v>436.22654</v>
      </c>
      <c r="I107" s="461">
        <v>4241.8596399999997</v>
      </c>
      <c r="J107" s="461">
        <v>46.532899799999541</v>
      </c>
      <c r="K107" s="463">
        <v>1.011091603272307</v>
      </c>
      <c r="L107" s="150"/>
      <c r="M107" s="459" t="str">
        <f t="shared" si="1"/>
        <v>X</v>
      </c>
    </row>
    <row r="108" spans="1:13" ht="14.45" customHeight="1" x14ac:dyDescent="0.2">
      <c r="A108" s="464" t="s">
        <v>374</v>
      </c>
      <c r="B108" s="460">
        <v>4569.9799999999996</v>
      </c>
      <c r="C108" s="461">
        <v>4032.7333699999999</v>
      </c>
      <c r="D108" s="461">
        <v>-537.24662999999964</v>
      </c>
      <c r="E108" s="462">
        <v>0.88244004787767127</v>
      </c>
      <c r="F108" s="460">
        <v>4195.3267402000001</v>
      </c>
      <c r="G108" s="461">
        <v>4195.3267402000001</v>
      </c>
      <c r="H108" s="461">
        <v>436.22654</v>
      </c>
      <c r="I108" s="461">
        <v>4241.8596399999997</v>
      </c>
      <c r="J108" s="461">
        <v>46.532899799999541</v>
      </c>
      <c r="K108" s="463">
        <v>1.011091603272307</v>
      </c>
      <c r="L108" s="150"/>
      <c r="M108" s="459" t="str">
        <f t="shared" si="1"/>
        <v/>
      </c>
    </row>
    <row r="109" spans="1:13" ht="14.45" customHeight="1" x14ac:dyDescent="0.2">
      <c r="A109" s="464" t="s">
        <v>375</v>
      </c>
      <c r="B109" s="460">
        <v>0</v>
      </c>
      <c r="C109" s="461">
        <v>0</v>
      </c>
      <c r="D109" s="461">
        <v>0</v>
      </c>
      <c r="E109" s="462">
        <v>0</v>
      </c>
      <c r="F109" s="460">
        <v>0</v>
      </c>
      <c r="G109" s="461">
        <v>0</v>
      </c>
      <c r="H109" s="461">
        <v>0</v>
      </c>
      <c r="I109" s="461">
        <v>135.83673999999999</v>
      </c>
      <c r="J109" s="461">
        <v>135.83673999999999</v>
      </c>
      <c r="K109" s="463">
        <v>0</v>
      </c>
      <c r="L109" s="150"/>
      <c r="M109" s="459" t="str">
        <f t="shared" si="1"/>
        <v>X</v>
      </c>
    </row>
    <row r="110" spans="1:13" ht="14.45" customHeight="1" x14ac:dyDescent="0.2">
      <c r="A110" s="464" t="s">
        <v>376</v>
      </c>
      <c r="B110" s="460">
        <v>0</v>
      </c>
      <c r="C110" s="461">
        <v>0</v>
      </c>
      <c r="D110" s="461">
        <v>0</v>
      </c>
      <c r="E110" s="462">
        <v>0</v>
      </c>
      <c r="F110" s="460">
        <v>0</v>
      </c>
      <c r="G110" s="461">
        <v>0</v>
      </c>
      <c r="H110" s="461">
        <v>0</v>
      </c>
      <c r="I110" s="461">
        <v>135.83673999999999</v>
      </c>
      <c r="J110" s="461">
        <v>135.83673999999999</v>
      </c>
      <c r="K110" s="463">
        <v>0</v>
      </c>
      <c r="L110" s="150"/>
      <c r="M110" s="459" t="str">
        <f t="shared" si="1"/>
        <v/>
      </c>
    </row>
    <row r="111" spans="1:13" ht="14.45" customHeight="1" x14ac:dyDescent="0.2">
      <c r="A111" s="464" t="s">
        <v>377</v>
      </c>
      <c r="B111" s="460">
        <v>0</v>
      </c>
      <c r="C111" s="461">
        <v>0</v>
      </c>
      <c r="D111" s="461">
        <v>0</v>
      </c>
      <c r="E111" s="462">
        <v>0</v>
      </c>
      <c r="F111" s="460">
        <v>0</v>
      </c>
      <c r="G111" s="461">
        <v>0</v>
      </c>
      <c r="H111" s="461">
        <v>0</v>
      </c>
      <c r="I111" s="461">
        <v>374.30790999999999</v>
      </c>
      <c r="J111" s="461">
        <v>374.30790999999999</v>
      </c>
      <c r="K111" s="463">
        <v>0</v>
      </c>
      <c r="L111" s="150"/>
      <c r="M111" s="459" t="str">
        <f t="shared" si="1"/>
        <v>X</v>
      </c>
    </row>
    <row r="112" spans="1:13" ht="14.45" customHeight="1" x14ac:dyDescent="0.2">
      <c r="A112" s="464" t="s">
        <v>378</v>
      </c>
      <c r="B112" s="460">
        <v>0</v>
      </c>
      <c r="C112" s="461">
        <v>0</v>
      </c>
      <c r="D112" s="461">
        <v>0</v>
      </c>
      <c r="E112" s="462">
        <v>0</v>
      </c>
      <c r="F112" s="460">
        <v>0</v>
      </c>
      <c r="G112" s="461">
        <v>0</v>
      </c>
      <c r="H112" s="461">
        <v>0</v>
      </c>
      <c r="I112" s="461">
        <v>374.30790999999999</v>
      </c>
      <c r="J112" s="461">
        <v>374.30790999999999</v>
      </c>
      <c r="K112" s="463">
        <v>0</v>
      </c>
      <c r="L112" s="150"/>
      <c r="M112" s="459" t="str">
        <f t="shared" si="1"/>
        <v/>
      </c>
    </row>
    <row r="113" spans="1:13" ht="14.45" customHeight="1" x14ac:dyDescent="0.2">
      <c r="A113" s="464" t="s">
        <v>379</v>
      </c>
      <c r="B113" s="460">
        <v>75.485255999999993</v>
      </c>
      <c r="C113" s="461">
        <v>0</v>
      </c>
      <c r="D113" s="461">
        <v>-75.485255999999993</v>
      </c>
      <c r="E113" s="462">
        <v>0</v>
      </c>
      <c r="F113" s="460">
        <v>71.452444600000007</v>
      </c>
      <c r="G113" s="461">
        <v>71.452444600000007</v>
      </c>
      <c r="H113" s="461">
        <v>0</v>
      </c>
      <c r="I113" s="461">
        <v>0</v>
      </c>
      <c r="J113" s="461">
        <v>-71.452444600000007</v>
      </c>
      <c r="K113" s="463">
        <v>0</v>
      </c>
      <c r="L113" s="150"/>
      <c r="M113" s="459" t="str">
        <f t="shared" si="1"/>
        <v/>
      </c>
    </row>
    <row r="114" spans="1:13" ht="14.45" customHeight="1" x14ac:dyDescent="0.2">
      <c r="A114" s="464" t="s">
        <v>380</v>
      </c>
      <c r="B114" s="460">
        <v>75.485255999999993</v>
      </c>
      <c r="C114" s="461">
        <v>0</v>
      </c>
      <c r="D114" s="461">
        <v>-75.485255999999993</v>
      </c>
      <c r="E114" s="462">
        <v>0</v>
      </c>
      <c r="F114" s="460">
        <v>71.452444600000007</v>
      </c>
      <c r="G114" s="461">
        <v>71.452444600000007</v>
      </c>
      <c r="H114" s="461">
        <v>0</v>
      </c>
      <c r="I114" s="461">
        <v>0</v>
      </c>
      <c r="J114" s="461">
        <v>-71.452444600000007</v>
      </c>
      <c r="K114" s="463">
        <v>0</v>
      </c>
      <c r="L114" s="150"/>
      <c r="M114" s="459" t="str">
        <f t="shared" si="1"/>
        <v>X</v>
      </c>
    </row>
    <row r="115" spans="1:13" ht="14.45" customHeight="1" x14ac:dyDescent="0.2">
      <c r="A115" s="464" t="s">
        <v>381</v>
      </c>
      <c r="B115" s="460">
        <v>75.485255999999993</v>
      </c>
      <c r="C115" s="461">
        <v>0</v>
      </c>
      <c r="D115" s="461">
        <v>-75.485255999999993</v>
      </c>
      <c r="E115" s="462">
        <v>0</v>
      </c>
      <c r="F115" s="460">
        <v>71.452444600000007</v>
      </c>
      <c r="G115" s="461">
        <v>71.452444600000007</v>
      </c>
      <c r="H115" s="461">
        <v>0</v>
      </c>
      <c r="I115" s="461">
        <v>0</v>
      </c>
      <c r="J115" s="461">
        <v>-71.452444600000007</v>
      </c>
      <c r="K115" s="463">
        <v>0</v>
      </c>
      <c r="L115" s="150"/>
      <c r="M115" s="459" t="str">
        <f t="shared" si="1"/>
        <v/>
      </c>
    </row>
    <row r="116" spans="1:13" ht="14.45" customHeight="1" x14ac:dyDescent="0.2">
      <c r="A116" s="464" t="s">
        <v>382</v>
      </c>
      <c r="B116" s="460">
        <v>368.51</v>
      </c>
      <c r="C116" s="461">
        <v>323.27017000000001</v>
      </c>
      <c r="D116" s="461">
        <v>-45.239829999999984</v>
      </c>
      <c r="E116" s="462">
        <v>0.87723581449621457</v>
      </c>
      <c r="F116" s="460">
        <v>339.54371070000002</v>
      </c>
      <c r="G116" s="461">
        <v>339.54371070000002</v>
      </c>
      <c r="H116" s="461">
        <v>35.111669999999997</v>
      </c>
      <c r="I116" s="461">
        <v>341.50786999999997</v>
      </c>
      <c r="J116" s="461">
        <v>1.9641592999999489</v>
      </c>
      <c r="K116" s="463">
        <v>1.0057847023464244</v>
      </c>
      <c r="L116" s="150"/>
      <c r="M116" s="459" t="str">
        <f t="shared" si="1"/>
        <v/>
      </c>
    </row>
    <row r="117" spans="1:13" ht="14.45" customHeight="1" x14ac:dyDescent="0.2">
      <c r="A117" s="464" t="s">
        <v>383</v>
      </c>
      <c r="B117" s="460">
        <v>368.51</v>
      </c>
      <c r="C117" s="461">
        <v>323.27017000000001</v>
      </c>
      <c r="D117" s="461">
        <v>-45.239829999999984</v>
      </c>
      <c r="E117" s="462">
        <v>0.87723581449621457</v>
      </c>
      <c r="F117" s="460">
        <v>339.54371070000002</v>
      </c>
      <c r="G117" s="461">
        <v>339.54371070000002</v>
      </c>
      <c r="H117" s="461">
        <v>35.111669999999997</v>
      </c>
      <c r="I117" s="461">
        <v>341.50786999999997</v>
      </c>
      <c r="J117" s="461">
        <v>1.9641592999999489</v>
      </c>
      <c r="K117" s="463">
        <v>1.0057847023464244</v>
      </c>
      <c r="L117" s="150"/>
      <c r="M117" s="459" t="str">
        <f t="shared" si="1"/>
        <v>X</v>
      </c>
    </row>
    <row r="118" spans="1:13" ht="14.45" customHeight="1" x14ac:dyDescent="0.2">
      <c r="A118" s="464" t="s">
        <v>384</v>
      </c>
      <c r="B118" s="460">
        <v>368.51</v>
      </c>
      <c r="C118" s="461">
        <v>323.27017000000001</v>
      </c>
      <c r="D118" s="461">
        <v>-45.239829999999984</v>
      </c>
      <c r="E118" s="462">
        <v>0.87723581449621457</v>
      </c>
      <c r="F118" s="460">
        <v>339.54371070000002</v>
      </c>
      <c r="G118" s="461">
        <v>339.54371070000002</v>
      </c>
      <c r="H118" s="461">
        <v>35.111669999999997</v>
      </c>
      <c r="I118" s="461">
        <v>341.50786999999997</v>
      </c>
      <c r="J118" s="461">
        <v>1.9641592999999489</v>
      </c>
      <c r="K118" s="463">
        <v>1.0057847023464244</v>
      </c>
      <c r="L118" s="150"/>
      <c r="M118" s="459" t="str">
        <f t="shared" si="1"/>
        <v/>
      </c>
    </row>
    <row r="119" spans="1:13" ht="14.45" customHeight="1" x14ac:dyDescent="0.2">
      <c r="A119" s="464" t="s">
        <v>385</v>
      </c>
      <c r="B119" s="460">
        <v>0</v>
      </c>
      <c r="C119" s="461">
        <v>0</v>
      </c>
      <c r="D119" s="461">
        <v>0</v>
      </c>
      <c r="E119" s="462">
        <v>0</v>
      </c>
      <c r="F119" s="460">
        <v>0</v>
      </c>
      <c r="G119" s="461">
        <v>0</v>
      </c>
      <c r="H119" s="461">
        <v>0</v>
      </c>
      <c r="I119" s="461">
        <v>4.8810000000000002</v>
      </c>
      <c r="J119" s="461">
        <v>4.8810000000000002</v>
      </c>
      <c r="K119" s="463">
        <v>0</v>
      </c>
      <c r="L119" s="150"/>
      <c r="M119" s="459" t="str">
        <f t="shared" si="1"/>
        <v/>
      </c>
    </row>
    <row r="120" spans="1:13" ht="14.45" customHeight="1" x14ac:dyDescent="0.2">
      <c r="A120" s="464" t="s">
        <v>386</v>
      </c>
      <c r="B120" s="460">
        <v>0</v>
      </c>
      <c r="C120" s="461">
        <v>0</v>
      </c>
      <c r="D120" s="461">
        <v>0</v>
      </c>
      <c r="E120" s="462">
        <v>0</v>
      </c>
      <c r="F120" s="460">
        <v>0</v>
      </c>
      <c r="G120" s="461">
        <v>0</v>
      </c>
      <c r="H120" s="461">
        <v>0</v>
      </c>
      <c r="I120" s="461">
        <v>4.8810000000000002</v>
      </c>
      <c r="J120" s="461">
        <v>4.8810000000000002</v>
      </c>
      <c r="K120" s="463">
        <v>0</v>
      </c>
      <c r="L120" s="150"/>
      <c r="M120" s="459" t="str">
        <f t="shared" si="1"/>
        <v>X</v>
      </c>
    </row>
    <row r="121" spans="1:13" ht="14.45" customHeight="1" x14ac:dyDescent="0.2">
      <c r="A121" s="464" t="s">
        <v>387</v>
      </c>
      <c r="B121" s="460">
        <v>0</v>
      </c>
      <c r="C121" s="461">
        <v>0</v>
      </c>
      <c r="D121" s="461">
        <v>0</v>
      </c>
      <c r="E121" s="462">
        <v>0</v>
      </c>
      <c r="F121" s="460">
        <v>0</v>
      </c>
      <c r="G121" s="461">
        <v>0</v>
      </c>
      <c r="H121" s="461">
        <v>0</v>
      </c>
      <c r="I121" s="461">
        <v>4.8810000000000002</v>
      </c>
      <c r="J121" s="461">
        <v>4.8810000000000002</v>
      </c>
      <c r="K121" s="463">
        <v>0</v>
      </c>
      <c r="L121" s="150"/>
      <c r="M121" s="459" t="str">
        <f t="shared" si="1"/>
        <v/>
      </c>
    </row>
    <row r="122" spans="1:13" ht="14.45" customHeight="1" x14ac:dyDescent="0.2">
      <c r="A122" s="464" t="s">
        <v>388</v>
      </c>
      <c r="B122" s="460">
        <v>0</v>
      </c>
      <c r="C122" s="461">
        <v>118.6521</v>
      </c>
      <c r="D122" s="461">
        <v>118.6521</v>
      </c>
      <c r="E122" s="462">
        <v>0</v>
      </c>
      <c r="F122" s="460">
        <v>112.59894</v>
      </c>
      <c r="G122" s="461">
        <v>112.59894</v>
      </c>
      <c r="H122" s="461">
        <v>31.676500000000001</v>
      </c>
      <c r="I122" s="461">
        <v>118.21395</v>
      </c>
      <c r="J122" s="461">
        <v>5.6150099999999981</v>
      </c>
      <c r="K122" s="463">
        <v>1.0498673433337826</v>
      </c>
      <c r="L122" s="150"/>
      <c r="M122" s="459" t="str">
        <f t="shared" si="1"/>
        <v/>
      </c>
    </row>
    <row r="123" spans="1:13" ht="14.45" customHeight="1" x14ac:dyDescent="0.2">
      <c r="A123" s="464" t="s">
        <v>389</v>
      </c>
      <c r="B123" s="460">
        <v>0</v>
      </c>
      <c r="C123" s="461">
        <v>118.6521</v>
      </c>
      <c r="D123" s="461">
        <v>118.6521</v>
      </c>
      <c r="E123" s="462">
        <v>0</v>
      </c>
      <c r="F123" s="460">
        <v>112.59894</v>
      </c>
      <c r="G123" s="461">
        <v>112.59894</v>
      </c>
      <c r="H123" s="461">
        <v>31.676500000000001</v>
      </c>
      <c r="I123" s="461">
        <v>118.21395</v>
      </c>
      <c r="J123" s="461">
        <v>5.6150099999999981</v>
      </c>
      <c r="K123" s="463">
        <v>1.0498673433337826</v>
      </c>
      <c r="L123" s="150"/>
      <c r="M123" s="459" t="str">
        <f t="shared" si="1"/>
        <v/>
      </c>
    </row>
    <row r="124" spans="1:13" ht="14.45" customHeight="1" x14ac:dyDescent="0.2">
      <c r="A124" s="464" t="s">
        <v>390</v>
      </c>
      <c r="B124" s="460">
        <v>0</v>
      </c>
      <c r="C124" s="461">
        <v>66.205100000000002</v>
      </c>
      <c r="D124" s="461">
        <v>66.205100000000002</v>
      </c>
      <c r="E124" s="462">
        <v>0</v>
      </c>
      <c r="F124" s="460">
        <v>79.208779200000009</v>
      </c>
      <c r="G124" s="461">
        <v>79.208779200000009</v>
      </c>
      <c r="H124" s="461">
        <v>24.176500000000001</v>
      </c>
      <c r="I124" s="461">
        <v>106.39395</v>
      </c>
      <c r="J124" s="461">
        <v>27.185170799999995</v>
      </c>
      <c r="K124" s="463">
        <v>1.343209061856113</v>
      </c>
      <c r="L124" s="150"/>
      <c r="M124" s="459" t="str">
        <f t="shared" si="1"/>
        <v>X</v>
      </c>
    </row>
    <row r="125" spans="1:13" ht="14.45" customHeight="1" x14ac:dyDescent="0.2">
      <c r="A125" s="464" t="s">
        <v>391</v>
      </c>
      <c r="B125" s="460">
        <v>0</v>
      </c>
      <c r="C125" s="461">
        <v>0.92310000000000003</v>
      </c>
      <c r="D125" s="461">
        <v>0.92310000000000003</v>
      </c>
      <c r="E125" s="462">
        <v>0</v>
      </c>
      <c r="F125" s="460">
        <v>0.9845256</v>
      </c>
      <c r="G125" s="461">
        <v>0.9845256</v>
      </c>
      <c r="H125" s="461">
        <v>7.6499999999999999E-2</v>
      </c>
      <c r="I125" s="461">
        <v>0.80495000000000005</v>
      </c>
      <c r="J125" s="461">
        <v>-0.17957559999999995</v>
      </c>
      <c r="K125" s="463">
        <v>0.81760189882314904</v>
      </c>
      <c r="L125" s="150"/>
      <c r="M125" s="459" t="str">
        <f t="shared" si="1"/>
        <v/>
      </c>
    </row>
    <row r="126" spans="1:13" ht="14.45" customHeight="1" x14ac:dyDescent="0.2">
      <c r="A126" s="464" t="s">
        <v>392</v>
      </c>
      <c r="B126" s="460">
        <v>0</v>
      </c>
      <c r="C126" s="461">
        <v>11.9</v>
      </c>
      <c r="D126" s="461">
        <v>11.9</v>
      </c>
      <c r="E126" s="462">
        <v>0</v>
      </c>
      <c r="F126" s="460">
        <v>18.970994399999999</v>
      </c>
      <c r="G126" s="461">
        <v>18.970994399999999</v>
      </c>
      <c r="H126" s="461">
        <v>15</v>
      </c>
      <c r="I126" s="461">
        <v>15</v>
      </c>
      <c r="J126" s="461">
        <v>-3.9709943999999986</v>
      </c>
      <c r="K126" s="463">
        <v>0.79068074575995873</v>
      </c>
      <c r="L126" s="150"/>
      <c r="M126" s="459" t="str">
        <f t="shared" si="1"/>
        <v/>
      </c>
    </row>
    <row r="127" spans="1:13" ht="14.45" customHeight="1" x14ac:dyDescent="0.2">
      <c r="A127" s="464" t="s">
        <v>393</v>
      </c>
      <c r="B127" s="460">
        <v>0</v>
      </c>
      <c r="C127" s="461">
        <v>53.381999999999998</v>
      </c>
      <c r="D127" s="461">
        <v>53.381999999999998</v>
      </c>
      <c r="E127" s="462">
        <v>0</v>
      </c>
      <c r="F127" s="460">
        <v>59.253259200000002</v>
      </c>
      <c r="G127" s="461">
        <v>59.253259200000002</v>
      </c>
      <c r="H127" s="461">
        <v>9.1</v>
      </c>
      <c r="I127" s="461">
        <v>90.588999999999999</v>
      </c>
      <c r="J127" s="461">
        <v>31.335740799999996</v>
      </c>
      <c r="K127" s="463">
        <v>1.5288441720012593</v>
      </c>
      <c r="L127" s="150"/>
      <c r="M127" s="459" t="str">
        <f t="shared" si="1"/>
        <v/>
      </c>
    </row>
    <row r="128" spans="1:13" ht="14.45" customHeight="1" x14ac:dyDescent="0.2">
      <c r="A128" s="464" t="s">
        <v>394</v>
      </c>
      <c r="B128" s="460">
        <v>0</v>
      </c>
      <c r="C128" s="461">
        <v>14.6</v>
      </c>
      <c r="D128" s="461">
        <v>14.6</v>
      </c>
      <c r="E128" s="462">
        <v>0</v>
      </c>
      <c r="F128" s="460">
        <v>11.4869796</v>
      </c>
      <c r="G128" s="461">
        <v>11.4869796</v>
      </c>
      <c r="H128" s="461">
        <v>0</v>
      </c>
      <c r="I128" s="461">
        <v>0.6</v>
      </c>
      <c r="J128" s="461">
        <v>-10.8869796</v>
      </c>
      <c r="K128" s="463">
        <v>5.2233051758880114E-2</v>
      </c>
      <c r="L128" s="150"/>
      <c r="M128" s="459" t="str">
        <f t="shared" si="1"/>
        <v>X</v>
      </c>
    </row>
    <row r="129" spans="1:13" ht="14.45" customHeight="1" x14ac:dyDescent="0.2">
      <c r="A129" s="464" t="s">
        <v>395</v>
      </c>
      <c r="B129" s="460">
        <v>0</v>
      </c>
      <c r="C129" s="461">
        <v>14.6</v>
      </c>
      <c r="D129" s="461">
        <v>14.6</v>
      </c>
      <c r="E129" s="462">
        <v>0</v>
      </c>
      <c r="F129" s="460">
        <v>11.4869796</v>
      </c>
      <c r="G129" s="461">
        <v>11.4869796</v>
      </c>
      <c r="H129" s="461">
        <v>0</v>
      </c>
      <c r="I129" s="461">
        <v>0.6</v>
      </c>
      <c r="J129" s="461">
        <v>-10.8869796</v>
      </c>
      <c r="K129" s="463">
        <v>5.2233051758880114E-2</v>
      </c>
      <c r="L129" s="150"/>
      <c r="M129" s="459" t="str">
        <f t="shared" si="1"/>
        <v/>
      </c>
    </row>
    <row r="130" spans="1:13" ht="14.45" customHeight="1" x14ac:dyDescent="0.2">
      <c r="A130" s="464" t="s">
        <v>396</v>
      </c>
      <c r="B130" s="460">
        <v>0</v>
      </c>
      <c r="C130" s="461">
        <v>25.033000000000001</v>
      </c>
      <c r="D130" s="461">
        <v>25.033000000000001</v>
      </c>
      <c r="E130" s="462">
        <v>0</v>
      </c>
      <c r="F130" s="460">
        <v>10.057089599999999</v>
      </c>
      <c r="G130" s="461">
        <v>10.057089599999999</v>
      </c>
      <c r="H130" s="461">
        <v>7.5</v>
      </c>
      <c r="I130" s="461">
        <v>11.22</v>
      </c>
      <c r="J130" s="461">
        <v>1.1629104000000012</v>
      </c>
      <c r="K130" s="463">
        <v>1.1156309077727617</v>
      </c>
      <c r="L130" s="150"/>
      <c r="M130" s="459" t="str">
        <f t="shared" si="1"/>
        <v>X</v>
      </c>
    </row>
    <row r="131" spans="1:13" ht="14.45" customHeight="1" x14ac:dyDescent="0.2">
      <c r="A131" s="464" t="s">
        <v>397</v>
      </c>
      <c r="B131" s="460">
        <v>0</v>
      </c>
      <c r="C131" s="461">
        <v>25.033000000000001</v>
      </c>
      <c r="D131" s="461">
        <v>25.033000000000001</v>
      </c>
      <c r="E131" s="462">
        <v>0</v>
      </c>
      <c r="F131" s="460">
        <v>10.057089599999999</v>
      </c>
      <c r="G131" s="461">
        <v>10.057089599999999</v>
      </c>
      <c r="H131" s="461">
        <v>7.5</v>
      </c>
      <c r="I131" s="461">
        <v>11.22</v>
      </c>
      <c r="J131" s="461">
        <v>1.1629104000000012</v>
      </c>
      <c r="K131" s="463">
        <v>1.1156309077727617</v>
      </c>
      <c r="L131" s="150"/>
      <c r="M131" s="459" t="str">
        <f t="shared" si="1"/>
        <v/>
      </c>
    </row>
    <row r="132" spans="1:13" ht="14.45" customHeight="1" x14ac:dyDescent="0.2">
      <c r="A132" s="464" t="s">
        <v>398</v>
      </c>
      <c r="B132" s="460">
        <v>0</v>
      </c>
      <c r="C132" s="461">
        <v>12.814</v>
      </c>
      <c r="D132" s="461">
        <v>12.814</v>
      </c>
      <c r="E132" s="462">
        <v>0</v>
      </c>
      <c r="F132" s="460">
        <v>11.846091599999999</v>
      </c>
      <c r="G132" s="461">
        <v>11.846091599999999</v>
      </c>
      <c r="H132" s="461">
        <v>0</v>
      </c>
      <c r="I132" s="461">
        <v>0</v>
      </c>
      <c r="J132" s="461">
        <v>-11.846091599999999</v>
      </c>
      <c r="K132" s="463">
        <v>0</v>
      </c>
      <c r="L132" s="150"/>
      <c r="M132" s="459" t="str">
        <f t="shared" si="1"/>
        <v>X</v>
      </c>
    </row>
    <row r="133" spans="1:13" ht="14.45" customHeight="1" x14ac:dyDescent="0.2">
      <c r="A133" s="464" t="s">
        <v>399</v>
      </c>
      <c r="B133" s="460">
        <v>0</v>
      </c>
      <c r="C133" s="461">
        <v>12.814</v>
      </c>
      <c r="D133" s="461">
        <v>12.814</v>
      </c>
      <c r="E133" s="462">
        <v>0</v>
      </c>
      <c r="F133" s="460">
        <v>11.846091599999999</v>
      </c>
      <c r="G133" s="461">
        <v>11.846091599999999</v>
      </c>
      <c r="H133" s="461">
        <v>0</v>
      </c>
      <c r="I133" s="461">
        <v>0</v>
      </c>
      <c r="J133" s="461">
        <v>-11.846091599999999</v>
      </c>
      <c r="K133" s="463">
        <v>0</v>
      </c>
      <c r="L133" s="150"/>
      <c r="M133" s="459" t="str">
        <f t="shared" si="1"/>
        <v/>
      </c>
    </row>
    <row r="134" spans="1:13" ht="14.45" customHeight="1" x14ac:dyDescent="0.2">
      <c r="A134" s="464" t="s">
        <v>400</v>
      </c>
      <c r="B134" s="460">
        <v>1836.0000120000002</v>
      </c>
      <c r="C134" s="461">
        <v>1765.9609399999999</v>
      </c>
      <c r="D134" s="461">
        <v>-70.03907200000026</v>
      </c>
      <c r="E134" s="462">
        <v>0.96185235754780585</v>
      </c>
      <c r="F134" s="460">
        <v>2250.1196442999999</v>
      </c>
      <c r="G134" s="461">
        <v>2250.1196442999999</v>
      </c>
      <c r="H134" s="461">
        <v>191.7963</v>
      </c>
      <c r="I134" s="461">
        <v>2294.9975800000002</v>
      </c>
      <c r="J134" s="461">
        <v>44.877935700000307</v>
      </c>
      <c r="K134" s="463">
        <v>1.0199446886363066</v>
      </c>
      <c r="L134" s="150"/>
      <c r="M134" s="459" t="str">
        <f t="shared" ref="M134:M197" si="2">IF(A134="HV","HV",IF(OR(LEFT(A134,16)="               5",LEFT(A134,16)="               6",LEFT(A134,16)="               7",LEFT(A134,16)="               8"),"X",""))</f>
        <v/>
      </c>
    </row>
    <row r="135" spans="1:13" ht="14.45" customHeight="1" x14ac:dyDescent="0.2">
      <c r="A135" s="464" t="s">
        <v>401</v>
      </c>
      <c r="B135" s="460">
        <v>1824.0000120000002</v>
      </c>
      <c r="C135" s="461">
        <v>1686.19353</v>
      </c>
      <c r="D135" s="461">
        <v>-137.80648200000019</v>
      </c>
      <c r="E135" s="462">
        <v>0.92444820115494597</v>
      </c>
      <c r="F135" s="460">
        <v>2250.1196442999999</v>
      </c>
      <c r="G135" s="461">
        <v>2250.1196442999999</v>
      </c>
      <c r="H135" s="461">
        <v>180.18029999999999</v>
      </c>
      <c r="I135" s="461">
        <v>2179.9061699999997</v>
      </c>
      <c r="J135" s="461">
        <v>-70.213474300000144</v>
      </c>
      <c r="K135" s="463">
        <v>0.96879567072005934</v>
      </c>
      <c r="L135" s="150"/>
      <c r="M135" s="459" t="str">
        <f t="shared" si="2"/>
        <v/>
      </c>
    </row>
    <row r="136" spans="1:13" ht="14.45" customHeight="1" x14ac:dyDescent="0.2">
      <c r="A136" s="464" t="s">
        <v>402</v>
      </c>
      <c r="B136" s="460">
        <v>1824.0000120000002</v>
      </c>
      <c r="C136" s="461">
        <v>1686.19353</v>
      </c>
      <c r="D136" s="461">
        <v>-137.80648200000019</v>
      </c>
      <c r="E136" s="462">
        <v>0.92444820115494597</v>
      </c>
      <c r="F136" s="460">
        <v>2250.1196442999999</v>
      </c>
      <c r="G136" s="461">
        <v>2250.1196442999999</v>
      </c>
      <c r="H136" s="461">
        <v>180.18029999999999</v>
      </c>
      <c r="I136" s="461">
        <v>2179.9061699999997</v>
      </c>
      <c r="J136" s="461">
        <v>-70.213474300000144</v>
      </c>
      <c r="K136" s="463">
        <v>0.96879567072005934</v>
      </c>
      <c r="L136" s="150"/>
      <c r="M136" s="459" t="str">
        <f t="shared" si="2"/>
        <v>X</v>
      </c>
    </row>
    <row r="137" spans="1:13" ht="14.45" customHeight="1" x14ac:dyDescent="0.2">
      <c r="A137" s="464" t="s">
        <v>403</v>
      </c>
      <c r="B137" s="460">
        <v>3.9999959999999999</v>
      </c>
      <c r="C137" s="461">
        <v>3.528</v>
      </c>
      <c r="D137" s="461">
        <v>-0.47199599999999986</v>
      </c>
      <c r="E137" s="462">
        <v>0.882000882000882</v>
      </c>
      <c r="F137" s="460">
        <v>0</v>
      </c>
      <c r="G137" s="461">
        <v>0</v>
      </c>
      <c r="H137" s="461">
        <v>0</v>
      </c>
      <c r="I137" s="461">
        <v>0</v>
      </c>
      <c r="J137" s="461">
        <v>0</v>
      </c>
      <c r="K137" s="463">
        <v>0</v>
      </c>
      <c r="L137" s="150"/>
      <c r="M137" s="459" t="str">
        <f t="shared" si="2"/>
        <v/>
      </c>
    </row>
    <row r="138" spans="1:13" ht="14.45" customHeight="1" x14ac:dyDescent="0.2">
      <c r="A138" s="464" t="s">
        <v>404</v>
      </c>
      <c r="B138" s="460">
        <v>497.00000399999999</v>
      </c>
      <c r="C138" s="461">
        <v>496.53745000000004</v>
      </c>
      <c r="D138" s="461">
        <v>-0.46255399999995461</v>
      </c>
      <c r="E138" s="462">
        <v>0.99906930785457304</v>
      </c>
      <c r="F138" s="460">
        <v>642.3269196</v>
      </c>
      <c r="G138" s="461">
        <v>642.3269196</v>
      </c>
      <c r="H138" s="461">
        <v>41.271209999999996</v>
      </c>
      <c r="I138" s="461">
        <v>495.53509000000003</v>
      </c>
      <c r="J138" s="461">
        <v>-146.79182959999997</v>
      </c>
      <c r="K138" s="463">
        <v>0.77146866319815377</v>
      </c>
      <c r="L138" s="150"/>
      <c r="M138" s="459" t="str">
        <f t="shared" si="2"/>
        <v/>
      </c>
    </row>
    <row r="139" spans="1:13" ht="14.45" customHeight="1" x14ac:dyDescent="0.2">
      <c r="A139" s="464" t="s">
        <v>405</v>
      </c>
      <c r="B139" s="460">
        <v>704.00000399999999</v>
      </c>
      <c r="C139" s="461">
        <v>477.33300000000003</v>
      </c>
      <c r="D139" s="461">
        <v>-226.66700399999996</v>
      </c>
      <c r="E139" s="462">
        <v>0.6780298256930124</v>
      </c>
      <c r="F139" s="460">
        <v>853.80726430000004</v>
      </c>
      <c r="G139" s="461">
        <v>853.80726430000004</v>
      </c>
      <c r="H139" s="461">
        <v>76.082999999999998</v>
      </c>
      <c r="I139" s="461">
        <v>930.44500000000005</v>
      </c>
      <c r="J139" s="461">
        <v>76.637735700000007</v>
      </c>
      <c r="K139" s="463">
        <v>1.0897599949127066</v>
      </c>
      <c r="L139" s="150"/>
      <c r="M139" s="459" t="str">
        <f t="shared" si="2"/>
        <v/>
      </c>
    </row>
    <row r="140" spans="1:13" ht="14.45" customHeight="1" x14ac:dyDescent="0.2">
      <c r="A140" s="464" t="s">
        <v>406</v>
      </c>
      <c r="B140" s="460">
        <v>59.000004000000004</v>
      </c>
      <c r="C140" s="461">
        <v>58.61</v>
      </c>
      <c r="D140" s="461">
        <v>-0.39000400000000468</v>
      </c>
      <c r="E140" s="462">
        <v>0.99338976316001593</v>
      </c>
      <c r="F140" s="460">
        <v>58.607999999999997</v>
      </c>
      <c r="G140" s="461">
        <v>58.60799999999999</v>
      </c>
      <c r="H140" s="461">
        <v>4.883</v>
      </c>
      <c r="I140" s="461">
        <v>58.603000000000002</v>
      </c>
      <c r="J140" s="461">
        <v>-4.9999999999883471E-3</v>
      </c>
      <c r="K140" s="463">
        <v>0.99991468741468748</v>
      </c>
      <c r="L140" s="150"/>
      <c r="M140" s="459" t="str">
        <f t="shared" si="2"/>
        <v/>
      </c>
    </row>
    <row r="141" spans="1:13" ht="14.45" customHeight="1" x14ac:dyDescent="0.2">
      <c r="A141" s="464" t="s">
        <v>407</v>
      </c>
      <c r="B141" s="460">
        <v>5.0000039999999997</v>
      </c>
      <c r="C141" s="461">
        <v>5.08908</v>
      </c>
      <c r="D141" s="461">
        <v>8.9076000000000377E-2</v>
      </c>
      <c r="E141" s="462">
        <v>1.0178151857478515</v>
      </c>
      <c r="F141" s="460">
        <v>5.1134604000000001</v>
      </c>
      <c r="G141" s="461">
        <v>5.1134604000000001</v>
      </c>
      <c r="H141" s="461">
        <v>0.42408999999999997</v>
      </c>
      <c r="I141" s="461">
        <v>5.08908</v>
      </c>
      <c r="J141" s="461">
        <v>-2.438040000000008E-2</v>
      </c>
      <c r="K141" s="463">
        <v>0.9952321132671722</v>
      </c>
      <c r="L141" s="150"/>
      <c r="M141" s="459" t="str">
        <f t="shared" si="2"/>
        <v/>
      </c>
    </row>
    <row r="142" spans="1:13" ht="14.45" customHeight="1" x14ac:dyDescent="0.2">
      <c r="A142" s="464" t="s">
        <v>408</v>
      </c>
      <c r="B142" s="460">
        <v>555</v>
      </c>
      <c r="C142" s="461">
        <v>645.096</v>
      </c>
      <c r="D142" s="461">
        <v>90.096000000000004</v>
      </c>
      <c r="E142" s="462">
        <v>1.1623351351351352</v>
      </c>
      <c r="F142" s="460">
        <v>690.26400000000001</v>
      </c>
      <c r="G142" s="461">
        <v>690.26400000000001</v>
      </c>
      <c r="H142" s="461">
        <v>57.518999999999998</v>
      </c>
      <c r="I142" s="461">
        <v>690.23400000000004</v>
      </c>
      <c r="J142" s="461">
        <v>-2.9999999999972715E-2</v>
      </c>
      <c r="K142" s="463">
        <v>0.99995653836792886</v>
      </c>
      <c r="L142" s="150"/>
      <c r="M142" s="459" t="str">
        <f t="shared" si="2"/>
        <v/>
      </c>
    </row>
    <row r="143" spans="1:13" ht="14.45" customHeight="1" x14ac:dyDescent="0.2">
      <c r="A143" s="464" t="s">
        <v>409</v>
      </c>
      <c r="B143" s="460">
        <v>12</v>
      </c>
      <c r="C143" s="461">
        <v>79.767409999999998</v>
      </c>
      <c r="D143" s="461">
        <v>67.767409999999998</v>
      </c>
      <c r="E143" s="462">
        <v>6.6472841666666662</v>
      </c>
      <c r="F143" s="460">
        <v>0</v>
      </c>
      <c r="G143" s="461">
        <v>0</v>
      </c>
      <c r="H143" s="461">
        <v>11.616</v>
      </c>
      <c r="I143" s="461">
        <v>115.09141000000001</v>
      </c>
      <c r="J143" s="461">
        <v>115.09141000000001</v>
      </c>
      <c r="K143" s="463">
        <v>0</v>
      </c>
      <c r="L143" s="150"/>
      <c r="M143" s="459" t="str">
        <f t="shared" si="2"/>
        <v/>
      </c>
    </row>
    <row r="144" spans="1:13" ht="14.45" customHeight="1" x14ac:dyDescent="0.2">
      <c r="A144" s="464" t="s">
        <v>410</v>
      </c>
      <c r="B144" s="460">
        <v>12</v>
      </c>
      <c r="C144" s="461">
        <v>73.56741000000001</v>
      </c>
      <c r="D144" s="461">
        <v>61.56741000000001</v>
      </c>
      <c r="E144" s="462">
        <v>6.1306175000000005</v>
      </c>
      <c r="F144" s="460">
        <v>0</v>
      </c>
      <c r="G144" s="461">
        <v>0</v>
      </c>
      <c r="H144" s="461">
        <v>0</v>
      </c>
      <c r="I144" s="461">
        <v>103.47541</v>
      </c>
      <c r="J144" s="461">
        <v>103.47541</v>
      </c>
      <c r="K144" s="463">
        <v>0</v>
      </c>
      <c r="L144" s="150"/>
      <c r="M144" s="459" t="str">
        <f t="shared" si="2"/>
        <v>X</v>
      </c>
    </row>
    <row r="145" spans="1:13" ht="14.45" customHeight="1" x14ac:dyDescent="0.2">
      <c r="A145" s="464" t="s">
        <v>411</v>
      </c>
      <c r="B145" s="460">
        <v>12</v>
      </c>
      <c r="C145" s="461">
        <v>73.56741000000001</v>
      </c>
      <c r="D145" s="461">
        <v>61.56741000000001</v>
      </c>
      <c r="E145" s="462">
        <v>6.1306175000000005</v>
      </c>
      <c r="F145" s="460">
        <v>0</v>
      </c>
      <c r="G145" s="461">
        <v>0</v>
      </c>
      <c r="H145" s="461">
        <v>0</v>
      </c>
      <c r="I145" s="461">
        <v>103.47541</v>
      </c>
      <c r="J145" s="461">
        <v>103.47541</v>
      </c>
      <c r="K145" s="463">
        <v>0</v>
      </c>
      <c r="L145" s="150"/>
      <c r="M145" s="459" t="str">
        <f t="shared" si="2"/>
        <v/>
      </c>
    </row>
    <row r="146" spans="1:13" ht="14.45" customHeight="1" x14ac:dyDescent="0.2">
      <c r="A146" s="464" t="s">
        <v>412</v>
      </c>
      <c r="B146" s="460">
        <v>0</v>
      </c>
      <c r="C146" s="461">
        <v>0</v>
      </c>
      <c r="D146" s="461">
        <v>0</v>
      </c>
      <c r="E146" s="462">
        <v>0</v>
      </c>
      <c r="F146" s="460">
        <v>0</v>
      </c>
      <c r="G146" s="461">
        <v>0</v>
      </c>
      <c r="H146" s="461">
        <v>11.616</v>
      </c>
      <c r="I146" s="461">
        <v>11.616</v>
      </c>
      <c r="J146" s="461">
        <v>11.616</v>
      </c>
      <c r="K146" s="463">
        <v>0</v>
      </c>
      <c r="L146" s="150"/>
      <c r="M146" s="459" t="str">
        <f t="shared" si="2"/>
        <v>X</v>
      </c>
    </row>
    <row r="147" spans="1:13" ht="14.45" customHeight="1" x14ac:dyDescent="0.2">
      <c r="A147" s="464" t="s">
        <v>413</v>
      </c>
      <c r="B147" s="460">
        <v>0</v>
      </c>
      <c r="C147" s="461">
        <v>0</v>
      </c>
      <c r="D147" s="461">
        <v>0</v>
      </c>
      <c r="E147" s="462">
        <v>0</v>
      </c>
      <c r="F147" s="460">
        <v>0</v>
      </c>
      <c r="G147" s="461">
        <v>0</v>
      </c>
      <c r="H147" s="461">
        <v>11.616</v>
      </c>
      <c r="I147" s="461">
        <v>11.616</v>
      </c>
      <c r="J147" s="461">
        <v>11.616</v>
      </c>
      <c r="K147" s="463">
        <v>0</v>
      </c>
      <c r="L147" s="150"/>
      <c r="M147" s="459" t="str">
        <f t="shared" si="2"/>
        <v/>
      </c>
    </row>
    <row r="148" spans="1:13" ht="14.45" customHeight="1" x14ac:dyDescent="0.2">
      <c r="A148" s="464" t="s">
        <v>414</v>
      </c>
      <c r="B148" s="460">
        <v>0</v>
      </c>
      <c r="C148" s="461">
        <v>6.2</v>
      </c>
      <c r="D148" s="461">
        <v>6.2</v>
      </c>
      <c r="E148" s="462">
        <v>0</v>
      </c>
      <c r="F148" s="460">
        <v>0</v>
      </c>
      <c r="G148" s="461">
        <v>0</v>
      </c>
      <c r="H148" s="461">
        <v>0</v>
      </c>
      <c r="I148" s="461">
        <v>0</v>
      </c>
      <c r="J148" s="461">
        <v>0</v>
      </c>
      <c r="K148" s="463">
        <v>0</v>
      </c>
      <c r="L148" s="150"/>
      <c r="M148" s="459" t="str">
        <f t="shared" si="2"/>
        <v>X</v>
      </c>
    </row>
    <row r="149" spans="1:13" ht="14.45" customHeight="1" x14ac:dyDescent="0.2">
      <c r="A149" s="464" t="s">
        <v>415</v>
      </c>
      <c r="B149" s="460">
        <v>0</v>
      </c>
      <c r="C149" s="461">
        <v>6.2</v>
      </c>
      <c r="D149" s="461">
        <v>6.2</v>
      </c>
      <c r="E149" s="462">
        <v>0</v>
      </c>
      <c r="F149" s="460">
        <v>0</v>
      </c>
      <c r="G149" s="461">
        <v>0</v>
      </c>
      <c r="H149" s="461">
        <v>0</v>
      </c>
      <c r="I149" s="461">
        <v>0</v>
      </c>
      <c r="J149" s="461">
        <v>0</v>
      </c>
      <c r="K149" s="463">
        <v>0</v>
      </c>
      <c r="L149" s="150"/>
      <c r="M149" s="459" t="str">
        <f t="shared" si="2"/>
        <v/>
      </c>
    </row>
    <row r="150" spans="1:13" ht="14.45" customHeight="1" x14ac:dyDescent="0.2">
      <c r="A150" s="464" t="s">
        <v>416</v>
      </c>
      <c r="B150" s="460">
        <v>0</v>
      </c>
      <c r="C150" s="461">
        <v>0.20821999999999999</v>
      </c>
      <c r="D150" s="461">
        <v>0.20821999999999999</v>
      </c>
      <c r="E150" s="462">
        <v>0</v>
      </c>
      <c r="F150" s="460">
        <v>0.24348359999999999</v>
      </c>
      <c r="G150" s="461">
        <v>0.24348360000000002</v>
      </c>
      <c r="H150" s="461">
        <v>0</v>
      </c>
      <c r="I150" s="461">
        <v>2.3899499999999998</v>
      </c>
      <c r="J150" s="461">
        <v>2.1464663999999996</v>
      </c>
      <c r="K150" s="463">
        <v>9.8156508282282662</v>
      </c>
      <c r="L150" s="150"/>
      <c r="M150" s="459" t="str">
        <f t="shared" si="2"/>
        <v/>
      </c>
    </row>
    <row r="151" spans="1:13" ht="14.45" customHeight="1" x14ac:dyDescent="0.2">
      <c r="A151" s="464" t="s">
        <v>417</v>
      </c>
      <c r="B151" s="460">
        <v>0</v>
      </c>
      <c r="C151" s="461">
        <v>0.20821999999999999</v>
      </c>
      <c r="D151" s="461">
        <v>0.20821999999999999</v>
      </c>
      <c r="E151" s="462">
        <v>0</v>
      </c>
      <c r="F151" s="460">
        <v>0.24348359999999999</v>
      </c>
      <c r="G151" s="461">
        <v>0.24348360000000002</v>
      </c>
      <c r="H151" s="461">
        <v>0</v>
      </c>
      <c r="I151" s="461">
        <v>2.3899499999999998</v>
      </c>
      <c r="J151" s="461">
        <v>2.1464663999999996</v>
      </c>
      <c r="K151" s="463">
        <v>9.8156508282282662</v>
      </c>
      <c r="L151" s="150"/>
      <c r="M151" s="459" t="str">
        <f t="shared" si="2"/>
        <v/>
      </c>
    </row>
    <row r="152" spans="1:13" ht="14.45" customHeight="1" x14ac:dyDescent="0.2">
      <c r="A152" s="464" t="s">
        <v>418</v>
      </c>
      <c r="B152" s="460">
        <v>0</v>
      </c>
      <c r="C152" s="461">
        <v>0.20821999999999999</v>
      </c>
      <c r="D152" s="461">
        <v>0.20821999999999999</v>
      </c>
      <c r="E152" s="462">
        <v>0</v>
      </c>
      <c r="F152" s="460">
        <v>0.24348359999999999</v>
      </c>
      <c r="G152" s="461">
        <v>0.24348360000000002</v>
      </c>
      <c r="H152" s="461">
        <v>0</v>
      </c>
      <c r="I152" s="461">
        <v>2.3899499999999998</v>
      </c>
      <c r="J152" s="461">
        <v>2.1464663999999996</v>
      </c>
      <c r="K152" s="463">
        <v>9.8156508282282662</v>
      </c>
      <c r="L152" s="150"/>
      <c r="M152" s="459" t="str">
        <f t="shared" si="2"/>
        <v>X</v>
      </c>
    </row>
    <row r="153" spans="1:13" ht="14.45" customHeight="1" x14ac:dyDescent="0.2">
      <c r="A153" s="464" t="s">
        <v>419</v>
      </c>
      <c r="B153" s="460">
        <v>0</v>
      </c>
      <c r="C153" s="461">
        <v>0.20821999999999999</v>
      </c>
      <c r="D153" s="461">
        <v>0.20821999999999999</v>
      </c>
      <c r="E153" s="462">
        <v>0</v>
      </c>
      <c r="F153" s="460">
        <v>0.24348359999999999</v>
      </c>
      <c r="G153" s="461">
        <v>0.24348360000000002</v>
      </c>
      <c r="H153" s="461">
        <v>0</v>
      </c>
      <c r="I153" s="461">
        <v>2.3899499999999998</v>
      </c>
      <c r="J153" s="461">
        <v>2.1464663999999996</v>
      </c>
      <c r="K153" s="463">
        <v>9.8156508282282662</v>
      </c>
      <c r="L153" s="150"/>
      <c r="M153" s="459" t="str">
        <f t="shared" si="2"/>
        <v/>
      </c>
    </row>
    <row r="154" spans="1:13" ht="14.45" customHeight="1" x14ac:dyDescent="0.2">
      <c r="A154" s="464" t="s">
        <v>420</v>
      </c>
      <c r="B154" s="460">
        <v>18890.854660000001</v>
      </c>
      <c r="C154" s="461">
        <v>55465.207139999999</v>
      </c>
      <c r="D154" s="461">
        <v>36574.352480000001</v>
      </c>
      <c r="E154" s="462">
        <v>2.9360877598324606</v>
      </c>
      <c r="F154" s="460">
        <v>33.368830699999997</v>
      </c>
      <c r="G154" s="461">
        <v>33.368830699999997</v>
      </c>
      <c r="H154" s="461">
        <v>6869.5016500000002</v>
      </c>
      <c r="I154" s="461">
        <v>72716.28373000001</v>
      </c>
      <c r="J154" s="461">
        <v>72682.914899300013</v>
      </c>
      <c r="K154" s="463">
        <v>2179.1678702724221</v>
      </c>
      <c r="L154" s="150"/>
      <c r="M154" s="459" t="str">
        <f t="shared" si="2"/>
        <v/>
      </c>
    </row>
    <row r="155" spans="1:13" ht="14.45" customHeight="1" x14ac:dyDescent="0.2">
      <c r="A155" s="464" t="s">
        <v>421</v>
      </c>
      <c r="B155" s="460">
        <v>18890.854660000001</v>
      </c>
      <c r="C155" s="461">
        <v>55196.951890000004</v>
      </c>
      <c r="D155" s="461">
        <v>36306.097229999999</v>
      </c>
      <c r="E155" s="462">
        <v>2.9218874891285624</v>
      </c>
      <c r="F155" s="460">
        <v>28.028582</v>
      </c>
      <c r="G155" s="461">
        <v>28.028582</v>
      </c>
      <c r="H155" s="461">
        <v>6605.4690000000001</v>
      </c>
      <c r="I155" s="461">
        <v>69919.616209999993</v>
      </c>
      <c r="J155" s="461">
        <v>69891.587627999994</v>
      </c>
      <c r="K155" s="463">
        <v>2494.5827159575892</v>
      </c>
      <c r="L155" s="150"/>
      <c r="M155" s="459" t="str">
        <f t="shared" si="2"/>
        <v/>
      </c>
    </row>
    <row r="156" spans="1:13" ht="14.45" customHeight="1" x14ac:dyDescent="0.2">
      <c r="A156" s="464" t="s">
        <v>422</v>
      </c>
      <c r="B156" s="460">
        <v>18890.854660000001</v>
      </c>
      <c r="C156" s="461">
        <v>55196.951890000004</v>
      </c>
      <c r="D156" s="461">
        <v>36306.097229999999</v>
      </c>
      <c r="E156" s="462">
        <v>2.9218874891285624</v>
      </c>
      <c r="F156" s="460">
        <v>28.028582</v>
      </c>
      <c r="G156" s="461">
        <v>28.028582</v>
      </c>
      <c r="H156" s="461">
        <v>6605.4690000000001</v>
      </c>
      <c r="I156" s="461">
        <v>69919.616209999993</v>
      </c>
      <c r="J156" s="461">
        <v>69891.587627999994</v>
      </c>
      <c r="K156" s="463">
        <v>2494.5827159575892</v>
      </c>
      <c r="L156" s="150"/>
      <c r="M156" s="459" t="str">
        <f t="shared" si="2"/>
        <v/>
      </c>
    </row>
    <row r="157" spans="1:13" ht="14.45" customHeight="1" x14ac:dyDescent="0.2">
      <c r="A157" s="464" t="s">
        <v>423</v>
      </c>
      <c r="B157" s="460">
        <v>57.642389000000001</v>
      </c>
      <c r="C157" s="461">
        <v>27.97486</v>
      </c>
      <c r="D157" s="461">
        <v>-29.667529000000002</v>
      </c>
      <c r="E157" s="462">
        <v>0.48531749785734934</v>
      </c>
      <c r="F157" s="460">
        <v>28.028582</v>
      </c>
      <c r="G157" s="461">
        <v>28.028582</v>
      </c>
      <c r="H157" s="461">
        <v>0</v>
      </c>
      <c r="I157" s="461">
        <v>50.730919999999998</v>
      </c>
      <c r="J157" s="461">
        <v>22.702337999999997</v>
      </c>
      <c r="K157" s="463">
        <v>1.8099709789100282</v>
      </c>
      <c r="L157" s="150"/>
      <c r="M157" s="459" t="str">
        <f t="shared" si="2"/>
        <v>X</v>
      </c>
    </row>
    <row r="158" spans="1:13" ht="14.45" customHeight="1" x14ac:dyDescent="0.2">
      <c r="A158" s="464" t="s">
        <v>424</v>
      </c>
      <c r="B158" s="460">
        <v>39.359516999999997</v>
      </c>
      <c r="C158" s="461">
        <v>0</v>
      </c>
      <c r="D158" s="461">
        <v>-39.359516999999997</v>
      </c>
      <c r="E158" s="462">
        <v>0</v>
      </c>
      <c r="F158" s="460">
        <v>0</v>
      </c>
      <c r="G158" s="461">
        <v>0</v>
      </c>
      <c r="H158" s="461">
        <v>0</v>
      </c>
      <c r="I158" s="461">
        <v>5.7110000000000003</v>
      </c>
      <c r="J158" s="461">
        <v>5.7110000000000003</v>
      </c>
      <c r="K158" s="463">
        <v>0</v>
      </c>
      <c r="L158" s="150"/>
      <c r="M158" s="459" t="str">
        <f t="shared" si="2"/>
        <v/>
      </c>
    </row>
    <row r="159" spans="1:13" ht="14.45" customHeight="1" x14ac:dyDescent="0.2">
      <c r="A159" s="464" t="s">
        <v>425</v>
      </c>
      <c r="B159" s="460">
        <v>1.872727</v>
      </c>
      <c r="C159" s="461">
        <v>10.755000000000001</v>
      </c>
      <c r="D159" s="461">
        <v>8.8822730000000014</v>
      </c>
      <c r="E159" s="462">
        <v>5.7429620014022333</v>
      </c>
      <c r="F159" s="460">
        <v>10.3873955</v>
      </c>
      <c r="G159" s="461">
        <v>10.3873955</v>
      </c>
      <c r="H159" s="461">
        <v>0</v>
      </c>
      <c r="I159" s="461">
        <v>30.43656</v>
      </c>
      <c r="J159" s="461">
        <v>20.0491645</v>
      </c>
      <c r="K159" s="463">
        <v>2.9301435571602141</v>
      </c>
      <c r="L159" s="150"/>
      <c r="M159" s="459" t="str">
        <f t="shared" si="2"/>
        <v/>
      </c>
    </row>
    <row r="160" spans="1:13" ht="14.45" customHeight="1" x14ac:dyDescent="0.2">
      <c r="A160" s="464" t="s">
        <v>426</v>
      </c>
      <c r="B160" s="460">
        <v>16.410145</v>
      </c>
      <c r="C160" s="461">
        <v>17.219860000000001</v>
      </c>
      <c r="D160" s="461">
        <v>0.80971500000000063</v>
      </c>
      <c r="E160" s="462">
        <v>1.0493423428007491</v>
      </c>
      <c r="F160" s="460">
        <v>17.6411865</v>
      </c>
      <c r="G160" s="461">
        <v>17.6411865</v>
      </c>
      <c r="H160" s="461">
        <v>0</v>
      </c>
      <c r="I160" s="461">
        <v>14.583360000000001</v>
      </c>
      <c r="J160" s="461">
        <v>-3.0578264999999991</v>
      </c>
      <c r="K160" s="463">
        <v>0.82666548534022932</v>
      </c>
      <c r="L160" s="150"/>
      <c r="M160" s="459" t="str">
        <f t="shared" si="2"/>
        <v/>
      </c>
    </row>
    <row r="161" spans="1:13" ht="14.45" customHeight="1" x14ac:dyDescent="0.2">
      <c r="A161" s="464" t="s">
        <v>427</v>
      </c>
      <c r="B161" s="460">
        <v>0</v>
      </c>
      <c r="C161" s="461">
        <v>15.19557</v>
      </c>
      <c r="D161" s="461">
        <v>15.19557</v>
      </c>
      <c r="E161" s="462">
        <v>0</v>
      </c>
      <c r="F161" s="460">
        <v>0</v>
      </c>
      <c r="G161" s="461">
        <v>0</v>
      </c>
      <c r="H161" s="461">
        <v>0</v>
      </c>
      <c r="I161" s="461">
        <v>12.445309999999999</v>
      </c>
      <c r="J161" s="461">
        <v>12.445309999999999</v>
      </c>
      <c r="K161" s="463">
        <v>0</v>
      </c>
      <c r="L161" s="150"/>
      <c r="M161" s="459" t="str">
        <f t="shared" si="2"/>
        <v>X</v>
      </c>
    </row>
    <row r="162" spans="1:13" ht="14.45" customHeight="1" x14ac:dyDescent="0.2">
      <c r="A162" s="464" t="s">
        <v>428</v>
      </c>
      <c r="B162" s="460">
        <v>0</v>
      </c>
      <c r="C162" s="461">
        <v>0</v>
      </c>
      <c r="D162" s="461">
        <v>0</v>
      </c>
      <c r="E162" s="462">
        <v>0</v>
      </c>
      <c r="F162" s="460">
        <v>0</v>
      </c>
      <c r="G162" s="461">
        <v>0</v>
      </c>
      <c r="H162" s="461">
        <v>0</v>
      </c>
      <c r="I162" s="461">
        <v>12.445309999999999</v>
      </c>
      <c r="J162" s="461">
        <v>12.445309999999999</v>
      </c>
      <c r="K162" s="463">
        <v>0</v>
      </c>
      <c r="L162" s="150"/>
      <c r="M162" s="459" t="str">
        <f t="shared" si="2"/>
        <v/>
      </c>
    </row>
    <row r="163" spans="1:13" ht="14.45" customHeight="1" x14ac:dyDescent="0.2">
      <c r="A163" s="464" t="s">
        <v>429</v>
      </c>
      <c r="B163" s="460">
        <v>0</v>
      </c>
      <c r="C163" s="461">
        <v>15.19557</v>
      </c>
      <c r="D163" s="461">
        <v>15.19557</v>
      </c>
      <c r="E163" s="462">
        <v>0</v>
      </c>
      <c r="F163" s="460">
        <v>0</v>
      </c>
      <c r="G163" s="461">
        <v>0</v>
      </c>
      <c r="H163" s="461">
        <v>0</v>
      </c>
      <c r="I163" s="461">
        <v>0</v>
      </c>
      <c r="J163" s="461">
        <v>0</v>
      </c>
      <c r="K163" s="463">
        <v>0</v>
      </c>
      <c r="L163" s="150"/>
      <c r="M163" s="459" t="str">
        <f t="shared" si="2"/>
        <v/>
      </c>
    </row>
    <row r="164" spans="1:13" ht="14.45" customHeight="1" x14ac:dyDescent="0.2">
      <c r="A164" s="464" t="s">
        <v>430</v>
      </c>
      <c r="B164" s="460">
        <v>18833.212271</v>
      </c>
      <c r="C164" s="461">
        <v>51506.525880000001</v>
      </c>
      <c r="D164" s="461">
        <v>32673.313609000001</v>
      </c>
      <c r="E164" s="462">
        <v>2.7348773612726407</v>
      </c>
      <c r="F164" s="460">
        <v>0</v>
      </c>
      <c r="G164" s="461">
        <v>0</v>
      </c>
      <c r="H164" s="461">
        <v>5984.2257399999999</v>
      </c>
      <c r="I164" s="461">
        <v>67844.095709999994</v>
      </c>
      <c r="J164" s="461">
        <v>67844.095709999994</v>
      </c>
      <c r="K164" s="463">
        <v>0</v>
      </c>
      <c r="L164" s="150"/>
      <c r="M164" s="459" t="str">
        <f t="shared" si="2"/>
        <v>X</v>
      </c>
    </row>
    <row r="165" spans="1:13" ht="14.45" customHeight="1" x14ac:dyDescent="0.2">
      <c r="A165" s="464" t="s">
        <v>431</v>
      </c>
      <c r="B165" s="460">
        <v>18833.212271</v>
      </c>
      <c r="C165" s="461">
        <v>51506.525880000001</v>
      </c>
      <c r="D165" s="461">
        <v>32673.313609000001</v>
      </c>
      <c r="E165" s="462">
        <v>2.7348773612726407</v>
      </c>
      <c r="F165" s="460">
        <v>0</v>
      </c>
      <c r="G165" s="461">
        <v>0</v>
      </c>
      <c r="H165" s="461">
        <v>5984.2257399999999</v>
      </c>
      <c r="I165" s="461">
        <v>67844.095709999994</v>
      </c>
      <c r="J165" s="461">
        <v>67844.095709999994</v>
      </c>
      <c r="K165" s="463">
        <v>0</v>
      </c>
      <c r="L165" s="150"/>
      <c r="M165" s="459" t="str">
        <f t="shared" si="2"/>
        <v/>
      </c>
    </row>
    <row r="166" spans="1:13" ht="14.45" customHeight="1" x14ac:dyDescent="0.2">
      <c r="A166" s="464" t="s">
        <v>432</v>
      </c>
      <c r="B166" s="460">
        <v>0</v>
      </c>
      <c r="C166" s="461">
        <v>3647.25558</v>
      </c>
      <c r="D166" s="461">
        <v>3647.25558</v>
      </c>
      <c r="E166" s="462">
        <v>0</v>
      </c>
      <c r="F166" s="460">
        <v>0</v>
      </c>
      <c r="G166" s="461">
        <v>0</v>
      </c>
      <c r="H166" s="461">
        <v>621.24325999999996</v>
      </c>
      <c r="I166" s="461">
        <v>2012.3442700000001</v>
      </c>
      <c r="J166" s="461">
        <v>2012.3442700000001</v>
      </c>
      <c r="K166" s="463">
        <v>0</v>
      </c>
      <c r="L166" s="150"/>
      <c r="M166" s="459" t="str">
        <f t="shared" si="2"/>
        <v>X</v>
      </c>
    </row>
    <row r="167" spans="1:13" ht="14.45" customHeight="1" x14ac:dyDescent="0.2">
      <c r="A167" s="464" t="s">
        <v>433</v>
      </c>
      <c r="B167" s="460">
        <v>0</v>
      </c>
      <c r="C167" s="461">
        <v>3647.25558</v>
      </c>
      <c r="D167" s="461">
        <v>3647.25558</v>
      </c>
      <c r="E167" s="462">
        <v>0</v>
      </c>
      <c r="F167" s="460">
        <v>0</v>
      </c>
      <c r="G167" s="461">
        <v>0</v>
      </c>
      <c r="H167" s="461">
        <v>621.24325999999996</v>
      </c>
      <c r="I167" s="461">
        <v>2012.3442700000001</v>
      </c>
      <c r="J167" s="461">
        <v>2012.3442700000001</v>
      </c>
      <c r="K167" s="463">
        <v>0</v>
      </c>
      <c r="L167" s="150"/>
      <c r="M167" s="459" t="str">
        <f t="shared" si="2"/>
        <v/>
      </c>
    </row>
    <row r="168" spans="1:13" ht="14.45" customHeight="1" x14ac:dyDescent="0.2">
      <c r="A168" s="464" t="s">
        <v>434</v>
      </c>
      <c r="B168" s="460">
        <v>0</v>
      </c>
      <c r="C168" s="461">
        <v>29.06128</v>
      </c>
      <c r="D168" s="461">
        <v>29.06128</v>
      </c>
      <c r="E168" s="462">
        <v>0</v>
      </c>
      <c r="F168" s="460">
        <v>5.1921207000000003</v>
      </c>
      <c r="G168" s="461">
        <v>5.1921207000000003</v>
      </c>
      <c r="H168" s="461">
        <v>17.396699999999999</v>
      </c>
      <c r="I168" s="461">
        <v>59.83278</v>
      </c>
      <c r="J168" s="461">
        <v>54.640659299999996</v>
      </c>
      <c r="K168" s="463">
        <v>11.523765231420755</v>
      </c>
      <c r="L168" s="150"/>
      <c r="M168" s="459" t="str">
        <f t="shared" si="2"/>
        <v/>
      </c>
    </row>
    <row r="169" spans="1:13" ht="14.45" customHeight="1" x14ac:dyDescent="0.2">
      <c r="A169" s="464" t="s">
        <v>435</v>
      </c>
      <c r="B169" s="460">
        <v>0</v>
      </c>
      <c r="C169" s="461">
        <v>22.5</v>
      </c>
      <c r="D169" s="461">
        <v>22.5</v>
      </c>
      <c r="E169" s="462">
        <v>0</v>
      </c>
      <c r="F169" s="460">
        <v>0</v>
      </c>
      <c r="G169" s="461">
        <v>0</v>
      </c>
      <c r="H169" s="461">
        <v>5</v>
      </c>
      <c r="I169" s="461">
        <v>18.25</v>
      </c>
      <c r="J169" s="461">
        <v>18.25</v>
      </c>
      <c r="K169" s="463">
        <v>0</v>
      </c>
      <c r="L169" s="150"/>
      <c r="M169" s="459" t="str">
        <f t="shared" si="2"/>
        <v/>
      </c>
    </row>
    <row r="170" spans="1:13" ht="14.45" customHeight="1" x14ac:dyDescent="0.2">
      <c r="A170" s="464" t="s">
        <v>436</v>
      </c>
      <c r="B170" s="460">
        <v>0</v>
      </c>
      <c r="C170" s="461">
        <v>22.5</v>
      </c>
      <c r="D170" s="461">
        <v>22.5</v>
      </c>
      <c r="E170" s="462">
        <v>0</v>
      </c>
      <c r="F170" s="460">
        <v>0</v>
      </c>
      <c r="G170" s="461">
        <v>0</v>
      </c>
      <c r="H170" s="461">
        <v>5</v>
      </c>
      <c r="I170" s="461">
        <v>18.25</v>
      </c>
      <c r="J170" s="461">
        <v>18.25</v>
      </c>
      <c r="K170" s="463">
        <v>0</v>
      </c>
      <c r="L170" s="150"/>
      <c r="M170" s="459" t="str">
        <f t="shared" si="2"/>
        <v>X</v>
      </c>
    </row>
    <row r="171" spans="1:13" ht="14.45" customHeight="1" x14ac:dyDescent="0.2">
      <c r="A171" s="464" t="s">
        <v>437</v>
      </c>
      <c r="B171" s="460">
        <v>0</v>
      </c>
      <c r="C171" s="461">
        <v>22.5</v>
      </c>
      <c r="D171" s="461">
        <v>22.5</v>
      </c>
      <c r="E171" s="462">
        <v>0</v>
      </c>
      <c r="F171" s="460">
        <v>0</v>
      </c>
      <c r="G171" s="461">
        <v>0</v>
      </c>
      <c r="H171" s="461">
        <v>5</v>
      </c>
      <c r="I171" s="461">
        <v>18.25</v>
      </c>
      <c r="J171" s="461">
        <v>18.25</v>
      </c>
      <c r="K171" s="463">
        <v>0</v>
      </c>
      <c r="L171" s="150"/>
      <c r="M171" s="459" t="str">
        <f t="shared" si="2"/>
        <v/>
      </c>
    </row>
    <row r="172" spans="1:13" ht="14.45" customHeight="1" x14ac:dyDescent="0.2">
      <c r="A172" s="464" t="s">
        <v>438</v>
      </c>
      <c r="B172" s="460">
        <v>0</v>
      </c>
      <c r="C172" s="461">
        <v>6.56128</v>
      </c>
      <c r="D172" s="461">
        <v>6.56128</v>
      </c>
      <c r="E172" s="462">
        <v>0</v>
      </c>
      <c r="F172" s="460">
        <v>5.1921207000000003</v>
      </c>
      <c r="G172" s="461">
        <v>5.1921207000000003</v>
      </c>
      <c r="H172" s="461">
        <v>12.396700000000001</v>
      </c>
      <c r="I172" s="461">
        <v>41.58278</v>
      </c>
      <c r="J172" s="461">
        <v>36.390659299999996</v>
      </c>
      <c r="K172" s="463">
        <v>8.0088238318496714</v>
      </c>
      <c r="L172" s="150"/>
      <c r="M172" s="459" t="str">
        <f t="shared" si="2"/>
        <v/>
      </c>
    </row>
    <row r="173" spans="1:13" ht="14.45" customHeight="1" x14ac:dyDescent="0.2">
      <c r="A173" s="464" t="s">
        <v>439</v>
      </c>
      <c r="B173" s="460">
        <v>0</v>
      </c>
      <c r="C173" s="461">
        <v>-6.7000000000000002E-4</v>
      </c>
      <c r="D173" s="461">
        <v>-6.7000000000000002E-4</v>
      </c>
      <c r="E173" s="462">
        <v>0</v>
      </c>
      <c r="F173" s="460">
        <v>0</v>
      </c>
      <c r="G173" s="461">
        <v>0</v>
      </c>
      <c r="H173" s="461">
        <v>1.0000000000000001E-5</v>
      </c>
      <c r="I173" s="461">
        <v>1.9370000000000002E-2</v>
      </c>
      <c r="J173" s="461">
        <v>1.9370000000000002E-2</v>
      </c>
      <c r="K173" s="463">
        <v>0</v>
      </c>
      <c r="L173" s="150"/>
      <c r="M173" s="459" t="str">
        <f t="shared" si="2"/>
        <v>X</v>
      </c>
    </row>
    <row r="174" spans="1:13" ht="14.45" customHeight="1" x14ac:dyDescent="0.2">
      <c r="A174" s="464" t="s">
        <v>440</v>
      </c>
      <c r="B174" s="460">
        <v>0</v>
      </c>
      <c r="C174" s="461">
        <v>-6.7000000000000002E-4</v>
      </c>
      <c r="D174" s="461">
        <v>-6.7000000000000002E-4</v>
      </c>
      <c r="E174" s="462">
        <v>0</v>
      </c>
      <c r="F174" s="460">
        <v>0</v>
      </c>
      <c r="G174" s="461">
        <v>0</v>
      </c>
      <c r="H174" s="461">
        <v>1.0000000000000001E-5</v>
      </c>
      <c r="I174" s="461">
        <v>1.9370000000000002E-2</v>
      </c>
      <c r="J174" s="461">
        <v>1.9370000000000002E-2</v>
      </c>
      <c r="K174" s="463">
        <v>0</v>
      </c>
      <c r="L174" s="150"/>
      <c r="M174" s="459" t="str">
        <f t="shared" si="2"/>
        <v/>
      </c>
    </row>
    <row r="175" spans="1:13" ht="14.45" customHeight="1" x14ac:dyDescent="0.2">
      <c r="A175" s="464" t="s">
        <v>441</v>
      </c>
      <c r="B175" s="460">
        <v>0</v>
      </c>
      <c r="C175" s="461">
        <v>6.5619499999999995</v>
      </c>
      <c r="D175" s="461">
        <v>6.5619499999999995</v>
      </c>
      <c r="E175" s="462">
        <v>0</v>
      </c>
      <c r="F175" s="460">
        <v>5.1921207000000003</v>
      </c>
      <c r="G175" s="461">
        <v>5.1921207000000003</v>
      </c>
      <c r="H175" s="461">
        <v>12.396690000000001</v>
      </c>
      <c r="I175" s="461">
        <v>41.563410000000005</v>
      </c>
      <c r="J175" s="461">
        <v>36.371289300000001</v>
      </c>
      <c r="K175" s="463">
        <v>8.0050931789779085</v>
      </c>
      <c r="L175" s="150"/>
      <c r="M175" s="459" t="str">
        <f t="shared" si="2"/>
        <v>X</v>
      </c>
    </row>
    <row r="176" spans="1:13" ht="14.45" customHeight="1" x14ac:dyDescent="0.2">
      <c r="A176" s="464" t="s">
        <v>442</v>
      </c>
      <c r="B176" s="460">
        <v>0</v>
      </c>
      <c r="C176" s="461">
        <v>0</v>
      </c>
      <c r="D176" s="461">
        <v>0</v>
      </c>
      <c r="E176" s="462">
        <v>0</v>
      </c>
      <c r="F176" s="460">
        <v>0</v>
      </c>
      <c r="G176" s="461">
        <v>0</v>
      </c>
      <c r="H176" s="461">
        <v>0</v>
      </c>
      <c r="I176" s="461">
        <v>29.166720000000002</v>
      </c>
      <c r="J176" s="461">
        <v>29.166720000000002</v>
      </c>
      <c r="K176" s="463">
        <v>0</v>
      </c>
      <c r="L176" s="150"/>
      <c r="M176" s="459" t="str">
        <f t="shared" si="2"/>
        <v/>
      </c>
    </row>
    <row r="177" spans="1:13" ht="14.45" customHeight="1" x14ac:dyDescent="0.2">
      <c r="A177" s="464" t="s">
        <v>443</v>
      </c>
      <c r="B177" s="460">
        <v>0</v>
      </c>
      <c r="C177" s="461">
        <v>6.5619499999999995</v>
      </c>
      <c r="D177" s="461">
        <v>6.5619499999999995</v>
      </c>
      <c r="E177" s="462">
        <v>0</v>
      </c>
      <c r="F177" s="460">
        <v>5.1921207000000003</v>
      </c>
      <c r="G177" s="461">
        <v>5.1921207000000003</v>
      </c>
      <c r="H177" s="461">
        <v>12.396690000000001</v>
      </c>
      <c r="I177" s="461">
        <v>12.396690000000001</v>
      </c>
      <c r="J177" s="461">
        <v>7.2045693000000011</v>
      </c>
      <c r="K177" s="463">
        <v>2.3875966519807603</v>
      </c>
      <c r="L177" s="150"/>
      <c r="M177" s="459" t="str">
        <f t="shared" si="2"/>
        <v/>
      </c>
    </row>
    <row r="178" spans="1:13" ht="14.45" customHeight="1" x14ac:dyDescent="0.2">
      <c r="A178" s="464" t="s">
        <v>444</v>
      </c>
      <c r="B178" s="460">
        <v>0</v>
      </c>
      <c r="C178" s="461">
        <v>0.16197999999999999</v>
      </c>
      <c r="D178" s="461">
        <v>0.16197999999999999</v>
      </c>
      <c r="E178" s="462">
        <v>0</v>
      </c>
      <c r="F178" s="460">
        <v>0.14812799999999998</v>
      </c>
      <c r="G178" s="461">
        <v>0.14812799999999998</v>
      </c>
      <c r="H178" s="461">
        <v>0</v>
      </c>
      <c r="I178" s="461">
        <v>0.30214999999999997</v>
      </c>
      <c r="J178" s="461">
        <v>0.15402199999999999</v>
      </c>
      <c r="K178" s="463">
        <v>2.0397899114279543</v>
      </c>
      <c r="L178" s="150"/>
      <c r="M178" s="459" t="str">
        <f t="shared" si="2"/>
        <v/>
      </c>
    </row>
    <row r="179" spans="1:13" ht="14.45" customHeight="1" x14ac:dyDescent="0.2">
      <c r="A179" s="464" t="s">
        <v>445</v>
      </c>
      <c r="B179" s="460">
        <v>0</v>
      </c>
      <c r="C179" s="461">
        <v>0.16197999999999999</v>
      </c>
      <c r="D179" s="461">
        <v>0.16197999999999999</v>
      </c>
      <c r="E179" s="462">
        <v>0</v>
      </c>
      <c r="F179" s="460">
        <v>0.14812799999999998</v>
      </c>
      <c r="G179" s="461">
        <v>0.14812799999999998</v>
      </c>
      <c r="H179" s="461">
        <v>0</v>
      </c>
      <c r="I179" s="461">
        <v>0.30214999999999997</v>
      </c>
      <c r="J179" s="461">
        <v>0.15402199999999999</v>
      </c>
      <c r="K179" s="463">
        <v>2.0397899114279543</v>
      </c>
      <c r="L179" s="150"/>
      <c r="M179" s="459" t="str">
        <f t="shared" si="2"/>
        <v/>
      </c>
    </row>
    <row r="180" spans="1:13" ht="14.45" customHeight="1" x14ac:dyDescent="0.2">
      <c r="A180" s="464" t="s">
        <v>446</v>
      </c>
      <c r="B180" s="460">
        <v>0</v>
      </c>
      <c r="C180" s="461">
        <v>0.16197999999999999</v>
      </c>
      <c r="D180" s="461">
        <v>0.16197999999999999</v>
      </c>
      <c r="E180" s="462">
        <v>0</v>
      </c>
      <c r="F180" s="460">
        <v>0.14812799999999998</v>
      </c>
      <c r="G180" s="461">
        <v>0.14812799999999998</v>
      </c>
      <c r="H180" s="461">
        <v>0</v>
      </c>
      <c r="I180" s="461">
        <v>0.30214999999999997</v>
      </c>
      <c r="J180" s="461">
        <v>0.15402199999999999</v>
      </c>
      <c r="K180" s="463">
        <v>2.0397899114279543</v>
      </c>
      <c r="L180" s="150"/>
      <c r="M180" s="459" t="str">
        <f t="shared" si="2"/>
        <v>X</v>
      </c>
    </row>
    <row r="181" spans="1:13" ht="14.45" customHeight="1" x14ac:dyDescent="0.2">
      <c r="A181" s="464" t="s">
        <v>447</v>
      </c>
      <c r="B181" s="460">
        <v>0</v>
      </c>
      <c r="C181" s="461">
        <v>0.16197999999999999</v>
      </c>
      <c r="D181" s="461">
        <v>0.16197999999999999</v>
      </c>
      <c r="E181" s="462">
        <v>0</v>
      </c>
      <c r="F181" s="460">
        <v>0.14812799999999998</v>
      </c>
      <c r="G181" s="461">
        <v>0.14812799999999998</v>
      </c>
      <c r="H181" s="461">
        <v>0</v>
      </c>
      <c r="I181" s="461">
        <v>0.30214999999999997</v>
      </c>
      <c r="J181" s="461">
        <v>0.15402199999999999</v>
      </c>
      <c r="K181" s="463">
        <v>2.0397899114279543</v>
      </c>
      <c r="L181" s="150"/>
      <c r="M181" s="459" t="str">
        <f t="shared" si="2"/>
        <v/>
      </c>
    </row>
    <row r="182" spans="1:13" ht="14.45" customHeight="1" x14ac:dyDescent="0.2">
      <c r="A182" s="464" t="s">
        <v>448</v>
      </c>
      <c r="B182" s="460">
        <v>0</v>
      </c>
      <c r="C182" s="461">
        <v>239.03198999999998</v>
      </c>
      <c r="D182" s="461">
        <v>239.03198999999998</v>
      </c>
      <c r="E182" s="462">
        <v>0</v>
      </c>
      <c r="F182" s="460">
        <v>0</v>
      </c>
      <c r="G182" s="461">
        <v>0</v>
      </c>
      <c r="H182" s="461">
        <v>246.63595000000001</v>
      </c>
      <c r="I182" s="461">
        <v>2736.5325899999998</v>
      </c>
      <c r="J182" s="461">
        <v>2736.5325899999998</v>
      </c>
      <c r="K182" s="463">
        <v>0</v>
      </c>
      <c r="L182" s="150"/>
      <c r="M182" s="459" t="str">
        <f t="shared" si="2"/>
        <v/>
      </c>
    </row>
    <row r="183" spans="1:13" ht="14.45" customHeight="1" x14ac:dyDescent="0.2">
      <c r="A183" s="464" t="s">
        <v>449</v>
      </c>
      <c r="B183" s="460">
        <v>0</v>
      </c>
      <c r="C183" s="461">
        <v>239.03198999999998</v>
      </c>
      <c r="D183" s="461">
        <v>239.03198999999998</v>
      </c>
      <c r="E183" s="462">
        <v>0</v>
      </c>
      <c r="F183" s="460">
        <v>0</v>
      </c>
      <c r="G183" s="461">
        <v>0</v>
      </c>
      <c r="H183" s="461">
        <v>246.63595000000001</v>
      </c>
      <c r="I183" s="461">
        <v>2736.5325899999998</v>
      </c>
      <c r="J183" s="461">
        <v>2736.5325899999998</v>
      </c>
      <c r="K183" s="463">
        <v>0</v>
      </c>
      <c r="L183" s="150"/>
      <c r="M183" s="459" t="str">
        <f t="shared" si="2"/>
        <v/>
      </c>
    </row>
    <row r="184" spans="1:13" ht="14.45" customHeight="1" x14ac:dyDescent="0.2">
      <c r="A184" s="464" t="s">
        <v>450</v>
      </c>
      <c r="B184" s="460">
        <v>0</v>
      </c>
      <c r="C184" s="461">
        <v>0</v>
      </c>
      <c r="D184" s="461">
        <v>0</v>
      </c>
      <c r="E184" s="462">
        <v>0</v>
      </c>
      <c r="F184" s="460">
        <v>0</v>
      </c>
      <c r="G184" s="461">
        <v>0</v>
      </c>
      <c r="H184" s="461">
        <v>186.87995999999998</v>
      </c>
      <c r="I184" s="461">
        <v>2019.45065</v>
      </c>
      <c r="J184" s="461">
        <v>2019.45065</v>
      </c>
      <c r="K184" s="463">
        <v>0</v>
      </c>
      <c r="L184" s="150"/>
      <c r="M184" s="459" t="str">
        <f t="shared" si="2"/>
        <v>X</v>
      </c>
    </row>
    <row r="185" spans="1:13" ht="14.45" customHeight="1" x14ac:dyDescent="0.2">
      <c r="A185" s="464" t="s">
        <v>451</v>
      </c>
      <c r="B185" s="460">
        <v>0</v>
      </c>
      <c r="C185" s="461">
        <v>0</v>
      </c>
      <c r="D185" s="461">
        <v>0</v>
      </c>
      <c r="E185" s="462">
        <v>0</v>
      </c>
      <c r="F185" s="460">
        <v>0</v>
      </c>
      <c r="G185" s="461">
        <v>0</v>
      </c>
      <c r="H185" s="461">
        <v>186.87995999999998</v>
      </c>
      <c r="I185" s="461">
        <v>2019.45065</v>
      </c>
      <c r="J185" s="461">
        <v>2019.45065</v>
      </c>
      <c r="K185" s="463">
        <v>0</v>
      </c>
      <c r="L185" s="150"/>
      <c r="M185" s="459" t="str">
        <f t="shared" si="2"/>
        <v/>
      </c>
    </row>
    <row r="186" spans="1:13" ht="14.45" customHeight="1" x14ac:dyDescent="0.2">
      <c r="A186" s="464" t="s">
        <v>452</v>
      </c>
      <c r="B186" s="460">
        <v>0</v>
      </c>
      <c r="C186" s="461">
        <v>239.03198999999998</v>
      </c>
      <c r="D186" s="461">
        <v>239.03198999999998</v>
      </c>
      <c r="E186" s="462">
        <v>0</v>
      </c>
      <c r="F186" s="460">
        <v>0</v>
      </c>
      <c r="G186" s="461">
        <v>0</v>
      </c>
      <c r="H186" s="461">
        <v>59.755989999999997</v>
      </c>
      <c r="I186" s="461">
        <v>717.08193999999992</v>
      </c>
      <c r="J186" s="461">
        <v>717.08193999999992</v>
      </c>
      <c r="K186" s="463">
        <v>0</v>
      </c>
      <c r="L186" s="150"/>
      <c r="M186" s="459" t="str">
        <f t="shared" si="2"/>
        <v>X</v>
      </c>
    </row>
    <row r="187" spans="1:13" ht="14.45" customHeight="1" x14ac:dyDescent="0.2">
      <c r="A187" s="464" t="s">
        <v>453</v>
      </c>
      <c r="B187" s="460">
        <v>0</v>
      </c>
      <c r="C187" s="461">
        <v>239.03198999999998</v>
      </c>
      <c r="D187" s="461">
        <v>239.03198999999998</v>
      </c>
      <c r="E187" s="462">
        <v>0</v>
      </c>
      <c r="F187" s="460">
        <v>0</v>
      </c>
      <c r="G187" s="461">
        <v>0</v>
      </c>
      <c r="H187" s="461">
        <v>59.755989999999997</v>
      </c>
      <c r="I187" s="461">
        <v>717.08193999999992</v>
      </c>
      <c r="J187" s="461">
        <v>717.08193999999992</v>
      </c>
      <c r="K187" s="463">
        <v>0</v>
      </c>
      <c r="L187" s="150"/>
      <c r="M187" s="459" t="str">
        <f t="shared" si="2"/>
        <v/>
      </c>
    </row>
    <row r="188" spans="1:13" ht="14.45" customHeight="1" x14ac:dyDescent="0.2">
      <c r="A188" s="464" t="s">
        <v>454</v>
      </c>
      <c r="B188" s="460">
        <v>0</v>
      </c>
      <c r="C188" s="461">
        <v>3355.3362499999998</v>
      </c>
      <c r="D188" s="461">
        <v>3355.3362499999998</v>
      </c>
      <c r="E188" s="462">
        <v>0</v>
      </c>
      <c r="F188" s="460">
        <v>0</v>
      </c>
      <c r="G188" s="461">
        <v>0</v>
      </c>
      <c r="H188" s="461">
        <v>449.84932000000003</v>
      </c>
      <c r="I188" s="461">
        <v>3307.97741</v>
      </c>
      <c r="J188" s="461">
        <v>3307.97741</v>
      </c>
      <c r="K188" s="463">
        <v>0</v>
      </c>
      <c r="L188" s="150"/>
      <c r="M188" s="459" t="str">
        <f t="shared" si="2"/>
        <v/>
      </c>
    </row>
    <row r="189" spans="1:13" ht="14.45" customHeight="1" x14ac:dyDescent="0.2">
      <c r="A189" s="464" t="s">
        <v>455</v>
      </c>
      <c r="B189" s="460">
        <v>0</v>
      </c>
      <c r="C189" s="461">
        <v>3355.3362499999998</v>
      </c>
      <c r="D189" s="461">
        <v>3355.3362499999998</v>
      </c>
      <c r="E189" s="462">
        <v>0</v>
      </c>
      <c r="F189" s="460">
        <v>0</v>
      </c>
      <c r="G189" s="461">
        <v>0</v>
      </c>
      <c r="H189" s="461">
        <v>449.84932000000003</v>
      </c>
      <c r="I189" s="461">
        <v>3307.97741</v>
      </c>
      <c r="J189" s="461">
        <v>3307.97741</v>
      </c>
      <c r="K189" s="463">
        <v>0</v>
      </c>
      <c r="L189" s="150"/>
      <c r="M189" s="459" t="str">
        <f t="shared" si="2"/>
        <v/>
      </c>
    </row>
    <row r="190" spans="1:13" ht="14.45" customHeight="1" x14ac:dyDescent="0.2">
      <c r="A190" s="464" t="s">
        <v>456</v>
      </c>
      <c r="B190" s="460">
        <v>0</v>
      </c>
      <c r="C190" s="461">
        <v>3355.3362499999998</v>
      </c>
      <c r="D190" s="461">
        <v>3355.3362499999998</v>
      </c>
      <c r="E190" s="462">
        <v>0</v>
      </c>
      <c r="F190" s="460">
        <v>0</v>
      </c>
      <c r="G190" s="461">
        <v>0</v>
      </c>
      <c r="H190" s="461">
        <v>449.84932000000003</v>
      </c>
      <c r="I190" s="461">
        <v>3307.97741</v>
      </c>
      <c r="J190" s="461">
        <v>3307.97741</v>
      </c>
      <c r="K190" s="463">
        <v>0</v>
      </c>
      <c r="L190" s="150"/>
      <c r="M190" s="459" t="str">
        <f t="shared" si="2"/>
        <v/>
      </c>
    </row>
    <row r="191" spans="1:13" ht="14.45" customHeight="1" x14ac:dyDescent="0.2">
      <c r="A191" s="464" t="s">
        <v>457</v>
      </c>
      <c r="B191" s="460">
        <v>0</v>
      </c>
      <c r="C191" s="461">
        <v>0.22077000000000002</v>
      </c>
      <c r="D191" s="461">
        <v>0.22077000000000002</v>
      </c>
      <c r="E191" s="462">
        <v>0</v>
      </c>
      <c r="F191" s="460">
        <v>0</v>
      </c>
      <c r="G191" s="461">
        <v>0</v>
      </c>
      <c r="H191" s="461">
        <v>0.61699999999999999</v>
      </c>
      <c r="I191" s="461">
        <v>0.85414000000000001</v>
      </c>
      <c r="J191" s="461">
        <v>0.85414000000000001</v>
      </c>
      <c r="K191" s="463">
        <v>0</v>
      </c>
      <c r="L191" s="150"/>
      <c r="M191" s="459" t="str">
        <f t="shared" si="2"/>
        <v>X</v>
      </c>
    </row>
    <row r="192" spans="1:13" ht="14.45" customHeight="1" x14ac:dyDescent="0.2">
      <c r="A192" s="464" t="s">
        <v>458</v>
      </c>
      <c r="B192" s="460">
        <v>0</v>
      </c>
      <c r="C192" s="461">
        <v>0.22077000000000002</v>
      </c>
      <c r="D192" s="461">
        <v>0.22077000000000002</v>
      </c>
      <c r="E192" s="462">
        <v>0</v>
      </c>
      <c r="F192" s="460">
        <v>0</v>
      </c>
      <c r="G192" s="461">
        <v>0</v>
      </c>
      <c r="H192" s="461">
        <v>0.61699999999999999</v>
      </c>
      <c r="I192" s="461">
        <v>0.85414000000000001</v>
      </c>
      <c r="J192" s="461">
        <v>0.85414000000000001</v>
      </c>
      <c r="K192" s="463">
        <v>0</v>
      </c>
      <c r="L192" s="150"/>
      <c r="M192" s="459" t="str">
        <f t="shared" si="2"/>
        <v/>
      </c>
    </row>
    <row r="193" spans="1:13" ht="14.45" customHeight="1" x14ac:dyDescent="0.2">
      <c r="A193" s="464" t="s">
        <v>459</v>
      </c>
      <c r="B193" s="460">
        <v>0</v>
      </c>
      <c r="C193" s="461">
        <v>16.343</v>
      </c>
      <c r="D193" s="461">
        <v>16.343</v>
      </c>
      <c r="E193" s="462">
        <v>0</v>
      </c>
      <c r="F193" s="460">
        <v>0</v>
      </c>
      <c r="G193" s="461">
        <v>0</v>
      </c>
      <c r="H193" s="461">
        <v>0.68</v>
      </c>
      <c r="I193" s="461">
        <v>12.83</v>
      </c>
      <c r="J193" s="461">
        <v>12.83</v>
      </c>
      <c r="K193" s="463">
        <v>0</v>
      </c>
      <c r="L193" s="150"/>
      <c r="M193" s="459" t="str">
        <f t="shared" si="2"/>
        <v>X</v>
      </c>
    </row>
    <row r="194" spans="1:13" ht="14.45" customHeight="1" x14ac:dyDescent="0.2">
      <c r="A194" s="464" t="s">
        <v>460</v>
      </c>
      <c r="B194" s="460">
        <v>0</v>
      </c>
      <c r="C194" s="461">
        <v>16.343</v>
      </c>
      <c r="D194" s="461">
        <v>16.343</v>
      </c>
      <c r="E194" s="462">
        <v>0</v>
      </c>
      <c r="F194" s="460">
        <v>0</v>
      </c>
      <c r="G194" s="461">
        <v>0</v>
      </c>
      <c r="H194" s="461">
        <v>0.68</v>
      </c>
      <c r="I194" s="461">
        <v>11.81</v>
      </c>
      <c r="J194" s="461">
        <v>11.81</v>
      </c>
      <c r="K194" s="463">
        <v>0</v>
      </c>
      <c r="L194" s="150"/>
      <c r="M194" s="459" t="str">
        <f t="shared" si="2"/>
        <v/>
      </c>
    </row>
    <row r="195" spans="1:13" ht="14.45" customHeight="1" x14ac:dyDescent="0.2">
      <c r="A195" s="464" t="s">
        <v>461</v>
      </c>
      <c r="B195" s="460">
        <v>0</v>
      </c>
      <c r="C195" s="461">
        <v>0</v>
      </c>
      <c r="D195" s="461">
        <v>0</v>
      </c>
      <c r="E195" s="462">
        <v>0</v>
      </c>
      <c r="F195" s="460">
        <v>0</v>
      </c>
      <c r="G195" s="461">
        <v>0</v>
      </c>
      <c r="H195" s="461">
        <v>0</v>
      </c>
      <c r="I195" s="461">
        <v>1.02</v>
      </c>
      <c r="J195" s="461">
        <v>1.02</v>
      </c>
      <c r="K195" s="463">
        <v>0</v>
      </c>
      <c r="L195" s="150"/>
      <c r="M195" s="459" t="str">
        <f t="shared" si="2"/>
        <v/>
      </c>
    </row>
    <row r="196" spans="1:13" ht="14.45" customHeight="1" x14ac:dyDescent="0.2">
      <c r="A196" s="464" t="s">
        <v>462</v>
      </c>
      <c r="B196" s="460">
        <v>0</v>
      </c>
      <c r="C196" s="461">
        <v>3.59388</v>
      </c>
      <c r="D196" s="461">
        <v>3.59388</v>
      </c>
      <c r="E196" s="462">
        <v>0</v>
      </c>
      <c r="F196" s="460">
        <v>0</v>
      </c>
      <c r="G196" s="461">
        <v>0</v>
      </c>
      <c r="H196" s="461">
        <v>0.40960000000000002</v>
      </c>
      <c r="I196" s="461">
        <v>7.4063999999999997</v>
      </c>
      <c r="J196" s="461">
        <v>7.4063999999999997</v>
      </c>
      <c r="K196" s="463">
        <v>0</v>
      </c>
      <c r="L196" s="150"/>
      <c r="M196" s="459" t="str">
        <f t="shared" si="2"/>
        <v>X</v>
      </c>
    </row>
    <row r="197" spans="1:13" ht="14.45" customHeight="1" x14ac:dyDescent="0.2">
      <c r="A197" s="464" t="s">
        <v>463</v>
      </c>
      <c r="B197" s="460">
        <v>0</v>
      </c>
      <c r="C197" s="461">
        <v>0</v>
      </c>
      <c r="D197" s="461">
        <v>0</v>
      </c>
      <c r="E197" s="462">
        <v>0</v>
      </c>
      <c r="F197" s="460">
        <v>0</v>
      </c>
      <c r="G197" s="461">
        <v>0</v>
      </c>
      <c r="H197" s="461">
        <v>0</v>
      </c>
      <c r="I197" s="461">
        <v>0.78800000000000003</v>
      </c>
      <c r="J197" s="461">
        <v>0.78800000000000003</v>
      </c>
      <c r="K197" s="463">
        <v>0</v>
      </c>
      <c r="L197" s="150"/>
      <c r="M197" s="459" t="str">
        <f t="shared" si="2"/>
        <v/>
      </c>
    </row>
    <row r="198" spans="1:13" ht="14.45" customHeight="1" x14ac:dyDescent="0.2">
      <c r="A198" s="464" t="s">
        <v>464</v>
      </c>
      <c r="B198" s="460">
        <v>0</v>
      </c>
      <c r="C198" s="461">
        <v>3.59388</v>
      </c>
      <c r="D198" s="461">
        <v>3.59388</v>
      </c>
      <c r="E198" s="462">
        <v>0</v>
      </c>
      <c r="F198" s="460">
        <v>0</v>
      </c>
      <c r="G198" s="461">
        <v>0</v>
      </c>
      <c r="H198" s="461">
        <v>0.40960000000000002</v>
      </c>
      <c r="I198" s="461">
        <v>6.6183999999999994</v>
      </c>
      <c r="J198" s="461">
        <v>6.6183999999999994</v>
      </c>
      <c r="K198" s="463">
        <v>0</v>
      </c>
      <c r="L198" s="150"/>
      <c r="M198" s="459" t="str">
        <f t="shared" ref="M198:M261" si="3">IF(A198="HV","HV",IF(OR(LEFT(A198,16)="               5",LEFT(A198,16)="               6",LEFT(A198,16)="               7",LEFT(A198,16)="               8"),"X",""))</f>
        <v/>
      </c>
    </row>
    <row r="199" spans="1:13" ht="14.45" customHeight="1" x14ac:dyDescent="0.2">
      <c r="A199" s="464" t="s">
        <v>465</v>
      </c>
      <c r="B199" s="460">
        <v>0</v>
      </c>
      <c r="C199" s="461">
        <v>0.5262</v>
      </c>
      <c r="D199" s="461">
        <v>0.5262</v>
      </c>
      <c r="E199" s="462">
        <v>0</v>
      </c>
      <c r="F199" s="460">
        <v>0</v>
      </c>
      <c r="G199" s="461">
        <v>0</v>
      </c>
      <c r="H199" s="461">
        <v>0.26923000000000002</v>
      </c>
      <c r="I199" s="461">
        <v>3.8445800000000001</v>
      </c>
      <c r="J199" s="461">
        <v>3.8445800000000001</v>
      </c>
      <c r="K199" s="463">
        <v>0</v>
      </c>
      <c r="L199" s="150"/>
      <c r="M199" s="459" t="str">
        <f t="shared" si="3"/>
        <v>X</v>
      </c>
    </row>
    <row r="200" spans="1:13" ht="14.45" customHeight="1" x14ac:dyDescent="0.2">
      <c r="A200" s="464" t="s">
        <v>466</v>
      </c>
      <c r="B200" s="460">
        <v>0</v>
      </c>
      <c r="C200" s="461">
        <v>0.5262</v>
      </c>
      <c r="D200" s="461">
        <v>0.5262</v>
      </c>
      <c r="E200" s="462">
        <v>0</v>
      </c>
      <c r="F200" s="460">
        <v>0</v>
      </c>
      <c r="G200" s="461">
        <v>0</v>
      </c>
      <c r="H200" s="461">
        <v>0.26923000000000002</v>
      </c>
      <c r="I200" s="461">
        <v>3.8445800000000001</v>
      </c>
      <c r="J200" s="461">
        <v>3.8445800000000001</v>
      </c>
      <c r="K200" s="463">
        <v>0</v>
      </c>
      <c r="L200" s="150"/>
      <c r="M200" s="459" t="str">
        <f t="shared" si="3"/>
        <v/>
      </c>
    </row>
    <row r="201" spans="1:13" ht="14.45" customHeight="1" x14ac:dyDescent="0.2">
      <c r="A201" s="464" t="s">
        <v>467</v>
      </c>
      <c r="B201" s="460">
        <v>0</v>
      </c>
      <c r="C201" s="461">
        <v>7.5845799999999999</v>
      </c>
      <c r="D201" s="461">
        <v>7.5845799999999999</v>
      </c>
      <c r="E201" s="462">
        <v>0</v>
      </c>
      <c r="F201" s="460">
        <v>0</v>
      </c>
      <c r="G201" s="461">
        <v>0</v>
      </c>
      <c r="H201" s="461">
        <v>0</v>
      </c>
      <c r="I201" s="461">
        <v>0</v>
      </c>
      <c r="J201" s="461">
        <v>0</v>
      </c>
      <c r="K201" s="463">
        <v>0</v>
      </c>
      <c r="L201" s="150"/>
      <c r="M201" s="459" t="str">
        <f t="shared" si="3"/>
        <v>X</v>
      </c>
    </row>
    <row r="202" spans="1:13" ht="14.45" customHeight="1" x14ac:dyDescent="0.2">
      <c r="A202" s="464" t="s">
        <v>468</v>
      </c>
      <c r="B202" s="460">
        <v>0</v>
      </c>
      <c r="C202" s="461">
        <v>7.5845799999999999</v>
      </c>
      <c r="D202" s="461">
        <v>7.5845799999999999</v>
      </c>
      <c r="E202" s="462">
        <v>0</v>
      </c>
      <c r="F202" s="460">
        <v>0</v>
      </c>
      <c r="G202" s="461">
        <v>0</v>
      </c>
      <c r="H202" s="461">
        <v>0</v>
      </c>
      <c r="I202" s="461">
        <v>0</v>
      </c>
      <c r="J202" s="461">
        <v>0</v>
      </c>
      <c r="K202" s="463">
        <v>0</v>
      </c>
      <c r="L202" s="150"/>
      <c r="M202" s="459" t="str">
        <f t="shared" si="3"/>
        <v/>
      </c>
    </row>
    <row r="203" spans="1:13" ht="14.45" customHeight="1" x14ac:dyDescent="0.2">
      <c r="A203" s="464" t="s">
        <v>469</v>
      </c>
      <c r="B203" s="460">
        <v>0</v>
      </c>
      <c r="C203" s="461">
        <v>0.61599999999999999</v>
      </c>
      <c r="D203" s="461">
        <v>0.61599999999999999</v>
      </c>
      <c r="E203" s="462">
        <v>0</v>
      </c>
      <c r="F203" s="460">
        <v>0</v>
      </c>
      <c r="G203" s="461">
        <v>0</v>
      </c>
      <c r="H203" s="461">
        <v>2.8000000000000001E-2</v>
      </c>
      <c r="I203" s="461">
        <v>0.67</v>
      </c>
      <c r="J203" s="461">
        <v>0.67</v>
      </c>
      <c r="K203" s="463">
        <v>0</v>
      </c>
      <c r="L203" s="150"/>
      <c r="M203" s="459" t="str">
        <f t="shared" si="3"/>
        <v>X</v>
      </c>
    </row>
    <row r="204" spans="1:13" ht="14.45" customHeight="1" x14ac:dyDescent="0.2">
      <c r="A204" s="464" t="s">
        <v>470</v>
      </c>
      <c r="B204" s="460">
        <v>0</v>
      </c>
      <c r="C204" s="461">
        <v>0.61599999999999999</v>
      </c>
      <c r="D204" s="461">
        <v>0.61599999999999999</v>
      </c>
      <c r="E204" s="462">
        <v>0</v>
      </c>
      <c r="F204" s="460">
        <v>0</v>
      </c>
      <c r="G204" s="461">
        <v>0</v>
      </c>
      <c r="H204" s="461">
        <v>2.8000000000000001E-2</v>
      </c>
      <c r="I204" s="461">
        <v>0.67</v>
      </c>
      <c r="J204" s="461">
        <v>0.67</v>
      </c>
      <c r="K204" s="463">
        <v>0</v>
      </c>
      <c r="L204" s="150"/>
      <c r="M204" s="459" t="str">
        <f t="shared" si="3"/>
        <v/>
      </c>
    </row>
    <row r="205" spans="1:13" ht="14.45" customHeight="1" x14ac:dyDescent="0.2">
      <c r="A205" s="464" t="s">
        <v>471</v>
      </c>
      <c r="B205" s="460">
        <v>0</v>
      </c>
      <c r="C205" s="461">
        <v>1106.74594</v>
      </c>
      <c r="D205" s="461">
        <v>1106.74594</v>
      </c>
      <c r="E205" s="462">
        <v>0</v>
      </c>
      <c r="F205" s="460">
        <v>0</v>
      </c>
      <c r="G205" s="461">
        <v>0</v>
      </c>
      <c r="H205" s="461">
        <v>48.171889999999998</v>
      </c>
      <c r="I205" s="461">
        <v>730.3351899999999</v>
      </c>
      <c r="J205" s="461">
        <v>730.3351899999999</v>
      </c>
      <c r="K205" s="463">
        <v>0</v>
      </c>
      <c r="L205" s="150"/>
      <c r="M205" s="459" t="str">
        <f t="shared" si="3"/>
        <v>X</v>
      </c>
    </row>
    <row r="206" spans="1:13" ht="14.45" customHeight="1" x14ac:dyDescent="0.2">
      <c r="A206" s="464" t="s">
        <v>472</v>
      </c>
      <c r="B206" s="460">
        <v>0</v>
      </c>
      <c r="C206" s="461">
        <v>1106.74594</v>
      </c>
      <c r="D206" s="461">
        <v>1106.74594</v>
      </c>
      <c r="E206" s="462">
        <v>0</v>
      </c>
      <c r="F206" s="460">
        <v>0</v>
      </c>
      <c r="G206" s="461">
        <v>0</v>
      </c>
      <c r="H206" s="461">
        <v>48.171889999999998</v>
      </c>
      <c r="I206" s="461">
        <v>730.3351899999999</v>
      </c>
      <c r="J206" s="461">
        <v>730.3351899999999</v>
      </c>
      <c r="K206" s="463">
        <v>0</v>
      </c>
      <c r="L206" s="150"/>
      <c r="M206" s="459" t="str">
        <f t="shared" si="3"/>
        <v/>
      </c>
    </row>
    <row r="207" spans="1:13" ht="14.45" customHeight="1" x14ac:dyDescent="0.2">
      <c r="A207" s="464" t="s">
        <v>473</v>
      </c>
      <c r="B207" s="460">
        <v>0</v>
      </c>
      <c r="C207" s="461">
        <v>2219.70588</v>
      </c>
      <c r="D207" s="461">
        <v>2219.70588</v>
      </c>
      <c r="E207" s="462">
        <v>0</v>
      </c>
      <c r="F207" s="460">
        <v>0</v>
      </c>
      <c r="G207" s="461">
        <v>0</v>
      </c>
      <c r="H207" s="461">
        <v>392.11754999999999</v>
      </c>
      <c r="I207" s="461">
        <v>2504.5221900000001</v>
      </c>
      <c r="J207" s="461">
        <v>2504.5221900000001</v>
      </c>
      <c r="K207" s="463">
        <v>0</v>
      </c>
      <c r="L207" s="150"/>
      <c r="M207" s="459" t="str">
        <f t="shared" si="3"/>
        <v>X</v>
      </c>
    </row>
    <row r="208" spans="1:13" ht="14.45" customHeight="1" x14ac:dyDescent="0.2">
      <c r="A208" s="464" t="s">
        <v>474</v>
      </c>
      <c r="B208" s="460">
        <v>0</v>
      </c>
      <c r="C208" s="461">
        <v>2219.70588</v>
      </c>
      <c r="D208" s="461">
        <v>2219.70588</v>
      </c>
      <c r="E208" s="462">
        <v>0</v>
      </c>
      <c r="F208" s="460">
        <v>0</v>
      </c>
      <c r="G208" s="461">
        <v>0</v>
      </c>
      <c r="H208" s="461">
        <v>392.11754999999999</v>
      </c>
      <c r="I208" s="461">
        <v>2504.5221900000001</v>
      </c>
      <c r="J208" s="461">
        <v>2504.5221900000001</v>
      </c>
      <c r="K208" s="463">
        <v>0</v>
      </c>
      <c r="L208" s="150"/>
      <c r="M208" s="459" t="str">
        <f t="shared" si="3"/>
        <v/>
      </c>
    </row>
    <row r="209" spans="1:13" ht="14.45" customHeight="1" x14ac:dyDescent="0.2">
      <c r="A209" s="464" t="s">
        <v>475</v>
      </c>
      <c r="B209" s="460">
        <v>0</v>
      </c>
      <c r="C209" s="461">
        <v>0</v>
      </c>
      <c r="D209" s="461">
        <v>0</v>
      </c>
      <c r="E209" s="462">
        <v>0</v>
      </c>
      <c r="F209" s="460">
        <v>0</v>
      </c>
      <c r="G209" s="461">
        <v>0</v>
      </c>
      <c r="H209" s="461">
        <v>7.5560499999999999</v>
      </c>
      <c r="I209" s="461">
        <v>47.51491</v>
      </c>
      <c r="J209" s="461">
        <v>47.51491</v>
      </c>
      <c r="K209" s="463">
        <v>0</v>
      </c>
      <c r="L209" s="150"/>
      <c r="M209" s="459" t="str">
        <f t="shared" si="3"/>
        <v>X</v>
      </c>
    </row>
    <row r="210" spans="1:13" ht="14.45" customHeight="1" x14ac:dyDescent="0.2">
      <c r="A210" s="464" t="s">
        <v>476</v>
      </c>
      <c r="B210" s="460">
        <v>0</v>
      </c>
      <c r="C210" s="461">
        <v>0</v>
      </c>
      <c r="D210" s="461">
        <v>0</v>
      </c>
      <c r="E210" s="462">
        <v>0</v>
      </c>
      <c r="F210" s="460">
        <v>0</v>
      </c>
      <c r="G210" s="461">
        <v>0</v>
      </c>
      <c r="H210" s="461">
        <v>7.5560499999999999</v>
      </c>
      <c r="I210" s="461">
        <v>47.51491</v>
      </c>
      <c r="J210" s="461">
        <v>47.51491</v>
      </c>
      <c r="K210" s="463">
        <v>0</v>
      </c>
      <c r="L210" s="150"/>
      <c r="M210" s="459" t="str">
        <f t="shared" si="3"/>
        <v/>
      </c>
    </row>
    <row r="211" spans="1:13" ht="14.45" customHeight="1" x14ac:dyDescent="0.2">
      <c r="A211" s="464"/>
      <c r="B211" s="460"/>
      <c r="C211" s="461"/>
      <c r="D211" s="461"/>
      <c r="E211" s="462"/>
      <c r="F211" s="460"/>
      <c r="G211" s="461"/>
      <c r="H211" s="461"/>
      <c r="I211" s="461"/>
      <c r="J211" s="461"/>
      <c r="K211" s="463"/>
      <c r="L211" s="150"/>
      <c r="M211" s="459" t="str">
        <f t="shared" si="3"/>
        <v/>
      </c>
    </row>
    <row r="212" spans="1:13" ht="14.45" customHeight="1" x14ac:dyDescent="0.2">
      <c r="A212" s="464"/>
      <c r="B212" s="460"/>
      <c r="C212" s="461"/>
      <c r="D212" s="461"/>
      <c r="E212" s="462"/>
      <c r="F212" s="460"/>
      <c r="G212" s="461"/>
      <c r="H212" s="461"/>
      <c r="I212" s="461"/>
      <c r="J212" s="461"/>
      <c r="K212" s="463"/>
      <c r="L212" s="150"/>
      <c r="M212" s="459" t="str">
        <f t="shared" si="3"/>
        <v/>
      </c>
    </row>
    <row r="213" spans="1:13" ht="14.45" customHeight="1" x14ac:dyDescent="0.2">
      <c r="A213" s="464"/>
      <c r="B213" s="460"/>
      <c r="C213" s="461"/>
      <c r="D213" s="461"/>
      <c r="E213" s="462"/>
      <c r="F213" s="460"/>
      <c r="G213" s="461"/>
      <c r="H213" s="461"/>
      <c r="I213" s="461"/>
      <c r="J213" s="461"/>
      <c r="K213" s="463"/>
      <c r="L213" s="150"/>
      <c r="M213" s="459" t="str">
        <f t="shared" si="3"/>
        <v/>
      </c>
    </row>
    <row r="214" spans="1:13" ht="14.45" customHeight="1" x14ac:dyDescent="0.2">
      <c r="A214" s="464"/>
      <c r="B214" s="460"/>
      <c r="C214" s="461"/>
      <c r="D214" s="461"/>
      <c r="E214" s="462"/>
      <c r="F214" s="460"/>
      <c r="G214" s="461"/>
      <c r="H214" s="461"/>
      <c r="I214" s="461"/>
      <c r="J214" s="461"/>
      <c r="K214" s="463"/>
      <c r="L214" s="150"/>
      <c r="M214" s="459" t="str">
        <f t="shared" si="3"/>
        <v/>
      </c>
    </row>
    <row r="215" spans="1:13" ht="14.45" customHeight="1" x14ac:dyDescent="0.2">
      <c r="A215" s="464"/>
      <c r="B215" s="460"/>
      <c r="C215" s="461"/>
      <c r="D215" s="461"/>
      <c r="E215" s="462"/>
      <c r="F215" s="460"/>
      <c r="G215" s="461"/>
      <c r="H215" s="461"/>
      <c r="I215" s="461"/>
      <c r="J215" s="461"/>
      <c r="K215" s="463"/>
      <c r="L215" s="150"/>
      <c r="M215" s="459" t="str">
        <f t="shared" si="3"/>
        <v/>
      </c>
    </row>
    <row r="216" spans="1:13" ht="14.45" customHeight="1" x14ac:dyDescent="0.2">
      <c r="A216" s="464"/>
      <c r="B216" s="460"/>
      <c r="C216" s="461"/>
      <c r="D216" s="461"/>
      <c r="E216" s="462"/>
      <c r="F216" s="460"/>
      <c r="G216" s="461"/>
      <c r="H216" s="461"/>
      <c r="I216" s="461"/>
      <c r="J216" s="461"/>
      <c r="K216" s="463"/>
      <c r="L216" s="150"/>
      <c r="M216" s="459" t="str">
        <f t="shared" si="3"/>
        <v/>
      </c>
    </row>
    <row r="217" spans="1:13" ht="14.45" customHeight="1" x14ac:dyDescent="0.2">
      <c r="A217" s="464"/>
      <c r="B217" s="460"/>
      <c r="C217" s="461"/>
      <c r="D217" s="461"/>
      <c r="E217" s="462"/>
      <c r="F217" s="460"/>
      <c r="G217" s="461"/>
      <c r="H217" s="461"/>
      <c r="I217" s="461"/>
      <c r="J217" s="461"/>
      <c r="K217" s="463"/>
      <c r="L217" s="150"/>
      <c r="M217" s="459" t="str">
        <f t="shared" si="3"/>
        <v/>
      </c>
    </row>
    <row r="218" spans="1:13" ht="14.45" customHeight="1" x14ac:dyDescent="0.2">
      <c r="A218" s="464"/>
      <c r="B218" s="460"/>
      <c r="C218" s="461"/>
      <c r="D218" s="461"/>
      <c r="E218" s="462"/>
      <c r="F218" s="460"/>
      <c r="G218" s="461"/>
      <c r="H218" s="461"/>
      <c r="I218" s="461"/>
      <c r="J218" s="461"/>
      <c r="K218" s="463"/>
      <c r="L218" s="150"/>
      <c r="M218" s="459" t="str">
        <f t="shared" si="3"/>
        <v/>
      </c>
    </row>
    <row r="219" spans="1:13" ht="14.45" customHeight="1" x14ac:dyDescent="0.2">
      <c r="A219" s="464"/>
      <c r="B219" s="460"/>
      <c r="C219" s="461"/>
      <c r="D219" s="461"/>
      <c r="E219" s="462"/>
      <c r="F219" s="460"/>
      <c r="G219" s="461"/>
      <c r="H219" s="461"/>
      <c r="I219" s="461"/>
      <c r="J219" s="461"/>
      <c r="K219" s="463"/>
      <c r="L219" s="150"/>
      <c r="M219" s="459" t="str">
        <f t="shared" si="3"/>
        <v/>
      </c>
    </row>
    <row r="220" spans="1:13" ht="14.45" customHeight="1" x14ac:dyDescent="0.2">
      <c r="A220" s="464"/>
      <c r="B220" s="460"/>
      <c r="C220" s="461"/>
      <c r="D220" s="461"/>
      <c r="E220" s="462"/>
      <c r="F220" s="460"/>
      <c r="G220" s="461"/>
      <c r="H220" s="461"/>
      <c r="I220" s="461"/>
      <c r="J220" s="461"/>
      <c r="K220" s="463"/>
      <c r="L220" s="150"/>
      <c r="M220" s="459" t="str">
        <f t="shared" si="3"/>
        <v/>
      </c>
    </row>
    <row r="221" spans="1:13" ht="14.45" customHeight="1" x14ac:dyDescent="0.2">
      <c r="A221" s="464"/>
      <c r="B221" s="460"/>
      <c r="C221" s="461"/>
      <c r="D221" s="461"/>
      <c r="E221" s="462"/>
      <c r="F221" s="460"/>
      <c r="G221" s="461"/>
      <c r="H221" s="461"/>
      <c r="I221" s="461"/>
      <c r="J221" s="461"/>
      <c r="K221" s="463"/>
      <c r="L221" s="150"/>
      <c r="M221" s="459" t="str">
        <f t="shared" si="3"/>
        <v/>
      </c>
    </row>
    <row r="222" spans="1:13" ht="14.45" customHeight="1" x14ac:dyDescent="0.2">
      <c r="A222" s="464"/>
      <c r="B222" s="460"/>
      <c r="C222" s="461"/>
      <c r="D222" s="461"/>
      <c r="E222" s="462"/>
      <c r="F222" s="460"/>
      <c r="G222" s="461"/>
      <c r="H222" s="461"/>
      <c r="I222" s="461"/>
      <c r="J222" s="461"/>
      <c r="K222" s="463"/>
      <c r="L222" s="150"/>
      <c r="M222" s="459" t="str">
        <f t="shared" si="3"/>
        <v/>
      </c>
    </row>
    <row r="223" spans="1:13" ht="14.45" customHeight="1" x14ac:dyDescent="0.2">
      <c r="A223" s="464"/>
      <c r="B223" s="460"/>
      <c r="C223" s="461"/>
      <c r="D223" s="461"/>
      <c r="E223" s="462"/>
      <c r="F223" s="460"/>
      <c r="G223" s="461"/>
      <c r="H223" s="461"/>
      <c r="I223" s="461"/>
      <c r="J223" s="461"/>
      <c r="K223" s="463"/>
      <c r="L223" s="150"/>
      <c r="M223" s="459" t="str">
        <f t="shared" si="3"/>
        <v/>
      </c>
    </row>
    <row r="224" spans="1:13" ht="14.45" customHeight="1" x14ac:dyDescent="0.2">
      <c r="A224" s="464"/>
      <c r="B224" s="460"/>
      <c r="C224" s="461"/>
      <c r="D224" s="461"/>
      <c r="E224" s="462"/>
      <c r="F224" s="460"/>
      <c r="G224" s="461"/>
      <c r="H224" s="461"/>
      <c r="I224" s="461"/>
      <c r="J224" s="461"/>
      <c r="K224" s="463"/>
      <c r="L224" s="150"/>
      <c r="M224" s="459" t="str">
        <f t="shared" si="3"/>
        <v/>
      </c>
    </row>
    <row r="225" spans="1:13" ht="14.45" customHeight="1" x14ac:dyDescent="0.2">
      <c r="A225" s="464"/>
      <c r="B225" s="460"/>
      <c r="C225" s="461"/>
      <c r="D225" s="461"/>
      <c r="E225" s="462"/>
      <c r="F225" s="460"/>
      <c r="G225" s="461"/>
      <c r="H225" s="461"/>
      <c r="I225" s="461"/>
      <c r="J225" s="461"/>
      <c r="K225" s="463"/>
      <c r="L225" s="150"/>
      <c r="M225" s="459" t="str">
        <f t="shared" si="3"/>
        <v/>
      </c>
    </row>
    <row r="226" spans="1:13" ht="14.45" customHeight="1" x14ac:dyDescent="0.2">
      <c r="A226" s="464"/>
      <c r="B226" s="460"/>
      <c r="C226" s="461"/>
      <c r="D226" s="461"/>
      <c r="E226" s="462"/>
      <c r="F226" s="460"/>
      <c r="G226" s="461"/>
      <c r="H226" s="461"/>
      <c r="I226" s="461"/>
      <c r="J226" s="461"/>
      <c r="K226" s="463"/>
      <c r="L226" s="150"/>
      <c r="M226" s="459" t="str">
        <f t="shared" si="3"/>
        <v/>
      </c>
    </row>
    <row r="227" spans="1:13" ht="14.45" customHeight="1" x14ac:dyDescent="0.2">
      <c r="A227" s="464"/>
      <c r="B227" s="460"/>
      <c r="C227" s="461"/>
      <c r="D227" s="461"/>
      <c r="E227" s="462"/>
      <c r="F227" s="460"/>
      <c r="G227" s="461"/>
      <c r="H227" s="461"/>
      <c r="I227" s="461"/>
      <c r="J227" s="461"/>
      <c r="K227" s="463"/>
      <c r="L227" s="150"/>
      <c r="M227" s="459" t="str">
        <f t="shared" si="3"/>
        <v/>
      </c>
    </row>
    <row r="228" spans="1:13" ht="14.45" customHeight="1" x14ac:dyDescent="0.2">
      <c r="A228" s="464"/>
      <c r="B228" s="460"/>
      <c r="C228" s="461"/>
      <c r="D228" s="461"/>
      <c r="E228" s="462"/>
      <c r="F228" s="460"/>
      <c r="G228" s="461"/>
      <c r="H228" s="461"/>
      <c r="I228" s="461"/>
      <c r="J228" s="461"/>
      <c r="K228" s="463"/>
      <c r="L228" s="150"/>
      <c r="M228" s="459" t="str">
        <f t="shared" si="3"/>
        <v/>
      </c>
    </row>
    <row r="229" spans="1:13" ht="14.45" customHeight="1" x14ac:dyDescent="0.2">
      <c r="A229" s="464"/>
      <c r="B229" s="460"/>
      <c r="C229" s="461"/>
      <c r="D229" s="461"/>
      <c r="E229" s="462"/>
      <c r="F229" s="460"/>
      <c r="G229" s="461"/>
      <c r="H229" s="461"/>
      <c r="I229" s="461"/>
      <c r="J229" s="461"/>
      <c r="K229" s="463"/>
      <c r="L229" s="150"/>
      <c r="M229" s="459" t="str">
        <f t="shared" si="3"/>
        <v/>
      </c>
    </row>
    <row r="230" spans="1:13" ht="14.45" customHeight="1" x14ac:dyDescent="0.2">
      <c r="A230" s="464"/>
      <c r="B230" s="460"/>
      <c r="C230" s="461"/>
      <c r="D230" s="461"/>
      <c r="E230" s="462"/>
      <c r="F230" s="460"/>
      <c r="G230" s="461"/>
      <c r="H230" s="461"/>
      <c r="I230" s="461"/>
      <c r="J230" s="461"/>
      <c r="K230" s="463"/>
      <c r="L230" s="150"/>
      <c r="M230" s="459" t="str">
        <f t="shared" si="3"/>
        <v/>
      </c>
    </row>
    <row r="231" spans="1:13" ht="14.45" customHeight="1" x14ac:dyDescent="0.2">
      <c r="A231" s="464"/>
      <c r="B231" s="460"/>
      <c r="C231" s="461"/>
      <c r="D231" s="461"/>
      <c r="E231" s="462"/>
      <c r="F231" s="460"/>
      <c r="G231" s="461"/>
      <c r="H231" s="461"/>
      <c r="I231" s="461"/>
      <c r="J231" s="461"/>
      <c r="K231" s="463"/>
      <c r="L231" s="150"/>
      <c r="M231" s="459" t="str">
        <f t="shared" si="3"/>
        <v/>
      </c>
    </row>
    <row r="232" spans="1:13" ht="14.45" customHeight="1" x14ac:dyDescent="0.2">
      <c r="A232" s="464"/>
      <c r="B232" s="460"/>
      <c r="C232" s="461"/>
      <c r="D232" s="461"/>
      <c r="E232" s="462"/>
      <c r="F232" s="460"/>
      <c r="G232" s="461"/>
      <c r="H232" s="461"/>
      <c r="I232" s="461"/>
      <c r="J232" s="461"/>
      <c r="K232" s="463"/>
      <c r="L232" s="150"/>
      <c r="M232" s="459" t="str">
        <f t="shared" si="3"/>
        <v/>
      </c>
    </row>
    <row r="233" spans="1:13" ht="14.45" customHeight="1" x14ac:dyDescent="0.2">
      <c r="A233" s="464"/>
      <c r="B233" s="460"/>
      <c r="C233" s="461"/>
      <c r="D233" s="461"/>
      <c r="E233" s="462"/>
      <c r="F233" s="460"/>
      <c r="G233" s="461"/>
      <c r="H233" s="461"/>
      <c r="I233" s="461"/>
      <c r="J233" s="461"/>
      <c r="K233" s="463"/>
      <c r="L233" s="150"/>
      <c r="M233" s="459" t="str">
        <f t="shared" si="3"/>
        <v/>
      </c>
    </row>
    <row r="234" spans="1:13" ht="14.45" customHeight="1" x14ac:dyDescent="0.2">
      <c r="A234" s="464"/>
      <c r="B234" s="460"/>
      <c r="C234" s="461"/>
      <c r="D234" s="461"/>
      <c r="E234" s="462"/>
      <c r="F234" s="460"/>
      <c r="G234" s="461"/>
      <c r="H234" s="461"/>
      <c r="I234" s="461"/>
      <c r="J234" s="461"/>
      <c r="K234" s="463"/>
      <c r="L234" s="150"/>
      <c r="M234" s="459" t="str">
        <f t="shared" si="3"/>
        <v/>
      </c>
    </row>
    <row r="235" spans="1:13" ht="14.45" customHeight="1" x14ac:dyDescent="0.2">
      <c r="A235" s="464"/>
      <c r="B235" s="460"/>
      <c r="C235" s="461"/>
      <c r="D235" s="461"/>
      <c r="E235" s="462"/>
      <c r="F235" s="460"/>
      <c r="G235" s="461"/>
      <c r="H235" s="461"/>
      <c r="I235" s="461"/>
      <c r="J235" s="461"/>
      <c r="K235" s="463"/>
      <c r="L235" s="150"/>
      <c r="M235" s="459" t="str">
        <f t="shared" si="3"/>
        <v/>
      </c>
    </row>
    <row r="236" spans="1:13" ht="14.45" customHeight="1" x14ac:dyDescent="0.2">
      <c r="A236" s="464"/>
      <c r="B236" s="460"/>
      <c r="C236" s="461"/>
      <c r="D236" s="461"/>
      <c r="E236" s="462"/>
      <c r="F236" s="460"/>
      <c r="G236" s="461"/>
      <c r="H236" s="461"/>
      <c r="I236" s="461"/>
      <c r="J236" s="461"/>
      <c r="K236" s="463"/>
      <c r="L236" s="150"/>
      <c r="M236" s="459" t="str">
        <f t="shared" si="3"/>
        <v/>
      </c>
    </row>
    <row r="237" spans="1:13" ht="14.45" customHeight="1" x14ac:dyDescent="0.2">
      <c r="A237" s="464"/>
      <c r="B237" s="460"/>
      <c r="C237" s="461"/>
      <c r="D237" s="461"/>
      <c r="E237" s="462"/>
      <c r="F237" s="460"/>
      <c r="G237" s="461"/>
      <c r="H237" s="461"/>
      <c r="I237" s="461"/>
      <c r="J237" s="461"/>
      <c r="K237" s="463"/>
      <c r="L237" s="150"/>
      <c r="M237" s="459" t="str">
        <f t="shared" si="3"/>
        <v/>
      </c>
    </row>
    <row r="238" spans="1:13" ht="14.45" customHeight="1" x14ac:dyDescent="0.2">
      <c r="A238" s="464"/>
      <c r="B238" s="460"/>
      <c r="C238" s="461"/>
      <c r="D238" s="461"/>
      <c r="E238" s="462"/>
      <c r="F238" s="460"/>
      <c r="G238" s="461"/>
      <c r="H238" s="461"/>
      <c r="I238" s="461"/>
      <c r="J238" s="461"/>
      <c r="K238" s="463"/>
      <c r="L238" s="150"/>
      <c r="M238" s="459" t="str">
        <f t="shared" si="3"/>
        <v/>
      </c>
    </row>
    <row r="239" spans="1:13" ht="14.45" customHeight="1" x14ac:dyDescent="0.2">
      <c r="A239" s="464"/>
      <c r="B239" s="460"/>
      <c r="C239" s="461"/>
      <c r="D239" s="461"/>
      <c r="E239" s="462"/>
      <c r="F239" s="460"/>
      <c r="G239" s="461"/>
      <c r="H239" s="461"/>
      <c r="I239" s="461"/>
      <c r="J239" s="461"/>
      <c r="K239" s="463"/>
      <c r="L239" s="150"/>
      <c r="M239" s="459" t="str">
        <f t="shared" si="3"/>
        <v/>
      </c>
    </row>
    <row r="240" spans="1:13" ht="14.45" customHeight="1" x14ac:dyDescent="0.2">
      <c r="A240" s="464"/>
      <c r="B240" s="460"/>
      <c r="C240" s="461"/>
      <c r="D240" s="461"/>
      <c r="E240" s="462"/>
      <c r="F240" s="460"/>
      <c r="G240" s="461"/>
      <c r="H240" s="461"/>
      <c r="I240" s="461"/>
      <c r="J240" s="461"/>
      <c r="K240" s="463"/>
      <c r="L240" s="150"/>
      <c r="M240" s="459" t="str">
        <f t="shared" si="3"/>
        <v/>
      </c>
    </row>
    <row r="241" spans="1:13" ht="14.45" customHeight="1" x14ac:dyDescent="0.2">
      <c r="A241" s="464"/>
      <c r="B241" s="460"/>
      <c r="C241" s="461"/>
      <c r="D241" s="461"/>
      <c r="E241" s="462"/>
      <c r="F241" s="460"/>
      <c r="G241" s="461"/>
      <c r="H241" s="461"/>
      <c r="I241" s="461"/>
      <c r="J241" s="461"/>
      <c r="K241" s="463"/>
      <c r="L241" s="150"/>
      <c r="M241" s="459" t="str">
        <f t="shared" si="3"/>
        <v/>
      </c>
    </row>
    <row r="242" spans="1:13" ht="14.45" customHeight="1" x14ac:dyDescent="0.2">
      <c r="A242" s="464"/>
      <c r="B242" s="460"/>
      <c r="C242" s="461"/>
      <c r="D242" s="461"/>
      <c r="E242" s="462"/>
      <c r="F242" s="460"/>
      <c r="G242" s="461"/>
      <c r="H242" s="461"/>
      <c r="I242" s="461"/>
      <c r="J242" s="461"/>
      <c r="K242" s="463"/>
      <c r="L242" s="150"/>
      <c r="M242" s="459" t="str">
        <f t="shared" si="3"/>
        <v/>
      </c>
    </row>
    <row r="243" spans="1:13" ht="14.45" customHeight="1" x14ac:dyDescent="0.2">
      <c r="A243" s="464"/>
      <c r="B243" s="460"/>
      <c r="C243" s="461"/>
      <c r="D243" s="461"/>
      <c r="E243" s="462"/>
      <c r="F243" s="460"/>
      <c r="G243" s="461"/>
      <c r="H243" s="461"/>
      <c r="I243" s="461"/>
      <c r="J243" s="461"/>
      <c r="K243" s="463"/>
      <c r="L243" s="150"/>
      <c r="M243" s="459" t="str">
        <f t="shared" si="3"/>
        <v/>
      </c>
    </row>
    <row r="244" spans="1:13" ht="14.45" customHeight="1" x14ac:dyDescent="0.2">
      <c r="A244" s="464"/>
      <c r="B244" s="460"/>
      <c r="C244" s="461"/>
      <c r="D244" s="461"/>
      <c r="E244" s="462"/>
      <c r="F244" s="460"/>
      <c r="G244" s="461"/>
      <c r="H244" s="461"/>
      <c r="I244" s="461"/>
      <c r="J244" s="461"/>
      <c r="K244" s="463"/>
      <c r="L244" s="150"/>
      <c r="M244" s="459" t="str">
        <f t="shared" si="3"/>
        <v/>
      </c>
    </row>
    <row r="245" spans="1:13" ht="14.45" customHeight="1" x14ac:dyDescent="0.2">
      <c r="A245" s="464"/>
      <c r="B245" s="460"/>
      <c r="C245" s="461"/>
      <c r="D245" s="461"/>
      <c r="E245" s="462"/>
      <c r="F245" s="460"/>
      <c r="G245" s="461"/>
      <c r="H245" s="461"/>
      <c r="I245" s="461"/>
      <c r="J245" s="461"/>
      <c r="K245" s="463"/>
      <c r="L245" s="150"/>
      <c r="M245" s="459" t="str">
        <f t="shared" si="3"/>
        <v/>
      </c>
    </row>
    <row r="246" spans="1:13" ht="14.45" customHeight="1" x14ac:dyDescent="0.2">
      <c r="A246" s="464"/>
      <c r="B246" s="460"/>
      <c r="C246" s="461"/>
      <c r="D246" s="461"/>
      <c r="E246" s="462"/>
      <c r="F246" s="460"/>
      <c r="G246" s="461"/>
      <c r="H246" s="461"/>
      <c r="I246" s="461"/>
      <c r="J246" s="461"/>
      <c r="K246" s="463"/>
      <c r="L246" s="150"/>
      <c r="M246" s="459" t="str">
        <f t="shared" si="3"/>
        <v/>
      </c>
    </row>
    <row r="247" spans="1:13" ht="14.45" customHeight="1" x14ac:dyDescent="0.2">
      <c r="A247" s="464"/>
      <c r="B247" s="460"/>
      <c r="C247" s="461"/>
      <c r="D247" s="461"/>
      <c r="E247" s="462"/>
      <c r="F247" s="460"/>
      <c r="G247" s="461"/>
      <c r="H247" s="461"/>
      <c r="I247" s="461"/>
      <c r="J247" s="461"/>
      <c r="K247" s="463"/>
      <c r="L247" s="150"/>
      <c r="M247" s="459" t="str">
        <f t="shared" si="3"/>
        <v/>
      </c>
    </row>
    <row r="248" spans="1:13" ht="14.45" customHeight="1" x14ac:dyDescent="0.2">
      <c r="A248" s="464"/>
      <c r="B248" s="460"/>
      <c r="C248" s="461"/>
      <c r="D248" s="461"/>
      <c r="E248" s="462"/>
      <c r="F248" s="460"/>
      <c r="G248" s="461"/>
      <c r="H248" s="461"/>
      <c r="I248" s="461"/>
      <c r="J248" s="461"/>
      <c r="K248" s="463"/>
      <c r="L248" s="150"/>
      <c r="M248" s="459" t="str">
        <f t="shared" si="3"/>
        <v/>
      </c>
    </row>
    <row r="249" spans="1:13" ht="14.45" customHeight="1" x14ac:dyDescent="0.2">
      <c r="A249" s="464"/>
      <c r="B249" s="460"/>
      <c r="C249" s="461"/>
      <c r="D249" s="461"/>
      <c r="E249" s="462"/>
      <c r="F249" s="460"/>
      <c r="G249" s="461"/>
      <c r="H249" s="461"/>
      <c r="I249" s="461"/>
      <c r="J249" s="461"/>
      <c r="K249" s="463"/>
      <c r="L249" s="150"/>
      <c r="M249" s="459" t="str">
        <f t="shared" si="3"/>
        <v/>
      </c>
    </row>
    <row r="250" spans="1:13" ht="14.45" customHeight="1" x14ac:dyDescent="0.2">
      <c r="A250" s="464"/>
      <c r="B250" s="460"/>
      <c r="C250" s="461"/>
      <c r="D250" s="461"/>
      <c r="E250" s="462"/>
      <c r="F250" s="460"/>
      <c r="G250" s="461"/>
      <c r="H250" s="461"/>
      <c r="I250" s="461"/>
      <c r="J250" s="461"/>
      <c r="K250" s="463"/>
      <c r="L250" s="150"/>
      <c r="M250" s="459" t="str">
        <f t="shared" si="3"/>
        <v/>
      </c>
    </row>
    <row r="251" spans="1:13" ht="14.45" customHeight="1" x14ac:dyDescent="0.2">
      <c r="A251" s="464"/>
      <c r="B251" s="460"/>
      <c r="C251" s="461"/>
      <c r="D251" s="461"/>
      <c r="E251" s="462"/>
      <c r="F251" s="460"/>
      <c r="G251" s="461"/>
      <c r="H251" s="461"/>
      <c r="I251" s="461"/>
      <c r="J251" s="461"/>
      <c r="K251" s="463"/>
      <c r="L251" s="150"/>
      <c r="M251" s="459" t="str">
        <f t="shared" si="3"/>
        <v/>
      </c>
    </row>
    <row r="252" spans="1:13" ht="14.45" customHeight="1" x14ac:dyDescent="0.2">
      <c r="A252" s="464"/>
      <c r="B252" s="460"/>
      <c r="C252" s="461"/>
      <c r="D252" s="461"/>
      <c r="E252" s="462"/>
      <c r="F252" s="460"/>
      <c r="G252" s="461"/>
      <c r="H252" s="461"/>
      <c r="I252" s="461"/>
      <c r="J252" s="461"/>
      <c r="K252" s="463"/>
      <c r="L252" s="150"/>
      <c r="M252" s="459" t="str">
        <f t="shared" si="3"/>
        <v/>
      </c>
    </row>
    <row r="253" spans="1:13" ht="14.45" customHeight="1" x14ac:dyDescent="0.2">
      <c r="A253" s="464"/>
      <c r="B253" s="460"/>
      <c r="C253" s="461"/>
      <c r="D253" s="461"/>
      <c r="E253" s="462"/>
      <c r="F253" s="460"/>
      <c r="G253" s="461"/>
      <c r="H253" s="461"/>
      <c r="I253" s="461"/>
      <c r="J253" s="461"/>
      <c r="K253" s="463"/>
      <c r="L253" s="150"/>
      <c r="M253" s="459" t="str">
        <f t="shared" si="3"/>
        <v/>
      </c>
    </row>
    <row r="254" spans="1:13" ht="14.45" customHeight="1" x14ac:dyDescent="0.2">
      <c r="A254" s="464"/>
      <c r="B254" s="460"/>
      <c r="C254" s="461"/>
      <c r="D254" s="461"/>
      <c r="E254" s="462"/>
      <c r="F254" s="460"/>
      <c r="G254" s="461"/>
      <c r="H254" s="461"/>
      <c r="I254" s="461"/>
      <c r="J254" s="461"/>
      <c r="K254" s="463"/>
      <c r="L254" s="150"/>
      <c r="M254" s="459" t="str">
        <f t="shared" si="3"/>
        <v/>
      </c>
    </row>
    <row r="255" spans="1:13" ht="14.45" customHeight="1" x14ac:dyDescent="0.2">
      <c r="A255" s="464"/>
      <c r="B255" s="460"/>
      <c r="C255" s="461"/>
      <c r="D255" s="461"/>
      <c r="E255" s="462"/>
      <c r="F255" s="460"/>
      <c r="G255" s="461"/>
      <c r="H255" s="461"/>
      <c r="I255" s="461"/>
      <c r="J255" s="461"/>
      <c r="K255" s="463"/>
      <c r="L255" s="150"/>
      <c r="M255" s="459" t="str">
        <f t="shared" si="3"/>
        <v/>
      </c>
    </row>
    <row r="256" spans="1:13" ht="14.45" customHeight="1" x14ac:dyDescent="0.2">
      <c r="A256" s="464"/>
      <c r="B256" s="460"/>
      <c r="C256" s="461"/>
      <c r="D256" s="461"/>
      <c r="E256" s="462"/>
      <c r="F256" s="460"/>
      <c r="G256" s="461"/>
      <c r="H256" s="461"/>
      <c r="I256" s="461"/>
      <c r="J256" s="461"/>
      <c r="K256" s="463"/>
      <c r="L256" s="150"/>
      <c r="M256" s="459" t="str">
        <f t="shared" si="3"/>
        <v/>
      </c>
    </row>
    <row r="257" spans="1:13" ht="14.45" customHeight="1" x14ac:dyDescent="0.2">
      <c r="A257" s="464"/>
      <c r="B257" s="460"/>
      <c r="C257" s="461"/>
      <c r="D257" s="461"/>
      <c r="E257" s="462"/>
      <c r="F257" s="460"/>
      <c r="G257" s="461"/>
      <c r="H257" s="461"/>
      <c r="I257" s="461"/>
      <c r="J257" s="461"/>
      <c r="K257" s="463"/>
      <c r="L257" s="150"/>
      <c r="M257" s="459" t="str">
        <f t="shared" si="3"/>
        <v/>
      </c>
    </row>
    <row r="258" spans="1:13" ht="14.45" customHeight="1" x14ac:dyDescent="0.2">
      <c r="A258" s="464"/>
      <c r="B258" s="460"/>
      <c r="C258" s="461"/>
      <c r="D258" s="461"/>
      <c r="E258" s="462"/>
      <c r="F258" s="460"/>
      <c r="G258" s="461"/>
      <c r="H258" s="461"/>
      <c r="I258" s="461"/>
      <c r="J258" s="461"/>
      <c r="K258" s="463"/>
      <c r="L258" s="150"/>
      <c r="M258" s="459" t="str">
        <f t="shared" si="3"/>
        <v/>
      </c>
    </row>
    <row r="259" spans="1:13" ht="14.45" customHeight="1" x14ac:dyDescent="0.2">
      <c r="A259" s="464"/>
      <c r="B259" s="460"/>
      <c r="C259" s="461"/>
      <c r="D259" s="461"/>
      <c r="E259" s="462"/>
      <c r="F259" s="460"/>
      <c r="G259" s="461"/>
      <c r="H259" s="461"/>
      <c r="I259" s="461"/>
      <c r="J259" s="461"/>
      <c r="K259" s="463"/>
      <c r="L259" s="150"/>
      <c r="M259" s="459" t="str">
        <f t="shared" si="3"/>
        <v/>
      </c>
    </row>
    <row r="260" spans="1:13" ht="14.45" customHeight="1" x14ac:dyDescent="0.2">
      <c r="A260" s="464"/>
      <c r="B260" s="460"/>
      <c r="C260" s="461"/>
      <c r="D260" s="461"/>
      <c r="E260" s="462"/>
      <c r="F260" s="460"/>
      <c r="G260" s="461"/>
      <c r="H260" s="461"/>
      <c r="I260" s="461"/>
      <c r="J260" s="461"/>
      <c r="K260" s="463"/>
      <c r="L260" s="150"/>
      <c r="M260" s="459" t="str">
        <f t="shared" si="3"/>
        <v/>
      </c>
    </row>
    <row r="261" spans="1:13" ht="14.45" customHeight="1" x14ac:dyDescent="0.2">
      <c r="A261" s="464"/>
      <c r="B261" s="460"/>
      <c r="C261" s="461"/>
      <c r="D261" s="461"/>
      <c r="E261" s="462"/>
      <c r="F261" s="460"/>
      <c r="G261" s="461"/>
      <c r="H261" s="461"/>
      <c r="I261" s="461"/>
      <c r="J261" s="461"/>
      <c r="K261" s="463"/>
      <c r="L261" s="150"/>
      <c r="M261" s="459" t="str">
        <f t="shared" si="3"/>
        <v/>
      </c>
    </row>
    <row r="262" spans="1:13" ht="14.45" customHeight="1" x14ac:dyDescent="0.2">
      <c r="A262" s="464"/>
      <c r="B262" s="460"/>
      <c r="C262" s="461"/>
      <c r="D262" s="461"/>
      <c r="E262" s="462"/>
      <c r="F262" s="460"/>
      <c r="G262" s="461"/>
      <c r="H262" s="461"/>
      <c r="I262" s="461"/>
      <c r="J262" s="461"/>
      <c r="K262" s="463"/>
      <c r="L262" s="150"/>
      <c r="M262" s="459" t="str">
        <f t="shared" ref="M262:M325" si="4">IF(A262="HV","HV",IF(OR(LEFT(A262,16)="               5",LEFT(A262,16)="               6",LEFT(A262,16)="               7",LEFT(A262,16)="               8"),"X",""))</f>
        <v/>
      </c>
    </row>
    <row r="263" spans="1:13" ht="14.45" customHeight="1" x14ac:dyDescent="0.2">
      <c r="A263" s="464"/>
      <c r="B263" s="460"/>
      <c r="C263" s="461"/>
      <c r="D263" s="461"/>
      <c r="E263" s="462"/>
      <c r="F263" s="460"/>
      <c r="G263" s="461"/>
      <c r="H263" s="461"/>
      <c r="I263" s="461"/>
      <c r="J263" s="461"/>
      <c r="K263" s="463"/>
      <c r="L263" s="150"/>
      <c r="M263" s="459" t="str">
        <f t="shared" si="4"/>
        <v/>
      </c>
    </row>
    <row r="264" spans="1:13" ht="14.45" customHeight="1" x14ac:dyDescent="0.2">
      <c r="A264" s="464"/>
      <c r="B264" s="460"/>
      <c r="C264" s="461"/>
      <c r="D264" s="461"/>
      <c r="E264" s="462"/>
      <c r="F264" s="460"/>
      <c r="G264" s="461"/>
      <c r="H264" s="461"/>
      <c r="I264" s="461"/>
      <c r="J264" s="461"/>
      <c r="K264" s="463"/>
      <c r="L264" s="150"/>
      <c r="M264" s="459" t="str">
        <f t="shared" si="4"/>
        <v/>
      </c>
    </row>
    <row r="265" spans="1:13" ht="14.45" customHeight="1" x14ac:dyDescent="0.2">
      <c r="A265" s="464"/>
      <c r="B265" s="460"/>
      <c r="C265" s="461"/>
      <c r="D265" s="461"/>
      <c r="E265" s="462"/>
      <c r="F265" s="460"/>
      <c r="G265" s="461"/>
      <c r="H265" s="461"/>
      <c r="I265" s="461"/>
      <c r="J265" s="461"/>
      <c r="K265" s="463"/>
      <c r="L265" s="150"/>
      <c r="M265" s="459" t="str">
        <f t="shared" si="4"/>
        <v/>
      </c>
    </row>
    <row r="266" spans="1:13" ht="14.45" customHeight="1" x14ac:dyDescent="0.2">
      <c r="A266" s="464"/>
      <c r="B266" s="460"/>
      <c r="C266" s="461"/>
      <c r="D266" s="461"/>
      <c r="E266" s="462"/>
      <c r="F266" s="460"/>
      <c r="G266" s="461"/>
      <c r="H266" s="461"/>
      <c r="I266" s="461"/>
      <c r="J266" s="461"/>
      <c r="K266" s="463"/>
      <c r="L266" s="150"/>
      <c r="M266" s="459" t="str">
        <f t="shared" si="4"/>
        <v/>
      </c>
    </row>
    <row r="267" spans="1:13" ht="14.45" customHeight="1" x14ac:dyDescent="0.2">
      <c r="A267" s="464"/>
      <c r="B267" s="460"/>
      <c r="C267" s="461"/>
      <c r="D267" s="461"/>
      <c r="E267" s="462"/>
      <c r="F267" s="460"/>
      <c r="G267" s="461"/>
      <c r="H267" s="461"/>
      <c r="I267" s="461"/>
      <c r="J267" s="461"/>
      <c r="K267" s="463"/>
      <c r="L267" s="150"/>
      <c r="M267" s="459" t="str">
        <f t="shared" si="4"/>
        <v/>
      </c>
    </row>
    <row r="268" spans="1:13" ht="14.45" customHeight="1" x14ac:dyDescent="0.2">
      <c r="A268" s="464"/>
      <c r="B268" s="460"/>
      <c r="C268" s="461"/>
      <c r="D268" s="461"/>
      <c r="E268" s="462"/>
      <c r="F268" s="460"/>
      <c r="G268" s="461"/>
      <c r="H268" s="461"/>
      <c r="I268" s="461"/>
      <c r="J268" s="461"/>
      <c r="K268" s="463"/>
      <c r="L268" s="150"/>
      <c r="M268" s="459" t="str">
        <f t="shared" si="4"/>
        <v/>
      </c>
    </row>
    <row r="269" spans="1:13" ht="14.45" customHeight="1" x14ac:dyDescent="0.2">
      <c r="A269" s="464"/>
      <c r="B269" s="460"/>
      <c r="C269" s="461"/>
      <c r="D269" s="461"/>
      <c r="E269" s="462"/>
      <c r="F269" s="460"/>
      <c r="G269" s="461"/>
      <c r="H269" s="461"/>
      <c r="I269" s="461"/>
      <c r="J269" s="461"/>
      <c r="K269" s="463"/>
      <c r="L269" s="150"/>
      <c r="M269" s="459" t="str">
        <f t="shared" si="4"/>
        <v/>
      </c>
    </row>
    <row r="270" spans="1:13" ht="14.45" customHeight="1" x14ac:dyDescent="0.2">
      <c r="A270" s="464"/>
      <c r="B270" s="460"/>
      <c r="C270" s="461"/>
      <c r="D270" s="461"/>
      <c r="E270" s="462"/>
      <c r="F270" s="460"/>
      <c r="G270" s="461"/>
      <c r="H270" s="461"/>
      <c r="I270" s="461"/>
      <c r="J270" s="461"/>
      <c r="K270" s="463"/>
      <c r="L270" s="150"/>
      <c r="M270" s="459" t="str">
        <f t="shared" si="4"/>
        <v/>
      </c>
    </row>
    <row r="271" spans="1:13" ht="14.45" customHeight="1" x14ac:dyDescent="0.2">
      <c r="A271" s="464"/>
      <c r="B271" s="460"/>
      <c r="C271" s="461"/>
      <c r="D271" s="461"/>
      <c r="E271" s="462"/>
      <c r="F271" s="460"/>
      <c r="G271" s="461"/>
      <c r="H271" s="461"/>
      <c r="I271" s="461"/>
      <c r="J271" s="461"/>
      <c r="K271" s="463"/>
      <c r="L271" s="150"/>
      <c r="M271" s="459" t="str">
        <f t="shared" si="4"/>
        <v/>
      </c>
    </row>
    <row r="272" spans="1:13" ht="14.45" customHeight="1" x14ac:dyDescent="0.2">
      <c r="A272" s="464"/>
      <c r="B272" s="460"/>
      <c r="C272" s="461"/>
      <c r="D272" s="461"/>
      <c r="E272" s="462"/>
      <c r="F272" s="460"/>
      <c r="G272" s="461"/>
      <c r="H272" s="461"/>
      <c r="I272" s="461"/>
      <c r="J272" s="461"/>
      <c r="K272" s="463"/>
      <c r="L272" s="150"/>
      <c r="M272" s="459" t="str">
        <f t="shared" si="4"/>
        <v/>
      </c>
    </row>
    <row r="273" spans="1:13" ht="14.45" customHeight="1" x14ac:dyDescent="0.2">
      <c r="A273" s="464"/>
      <c r="B273" s="460"/>
      <c r="C273" s="461"/>
      <c r="D273" s="461"/>
      <c r="E273" s="462"/>
      <c r="F273" s="460"/>
      <c r="G273" s="461"/>
      <c r="H273" s="461"/>
      <c r="I273" s="461"/>
      <c r="J273" s="461"/>
      <c r="K273" s="463"/>
      <c r="L273" s="150"/>
      <c r="M273" s="459" t="str">
        <f t="shared" si="4"/>
        <v/>
      </c>
    </row>
    <row r="274" spans="1:13" ht="14.45" customHeight="1" x14ac:dyDescent="0.2">
      <c r="A274" s="464"/>
      <c r="B274" s="460"/>
      <c r="C274" s="461"/>
      <c r="D274" s="461"/>
      <c r="E274" s="462"/>
      <c r="F274" s="460"/>
      <c r="G274" s="461"/>
      <c r="H274" s="461"/>
      <c r="I274" s="461"/>
      <c r="J274" s="461"/>
      <c r="K274" s="463"/>
      <c r="L274" s="150"/>
      <c r="M274" s="459" t="str">
        <f t="shared" si="4"/>
        <v/>
      </c>
    </row>
    <row r="275" spans="1:13" ht="14.45" customHeight="1" x14ac:dyDescent="0.2">
      <c r="A275" s="464"/>
      <c r="B275" s="460"/>
      <c r="C275" s="461"/>
      <c r="D275" s="461"/>
      <c r="E275" s="462"/>
      <c r="F275" s="460"/>
      <c r="G275" s="461"/>
      <c r="H275" s="461"/>
      <c r="I275" s="461"/>
      <c r="J275" s="461"/>
      <c r="K275" s="463"/>
      <c r="L275" s="150"/>
      <c r="M275" s="459" t="str">
        <f t="shared" si="4"/>
        <v/>
      </c>
    </row>
    <row r="276" spans="1:13" ht="14.45" customHeight="1" x14ac:dyDescent="0.2">
      <c r="A276" s="464"/>
      <c r="B276" s="460"/>
      <c r="C276" s="461"/>
      <c r="D276" s="461"/>
      <c r="E276" s="462"/>
      <c r="F276" s="460"/>
      <c r="G276" s="461"/>
      <c r="H276" s="461"/>
      <c r="I276" s="461"/>
      <c r="J276" s="461"/>
      <c r="K276" s="463"/>
      <c r="L276" s="150"/>
      <c r="M276" s="459" t="str">
        <f t="shared" si="4"/>
        <v/>
      </c>
    </row>
    <row r="277" spans="1:13" ht="14.45" customHeight="1" x14ac:dyDescent="0.2">
      <c r="A277" s="464"/>
      <c r="B277" s="460"/>
      <c r="C277" s="461"/>
      <c r="D277" s="461"/>
      <c r="E277" s="462"/>
      <c r="F277" s="460"/>
      <c r="G277" s="461"/>
      <c r="H277" s="461"/>
      <c r="I277" s="461"/>
      <c r="J277" s="461"/>
      <c r="K277" s="463"/>
      <c r="L277" s="150"/>
      <c r="M277" s="459" t="str">
        <f t="shared" si="4"/>
        <v/>
      </c>
    </row>
    <row r="278" spans="1:13" ht="14.45" customHeight="1" x14ac:dyDescent="0.2">
      <c r="A278" s="464"/>
      <c r="B278" s="460"/>
      <c r="C278" s="461"/>
      <c r="D278" s="461"/>
      <c r="E278" s="462"/>
      <c r="F278" s="460"/>
      <c r="G278" s="461"/>
      <c r="H278" s="461"/>
      <c r="I278" s="461"/>
      <c r="J278" s="461"/>
      <c r="K278" s="463"/>
      <c r="L278" s="150"/>
      <c r="M278" s="459" t="str">
        <f t="shared" si="4"/>
        <v/>
      </c>
    </row>
    <row r="279" spans="1:13" ht="14.45" customHeight="1" x14ac:dyDescent="0.2">
      <c r="A279" s="464"/>
      <c r="B279" s="460"/>
      <c r="C279" s="461"/>
      <c r="D279" s="461"/>
      <c r="E279" s="462"/>
      <c r="F279" s="460"/>
      <c r="G279" s="461"/>
      <c r="H279" s="461"/>
      <c r="I279" s="461"/>
      <c r="J279" s="461"/>
      <c r="K279" s="463"/>
      <c r="L279" s="150"/>
      <c r="M279" s="459" t="str">
        <f t="shared" si="4"/>
        <v/>
      </c>
    </row>
    <row r="280" spans="1:13" ht="14.45" customHeight="1" x14ac:dyDescent="0.2">
      <c r="A280" s="464"/>
      <c r="B280" s="460"/>
      <c r="C280" s="461"/>
      <c r="D280" s="461"/>
      <c r="E280" s="462"/>
      <c r="F280" s="460"/>
      <c r="G280" s="461"/>
      <c r="H280" s="461"/>
      <c r="I280" s="461"/>
      <c r="J280" s="461"/>
      <c r="K280" s="463"/>
      <c r="L280" s="150"/>
      <c r="M280" s="459" t="str">
        <f t="shared" si="4"/>
        <v/>
      </c>
    </row>
    <row r="281" spans="1:13" ht="14.45" customHeight="1" x14ac:dyDescent="0.2">
      <c r="A281" s="464"/>
      <c r="B281" s="460"/>
      <c r="C281" s="461"/>
      <c r="D281" s="461"/>
      <c r="E281" s="462"/>
      <c r="F281" s="460"/>
      <c r="G281" s="461"/>
      <c r="H281" s="461"/>
      <c r="I281" s="461"/>
      <c r="J281" s="461"/>
      <c r="K281" s="463"/>
      <c r="L281" s="150"/>
      <c r="M281" s="459" t="str">
        <f t="shared" si="4"/>
        <v/>
      </c>
    </row>
    <row r="282" spans="1:13" ht="14.45" customHeight="1" x14ac:dyDescent="0.2">
      <c r="A282" s="464"/>
      <c r="B282" s="460"/>
      <c r="C282" s="461"/>
      <c r="D282" s="461"/>
      <c r="E282" s="462"/>
      <c r="F282" s="460"/>
      <c r="G282" s="461"/>
      <c r="H282" s="461"/>
      <c r="I282" s="461"/>
      <c r="J282" s="461"/>
      <c r="K282" s="463"/>
      <c r="L282" s="150"/>
      <c r="M282" s="459" t="str">
        <f t="shared" si="4"/>
        <v/>
      </c>
    </row>
    <row r="283" spans="1:13" ht="14.45" customHeight="1" x14ac:dyDescent="0.2">
      <c r="A283" s="464"/>
      <c r="B283" s="460"/>
      <c r="C283" s="461"/>
      <c r="D283" s="461"/>
      <c r="E283" s="462"/>
      <c r="F283" s="460"/>
      <c r="G283" s="461"/>
      <c r="H283" s="461"/>
      <c r="I283" s="461"/>
      <c r="J283" s="461"/>
      <c r="K283" s="463"/>
      <c r="L283" s="150"/>
      <c r="M283" s="459" t="str">
        <f t="shared" si="4"/>
        <v/>
      </c>
    </row>
    <row r="284" spans="1:13" ht="14.45" customHeight="1" x14ac:dyDescent="0.2">
      <c r="A284" s="464"/>
      <c r="B284" s="460"/>
      <c r="C284" s="461"/>
      <c r="D284" s="461"/>
      <c r="E284" s="462"/>
      <c r="F284" s="460"/>
      <c r="G284" s="461"/>
      <c r="H284" s="461"/>
      <c r="I284" s="461"/>
      <c r="J284" s="461"/>
      <c r="K284" s="463"/>
      <c r="L284" s="150"/>
      <c r="M284" s="459" t="str">
        <f t="shared" si="4"/>
        <v/>
      </c>
    </row>
    <row r="285" spans="1:13" ht="14.45" customHeight="1" x14ac:dyDescent="0.2">
      <c r="A285" s="464"/>
      <c r="B285" s="460"/>
      <c r="C285" s="461"/>
      <c r="D285" s="461"/>
      <c r="E285" s="462"/>
      <c r="F285" s="460"/>
      <c r="G285" s="461"/>
      <c r="H285" s="461"/>
      <c r="I285" s="461"/>
      <c r="J285" s="461"/>
      <c r="K285" s="463"/>
      <c r="L285" s="150"/>
      <c r="M285" s="459" t="str">
        <f t="shared" si="4"/>
        <v/>
      </c>
    </row>
    <row r="286" spans="1:13" ht="14.45" customHeight="1" x14ac:dyDescent="0.2">
      <c r="A286" s="464"/>
      <c r="B286" s="460"/>
      <c r="C286" s="461"/>
      <c r="D286" s="461"/>
      <c r="E286" s="462"/>
      <c r="F286" s="460"/>
      <c r="G286" s="461"/>
      <c r="H286" s="461"/>
      <c r="I286" s="461"/>
      <c r="J286" s="461"/>
      <c r="K286" s="463"/>
      <c r="L286" s="150"/>
      <c r="M286" s="459" t="str">
        <f t="shared" si="4"/>
        <v/>
      </c>
    </row>
    <row r="287" spans="1:13" ht="14.45" customHeight="1" x14ac:dyDescent="0.2">
      <c r="A287" s="464"/>
      <c r="B287" s="460"/>
      <c r="C287" s="461"/>
      <c r="D287" s="461"/>
      <c r="E287" s="462"/>
      <c r="F287" s="460"/>
      <c r="G287" s="461"/>
      <c r="H287" s="461"/>
      <c r="I287" s="461"/>
      <c r="J287" s="461"/>
      <c r="K287" s="463"/>
      <c r="L287" s="150"/>
      <c r="M287" s="459" t="str">
        <f t="shared" si="4"/>
        <v/>
      </c>
    </row>
    <row r="288" spans="1:13" ht="14.45" customHeight="1" x14ac:dyDescent="0.2">
      <c r="A288" s="464"/>
      <c r="B288" s="460"/>
      <c r="C288" s="461"/>
      <c r="D288" s="461"/>
      <c r="E288" s="462"/>
      <c r="F288" s="460"/>
      <c r="G288" s="461"/>
      <c r="H288" s="461"/>
      <c r="I288" s="461"/>
      <c r="J288" s="461"/>
      <c r="K288" s="463"/>
      <c r="L288" s="150"/>
      <c r="M288" s="459" t="str">
        <f t="shared" si="4"/>
        <v/>
      </c>
    </row>
    <row r="289" spans="1:13" ht="14.45" customHeight="1" x14ac:dyDescent="0.2">
      <c r="A289" s="464"/>
      <c r="B289" s="460"/>
      <c r="C289" s="461"/>
      <c r="D289" s="461"/>
      <c r="E289" s="462"/>
      <c r="F289" s="460"/>
      <c r="G289" s="461"/>
      <c r="H289" s="461"/>
      <c r="I289" s="461"/>
      <c r="J289" s="461"/>
      <c r="K289" s="463"/>
      <c r="L289" s="150"/>
      <c r="M289" s="459" t="str">
        <f t="shared" si="4"/>
        <v/>
      </c>
    </row>
    <row r="290" spans="1:13" ht="14.45" customHeight="1" x14ac:dyDescent="0.2">
      <c r="A290" s="464"/>
      <c r="B290" s="460"/>
      <c r="C290" s="461"/>
      <c r="D290" s="461"/>
      <c r="E290" s="462"/>
      <c r="F290" s="460"/>
      <c r="G290" s="461"/>
      <c r="H290" s="461"/>
      <c r="I290" s="461"/>
      <c r="J290" s="461"/>
      <c r="K290" s="463"/>
      <c r="L290" s="150"/>
      <c r="M290" s="459" t="str">
        <f t="shared" si="4"/>
        <v/>
      </c>
    </row>
    <row r="291" spans="1:13" ht="14.45" customHeight="1" x14ac:dyDescent="0.2">
      <c r="A291" s="464"/>
      <c r="B291" s="460"/>
      <c r="C291" s="461"/>
      <c r="D291" s="461"/>
      <c r="E291" s="462"/>
      <c r="F291" s="460"/>
      <c r="G291" s="461"/>
      <c r="H291" s="461"/>
      <c r="I291" s="461"/>
      <c r="J291" s="461"/>
      <c r="K291" s="463"/>
      <c r="L291" s="150"/>
      <c r="M291" s="459" t="str">
        <f t="shared" si="4"/>
        <v/>
      </c>
    </row>
    <row r="292" spans="1:13" ht="14.45" customHeight="1" x14ac:dyDescent="0.2">
      <c r="A292" s="464"/>
      <c r="B292" s="460"/>
      <c r="C292" s="461"/>
      <c r="D292" s="461"/>
      <c r="E292" s="462"/>
      <c r="F292" s="460"/>
      <c r="G292" s="461"/>
      <c r="H292" s="461"/>
      <c r="I292" s="461"/>
      <c r="J292" s="461"/>
      <c r="K292" s="463"/>
      <c r="L292" s="150"/>
      <c r="M292" s="459" t="str">
        <f t="shared" si="4"/>
        <v/>
      </c>
    </row>
    <row r="293" spans="1:13" ht="14.45" customHeight="1" x14ac:dyDescent="0.2">
      <c r="A293" s="464"/>
      <c r="B293" s="460"/>
      <c r="C293" s="461"/>
      <c r="D293" s="461"/>
      <c r="E293" s="462"/>
      <c r="F293" s="460"/>
      <c r="G293" s="461"/>
      <c r="H293" s="461"/>
      <c r="I293" s="461"/>
      <c r="J293" s="461"/>
      <c r="K293" s="463"/>
      <c r="L293" s="150"/>
      <c r="M293" s="459" t="str">
        <f t="shared" si="4"/>
        <v/>
      </c>
    </row>
    <row r="294" spans="1:13" ht="14.45" customHeight="1" x14ac:dyDescent="0.2">
      <c r="A294" s="464"/>
      <c r="B294" s="460"/>
      <c r="C294" s="461"/>
      <c r="D294" s="461"/>
      <c r="E294" s="462"/>
      <c r="F294" s="460"/>
      <c r="G294" s="461"/>
      <c r="H294" s="461"/>
      <c r="I294" s="461"/>
      <c r="J294" s="461"/>
      <c r="K294" s="463"/>
      <c r="L294" s="150"/>
      <c r="M294" s="459" t="str">
        <f t="shared" si="4"/>
        <v/>
      </c>
    </row>
    <row r="295" spans="1:13" ht="14.45" customHeight="1" x14ac:dyDescent="0.2">
      <c r="A295" s="464"/>
      <c r="B295" s="460"/>
      <c r="C295" s="461"/>
      <c r="D295" s="461"/>
      <c r="E295" s="462"/>
      <c r="F295" s="460"/>
      <c r="G295" s="461"/>
      <c r="H295" s="461"/>
      <c r="I295" s="461"/>
      <c r="J295" s="461"/>
      <c r="K295" s="463"/>
      <c r="L295" s="150"/>
      <c r="M295" s="459" t="str">
        <f t="shared" si="4"/>
        <v/>
      </c>
    </row>
    <row r="296" spans="1:13" ht="14.45" customHeight="1" x14ac:dyDescent="0.2">
      <c r="A296" s="464"/>
      <c r="B296" s="460"/>
      <c r="C296" s="461"/>
      <c r="D296" s="461"/>
      <c r="E296" s="462"/>
      <c r="F296" s="460"/>
      <c r="G296" s="461"/>
      <c r="H296" s="461"/>
      <c r="I296" s="461"/>
      <c r="J296" s="461"/>
      <c r="K296" s="463"/>
      <c r="L296" s="150"/>
      <c r="M296" s="459" t="str">
        <f t="shared" si="4"/>
        <v/>
      </c>
    </row>
    <row r="297" spans="1:13" ht="14.45" customHeight="1" x14ac:dyDescent="0.2">
      <c r="A297" s="464"/>
      <c r="B297" s="460"/>
      <c r="C297" s="461"/>
      <c r="D297" s="461"/>
      <c r="E297" s="462"/>
      <c r="F297" s="460"/>
      <c r="G297" s="461"/>
      <c r="H297" s="461"/>
      <c r="I297" s="461"/>
      <c r="J297" s="461"/>
      <c r="K297" s="463"/>
      <c r="L297" s="150"/>
      <c r="M297" s="459" t="str">
        <f t="shared" si="4"/>
        <v/>
      </c>
    </row>
    <row r="298" spans="1:13" ht="14.45" customHeight="1" x14ac:dyDescent="0.2">
      <c r="A298" s="464"/>
      <c r="B298" s="460"/>
      <c r="C298" s="461"/>
      <c r="D298" s="461"/>
      <c r="E298" s="462"/>
      <c r="F298" s="460"/>
      <c r="G298" s="461"/>
      <c r="H298" s="461"/>
      <c r="I298" s="461"/>
      <c r="J298" s="461"/>
      <c r="K298" s="463"/>
      <c r="L298" s="150"/>
      <c r="M298" s="459" t="str">
        <f t="shared" si="4"/>
        <v/>
      </c>
    </row>
    <row r="299" spans="1:13" ht="14.45" customHeight="1" x14ac:dyDescent="0.2">
      <c r="A299" s="464"/>
      <c r="B299" s="460"/>
      <c r="C299" s="461"/>
      <c r="D299" s="461"/>
      <c r="E299" s="462"/>
      <c r="F299" s="460"/>
      <c r="G299" s="461"/>
      <c r="H299" s="461"/>
      <c r="I299" s="461"/>
      <c r="J299" s="461"/>
      <c r="K299" s="463"/>
      <c r="L299" s="150"/>
      <c r="M299" s="459" t="str">
        <f t="shared" si="4"/>
        <v/>
      </c>
    </row>
    <row r="300" spans="1:13" ht="14.45" customHeight="1" x14ac:dyDescent="0.2">
      <c r="A300" s="464"/>
      <c r="B300" s="460"/>
      <c r="C300" s="461"/>
      <c r="D300" s="461"/>
      <c r="E300" s="462"/>
      <c r="F300" s="460"/>
      <c r="G300" s="461"/>
      <c r="H300" s="461"/>
      <c r="I300" s="461"/>
      <c r="J300" s="461"/>
      <c r="K300" s="463"/>
      <c r="L300" s="150"/>
      <c r="M300" s="459" t="str">
        <f t="shared" si="4"/>
        <v/>
      </c>
    </row>
    <row r="301" spans="1:13" ht="14.45" customHeight="1" x14ac:dyDescent="0.2">
      <c r="A301" s="464"/>
      <c r="B301" s="460"/>
      <c r="C301" s="461"/>
      <c r="D301" s="461"/>
      <c r="E301" s="462"/>
      <c r="F301" s="460"/>
      <c r="G301" s="461"/>
      <c r="H301" s="461"/>
      <c r="I301" s="461"/>
      <c r="J301" s="461"/>
      <c r="K301" s="463"/>
      <c r="L301" s="150"/>
      <c r="M301" s="459" t="str">
        <f t="shared" si="4"/>
        <v/>
      </c>
    </row>
    <row r="302" spans="1:13" ht="14.45" customHeight="1" x14ac:dyDescent="0.2">
      <c r="A302" s="464"/>
      <c r="B302" s="460"/>
      <c r="C302" s="461"/>
      <c r="D302" s="461"/>
      <c r="E302" s="462"/>
      <c r="F302" s="460"/>
      <c r="G302" s="461"/>
      <c r="H302" s="461"/>
      <c r="I302" s="461"/>
      <c r="J302" s="461"/>
      <c r="K302" s="463"/>
      <c r="L302" s="150"/>
      <c r="M302" s="459" t="str">
        <f t="shared" si="4"/>
        <v/>
      </c>
    </row>
    <row r="303" spans="1:13" ht="14.45" customHeight="1" x14ac:dyDescent="0.2">
      <c r="A303" s="464"/>
      <c r="B303" s="460"/>
      <c r="C303" s="461"/>
      <c r="D303" s="461"/>
      <c r="E303" s="462"/>
      <c r="F303" s="460"/>
      <c r="G303" s="461"/>
      <c r="H303" s="461"/>
      <c r="I303" s="461"/>
      <c r="J303" s="461"/>
      <c r="K303" s="463"/>
      <c r="L303" s="150"/>
      <c r="M303" s="459" t="str">
        <f t="shared" si="4"/>
        <v/>
      </c>
    </row>
    <row r="304" spans="1:13" ht="14.45" customHeight="1" x14ac:dyDescent="0.2">
      <c r="A304" s="464"/>
      <c r="B304" s="460"/>
      <c r="C304" s="461"/>
      <c r="D304" s="461"/>
      <c r="E304" s="462"/>
      <c r="F304" s="460"/>
      <c r="G304" s="461"/>
      <c r="H304" s="461"/>
      <c r="I304" s="461"/>
      <c r="J304" s="461"/>
      <c r="K304" s="463"/>
      <c r="L304" s="150"/>
      <c r="M304" s="459" t="str">
        <f t="shared" si="4"/>
        <v/>
      </c>
    </row>
    <row r="305" spans="1:13" ht="14.45" customHeight="1" x14ac:dyDescent="0.2">
      <c r="A305" s="464"/>
      <c r="B305" s="460"/>
      <c r="C305" s="461"/>
      <c r="D305" s="461"/>
      <c r="E305" s="462"/>
      <c r="F305" s="460"/>
      <c r="G305" s="461"/>
      <c r="H305" s="461"/>
      <c r="I305" s="461"/>
      <c r="J305" s="461"/>
      <c r="K305" s="463"/>
      <c r="L305" s="150"/>
      <c r="M305" s="459" t="str">
        <f t="shared" si="4"/>
        <v/>
      </c>
    </row>
    <row r="306" spans="1:13" ht="14.45" customHeight="1" x14ac:dyDescent="0.2">
      <c r="A306" s="464"/>
      <c r="B306" s="460"/>
      <c r="C306" s="461"/>
      <c r="D306" s="461"/>
      <c r="E306" s="462"/>
      <c r="F306" s="460"/>
      <c r="G306" s="461"/>
      <c r="H306" s="461"/>
      <c r="I306" s="461"/>
      <c r="J306" s="461"/>
      <c r="K306" s="463"/>
      <c r="L306" s="150"/>
      <c r="M306" s="459" t="str">
        <f t="shared" si="4"/>
        <v/>
      </c>
    </row>
    <row r="307" spans="1:13" ht="14.45" customHeight="1" x14ac:dyDescent="0.2">
      <c r="A307" s="464"/>
      <c r="B307" s="460"/>
      <c r="C307" s="461"/>
      <c r="D307" s="461"/>
      <c r="E307" s="462"/>
      <c r="F307" s="460"/>
      <c r="G307" s="461"/>
      <c r="H307" s="461"/>
      <c r="I307" s="461"/>
      <c r="J307" s="461"/>
      <c r="K307" s="463"/>
      <c r="L307" s="150"/>
      <c r="M307" s="459" t="str">
        <f t="shared" si="4"/>
        <v/>
      </c>
    </row>
    <row r="308" spans="1:13" ht="14.45" customHeight="1" x14ac:dyDescent="0.2">
      <c r="A308" s="464"/>
      <c r="B308" s="460"/>
      <c r="C308" s="461"/>
      <c r="D308" s="461"/>
      <c r="E308" s="462"/>
      <c r="F308" s="460"/>
      <c r="G308" s="461"/>
      <c r="H308" s="461"/>
      <c r="I308" s="461"/>
      <c r="J308" s="461"/>
      <c r="K308" s="463"/>
      <c r="L308" s="150"/>
      <c r="M308" s="459" t="str">
        <f t="shared" si="4"/>
        <v/>
      </c>
    </row>
    <row r="309" spans="1:13" ht="14.45" customHeight="1" x14ac:dyDescent="0.2">
      <c r="A309" s="464"/>
      <c r="B309" s="460"/>
      <c r="C309" s="461"/>
      <c r="D309" s="461"/>
      <c r="E309" s="462"/>
      <c r="F309" s="460"/>
      <c r="G309" s="461"/>
      <c r="H309" s="461"/>
      <c r="I309" s="461"/>
      <c r="J309" s="461"/>
      <c r="K309" s="463"/>
      <c r="L309" s="150"/>
      <c r="M309" s="459" t="str">
        <f t="shared" si="4"/>
        <v/>
      </c>
    </row>
    <row r="310" spans="1:13" ht="14.45" customHeight="1" x14ac:dyDescent="0.2">
      <c r="A310" s="464"/>
      <c r="B310" s="460"/>
      <c r="C310" s="461"/>
      <c r="D310" s="461"/>
      <c r="E310" s="462"/>
      <c r="F310" s="460"/>
      <c r="G310" s="461"/>
      <c r="H310" s="461"/>
      <c r="I310" s="461"/>
      <c r="J310" s="461"/>
      <c r="K310" s="463"/>
      <c r="L310" s="150"/>
      <c r="M310" s="459" t="str">
        <f t="shared" si="4"/>
        <v/>
      </c>
    </row>
    <row r="311" spans="1:13" ht="14.45" customHeight="1" x14ac:dyDescent="0.2">
      <c r="A311" s="464"/>
      <c r="B311" s="460"/>
      <c r="C311" s="461"/>
      <c r="D311" s="461"/>
      <c r="E311" s="462"/>
      <c r="F311" s="460"/>
      <c r="G311" s="461"/>
      <c r="H311" s="461"/>
      <c r="I311" s="461"/>
      <c r="J311" s="461"/>
      <c r="K311" s="463"/>
      <c r="L311" s="150"/>
      <c r="M311" s="459" t="str">
        <f t="shared" si="4"/>
        <v/>
      </c>
    </row>
    <row r="312" spans="1:13" ht="14.45" customHeight="1" x14ac:dyDescent="0.2">
      <c r="A312" s="464"/>
      <c r="B312" s="460"/>
      <c r="C312" s="461"/>
      <c r="D312" s="461"/>
      <c r="E312" s="462"/>
      <c r="F312" s="460"/>
      <c r="G312" s="461"/>
      <c r="H312" s="461"/>
      <c r="I312" s="461"/>
      <c r="J312" s="461"/>
      <c r="K312" s="463"/>
      <c r="L312" s="150"/>
      <c r="M312" s="459" t="str">
        <f t="shared" si="4"/>
        <v/>
      </c>
    </row>
    <row r="313" spans="1:13" ht="14.45" customHeight="1" x14ac:dyDescent="0.2">
      <c r="A313" s="464"/>
      <c r="B313" s="460"/>
      <c r="C313" s="461"/>
      <c r="D313" s="461"/>
      <c r="E313" s="462"/>
      <c r="F313" s="460"/>
      <c r="G313" s="461"/>
      <c r="H313" s="461"/>
      <c r="I313" s="461"/>
      <c r="J313" s="461"/>
      <c r="K313" s="463"/>
      <c r="L313" s="150"/>
      <c r="M313" s="459" t="str">
        <f t="shared" si="4"/>
        <v/>
      </c>
    </row>
    <row r="314" spans="1:13" ht="14.45" customHeight="1" x14ac:dyDescent="0.2">
      <c r="A314" s="464"/>
      <c r="B314" s="460"/>
      <c r="C314" s="461"/>
      <c r="D314" s="461"/>
      <c r="E314" s="462"/>
      <c r="F314" s="460"/>
      <c r="G314" s="461"/>
      <c r="H314" s="461"/>
      <c r="I314" s="461"/>
      <c r="J314" s="461"/>
      <c r="K314" s="463"/>
      <c r="L314" s="150"/>
      <c r="M314" s="459" t="str">
        <f t="shared" si="4"/>
        <v/>
      </c>
    </row>
    <row r="315" spans="1:13" ht="14.45" customHeight="1" x14ac:dyDescent="0.2">
      <c r="A315" s="464"/>
      <c r="B315" s="460"/>
      <c r="C315" s="461"/>
      <c r="D315" s="461"/>
      <c r="E315" s="462"/>
      <c r="F315" s="460"/>
      <c r="G315" s="461"/>
      <c r="H315" s="461"/>
      <c r="I315" s="461"/>
      <c r="J315" s="461"/>
      <c r="K315" s="463"/>
      <c r="L315" s="150"/>
      <c r="M315" s="459" t="str">
        <f t="shared" si="4"/>
        <v/>
      </c>
    </row>
    <row r="316" spans="1:13" ht="14.45" customHeight="1" x14ac:dyDescent="0.2">
      <c r="A316" s="464"/>
      <c r="B316" s="460"/>
      <c r="C316" s="461"/>
      <c r="D316" s="461"/>
      <c r="E316" s="462"/>
      <c r="F316" s="460"/>
      <c r="G316" s="461"/>
      <c r="H316" s="461"/>
      <c r="I316" s="461"/>
      <c r="J316" s="461"/>
      <c r="K316" s="463"/>
      <c r="L316" s="150"/>
      <c r="M316" s="459" t="str">
        <f t="shared" si="4"/>
        <v/>
      </c>
    </row>
    <row r="317" spans="1:13" ht="14.45" customHeight="1" x14ac:dyDescent="0.2">
      <c r="A317" s="464"/>
      <c r="B317" s="460"/>
      <c r="C317" s="461"/>
      <c r="D317" s="461"/>
      <c r="E317" s="462"/>
      <c r="F317" s="460"/>
      <c r="G317" s="461"/>
      <c r="H317" s="461"/>
      <c r="I317" s="461"/>
      <c r="J317" s="461"/>
      <c r="K317" s="463"/>
      <c r="L317" s="150"/>
      <c r="M317" s="459" t="str">
        <f t="shared" si="4"/>
        <v/>
      </c>
    </row>
    <row r="318" spans="1:13" ht="14.45" customHeight="1" x14ac:dyDescent="0.2">
      <c r="A318" s="464"/>
      <c r="B318" s="460"/>
      <c r="C318" s="461"/>
      <c r="D318" s="461"/>
      <c r="E318" s="462"/>
      <c r="F318" s="460"/>
      <c r="G318" s="461"/>
      <c r="H318" s="461"/>
      <c r="I318" s="461"/>
      <c r="J318" s="461"/>
      <c r="K318" s="463"/>
      <c r="L318" s="150"/>
      <c r="M318" s="459" t="str">
        <f t="shared" si="4"/>
        <v/>
      </c>
    </row>
    <row r="319" spans="1:13" ht="14.45" customHeight="1" x14ac:dyDescent="0.2">
      <c r="A319" s="464"/>
      <c r="B319" s="460"/>
      <c r="C319" s="461"/>
      <c r="D319" s="461"/>
      <c r="E319" s="462"/>
      <c r="F319" s="460"/>
      <c r="G319" s="461"/>
      <c r="H319" s="461"/>
      <c r="I319" s="461"/>
      <c r="J319" s="461"/>
      <c r="K319" s="463"/>
      <c r="L319" s="150"/>
      <c r="M319" s="459" t="str">
        <f t="shared" si="4"/>
        <v/>
      </c>
    </row>
    <row r="320" spans="1:13" ht="14.45" customHeight="1" x14ac:dyDescent="0.2">
      <c r="A320" s="464"/>
      <c r="B320" s="460"/>
      <c r="C320" s="461"/>
      <c r="D320" s="461"/>
      <c r="E320" s="462"/>
      <c r="F320" s="460"/>
      <c r="G320" s="461"/>
      <c r="H320" s="461"/>
      <c r="I320" s="461"/>
      <c r="J320" s="461"/>
      <c r="K320" s="463"/>
      <c r="L320" s="150"/>
      <c r="M320" s="459" t="str">
        <f t="shared" si="4"/>
        <v/>
      </c>
    </row>
    <row r="321" spans="1:13" ht="14.45" customHeight="1" x14ac:dyDescent="0.2">
      <c r="A321" s="464"/>
      <c r="B321" s="460"/>
      <c r="C321" s="461"/>
      <c r="D321" s="461"/>
      <c r="E321" s="462"/>
      <c r="F321" s="460"/>
      <c r="G321" s="461"/>
      <c r="H321" s="461"/>
      <c r="I321" s="461"/>
      <c r="J321" s="461"/>
      <c r="K321" s="463"/>
      <c r="L321" s="150"/>
      <c r="M321" s="459" t="str">
        <f t="shared" si="4"/>
        <v/>
      </c>
    </row>
    <row r="322" spans="1:13" ht="14.45" customHeight="1" x14ac:dyDescent="0.2">
      <c r="A322" s="464"/>
      <c r="B322" s="460"/>
      <c r="C322" s="461"/>
      <c r="D322" s="461"/>
      <c r="E322" s="462"/>
      <c r="F322" s="460"/>
      <c r="G322" s="461"/>
      <c r="H322" s="461"/>
      <c r="I322" s="461"/>
      <c r="J322" s="461"/>
      <c r="K322" s="463"/>
      <c r="L322" s="150"/>
      <c r="M322" s="459" t="str">
        <f t="shared" si="4"/>
        <v/>
      </c>
    </row>
    <row r="323" spans="1:13" ht="14.45" customHeight="1" x14ac:dyDescent="0.2">
      <c r="A323" s="464"/>
      <c r="B323" s="460"/>
      <c r="C323" s="461"/>
      <c r="D323" s="461"/>
      <c r="E323" s="462"/>
      <c r="F323" s="460"/>
      <c r="G323" s="461"/>
      <c r="H323" s="461"/>
      <c r="I323" s="461"/>
      <c r="J323" s="461"/>
      <c r="K323" s="463"/>
      <c r="L323" s="150"/>
      <c r="M323" s="459" t="str">
        <f t="shared" si="4"/>
        <v/>
      </c>
    </row>
    <row r="324" spans="1:13" ht="14.45" customHeight="1" x14ac:dyDescent="0.2">
      <c r="A324" s="464"/>
      <c r="B324" s="460"/>
      <c r="C324" s="461"/>
      <c r="D324" s="461"/>
      <c r="E324" s="462"/>
      <c r="F324" s="460"/>
      <c r="G324" s="461"/>
      <c r="H324" s="461"/>
      <c r="I324" s="461"/>
      <c r="J324" s="461"/>
      <c r="K324" s="463"/>
      <c r="L324" s="150"/>
      <c r="M324" s="459" t="str">
        <f t="shared" si="4"/>
        <v/>
      </c>
    </row>
    <row r="325" spans="1:13" ht="14.45" customHeight="1" x14ac:dyDescent="0.2">
      <c r="A325" s="464"/>
      <c r="B325" s="460"/>
      <c r="C325" s="461"/>
      <c r="D325" s="461"/>
      <c r="E325" s="462"/>
      <c r="F325" s="460"/>
      <c r="G325" s="461"/>
      <c r="H325" s="461"/>
      <c r="I325" s="461"/>
      <c r="J325" s="461"/>
      <c r="K325" s="463"/>
      <c r="L325" s="150"/>
      <c r="M325" s="459" t="str">
        <f t="shared" si="4"/>
        <v/>
      </c>
    </row>
    <row r="326" spans="1:13" ht="14.45" customHeight="1" x14ac:dyDescent="0.2">
      <c r="A326" s="464"/>
      <c r="B326" s="460"/>
      <c r="C326" s="461"/>
      <c r="D326" s="461"/>
      <c r="E326" s="462"/>
      <c r="F326" s="460"/>
      <c r="G326" s="461"/>
      <c r="H326" s="461"/>
      <c r="I326" s="461"/>
      <c r="J326" s="461"/>
      <c r="K326" s="463"/>
      <c r="L326" s="150"/>
      <c r="M326" s="459" t="str">
        <f t="shared" ref="M326:M389" si="5">IF(A326="HV","HV",IF(OR(LEFT(A326,16)="               5",LEFT(A326,16)="               6",LEFT(A326,16)="               7",LEFT(A326,16)="               8"),"X",""))</f>
        <v/>
      </c>
    </row>
    <row r="327" spans="1:13" ht="14.45" customHeight="1" x14ac:dyDescent="0.2">
      <c r="A327" s="464"/>
      <c r="B327" s="460"/>
      <c r="C327" s="461"/>
      <c r="D327" s="461"/>
      <c r="E327" s="462"/>
      <c r="F327" s="460"/>
      <c r="G327" s="461"/>
      <c r="H327" s="461"/>
      <c r="I327" s="461"/>
      <c r="J327" s="461"/>
      <c r="K327" s="463"/>
      <c r="L327" s="150"/>
      <c r="M327" s="459" t="str">
        <f t="shared" si="5"/>
        <v/>
      </c>
    </row>
    <row r="328" spans="1:13" ht="14.45" customHeight="1" x14ac:dyDescent="0.2">
      <c r="A328" s="464"/>
      <c r="B328" s="460"/>
      <c r="C328" s="461"/>
      <c r="D328" s="461"/>
      <c r="E328" s="462"/>
      <c r="F328" s="460"/>
      <c r="G328" s="461"/>
      <c r="H328" s="461"/>
      <c r="I328" s="461"/>
      <c r="J328" s="461"/>
      <c r="K328" s="463"/>
      <c r="L328" s="150"/>
      <c r="M328" s="459" t="str">
        <f t="shared" si="5"/>
        <v/>
      </c>
    </row>
    <row r="329" spans="1:13" ht="14.45" customHeight="1" x14ac:dyDescent="0.2">
      <c r="A329" s="464"/>
      <c r="B329" s="460"/>
      <c r="C329" s="461"/>
      <c r="D329" s="461"/>
      <c r="E329" s="462"/>
      <c r="F329" s="460"/>
      <c r="G329" s="461"/>
      <c r="H329" s="461"/>
      <c r="I329" s="461"/>
      <c r="J329" s="461"/>
      <c r="K329" s="463"/>
      <c r="L329" s="150"/>
      <c r="M329" s="459" t="str">
        <f t="shared" si="5"/>
        <v/>
      </c>
    </row>
    <row r="330" spans="1:13" ht="14.45" customHeight="1" x14ac:dyDescent="0.2">
      <c r="A330" s="464"/>
      <c r="B330" s="460"/>
      <c r="C330" s="461"/>
      <c r="D330" s="461"/>
      <c r="E330" s="462"/>
      <c r="F330" s="460"/>
      <c r="G330" s="461"/>
      <c r="H330" s="461"/>
      <c r="I330" s="461"/>
      <c r="J330" s="461"/>
      <c r="K330" s="463"/>
      <c r="L330" s="150"/>
      <c r="M330" s="459" t="str">
        <f t="shared" si="5"/>
        <v/>
      </c>
    </row>
    <row r="331" spans="1:13" ht="14.45" customHeight="1" x14ac:dyDescent="0.2">
      <c r="A331" s="464"/>
      <c r="B331" s="460"/>
      <c r="C331" s="461"/>
      <c r="D331" s="461"/>
      <c r="E331" s="462"/>
      <c r="F331" s="460"/>
      <c r="G331" s="461"/>
      <c r="H331" s="461"/>
      <c r="I331" s="461"/>
      <c r="J331" s="461"/>
      <c r="K331" s="463"/>
      <c r="L331" s="150"/>
      <c r="M331" s="459" t="str">
        <f t="shared" si="5"/>
        <v/>
      </c>
    </row>
    <row r="332" spans="1:13" ht="14.45" customHeight="1" x14ac:dyDescent="0.2">
      <c r="A332" s="464"/>
      <c r="B332" s="460"/>
      <c r="C332" s="461"/>
      <c r="D332" s="461"/>
      <c r="E332" s="462"/>
      <c r="F332" s="460"/>
      <c r="G332" s="461"/>
      <c r="H332" s="461"/>
      <c r="I332" s="461"/>
      <c r="J332" s="461"/>
      <c r="K332" s="463"/>
      <c r="L332" s="150"/>
      <c r="M332" s="459" t="str">
        <f t="shared" si="5"/>
        <v/>
      </c>
    </row>
    <row r="333" spans="1:13" ht="14.45" customHeight="1" x14ac:dyDescent="0.2">
      <c r="A333" s="464"/>
      <c r="B333" s="460"/>
      <c r="C333" s="461"/>
      <c r="D333" s="461"/>
      <c r="E333" s="462"/>
      <c r="F333" s="460"/>
      <c r="G333" s="461"/>
      <c r="H333" s="461"/>
      <c r="I333" s="461"/>
      <c r="J333" s="461"/>
      <c r="K333" s="463"/>
      <c r="L333" s="150"/>
      <c r="M333" s="459" t="str">
        <f t="shared" si="5"/>
        <v/>
      </c>
    </row>
    <row r="334" spans="1:13" ht="14.45" customHeight="1" x14ac:dyDescent="0.2">
      <c r="A334" s="464"/>
      <c r="B334" s="460"/>
      <c r="C334" s="461"/>
      <c r="D334" s="461"/>
      <c r="E334" s="462"/>
      <c r="F334" s="460"/>
      <c r="G334" s="461"/>
      <c r="H334" s="461"/>
      <c r="I334" s="461"/>
      <c r="J334" s="461"/>
      <c r="K334" s="463"/>
      <c r="L334" s="150"/>
      <c r="M334" s="459" t="str">
        <f t="shared" si="5"/>
        <v/>
      </c>
    </row>
    <row r="335" spans="1:13" ht="14.45" customHeight="1" x14ac:dyDescent="0.2">
      <c r="A335" s="464"/>
      <c r="B335" s="460"/>
      <c r="C335" s="461"/>
      <c r="D335" s="461"/>
      <c r="E335" s="462"/>
      <c r="F335" s="460"/>
      <c r="G335" s="461"/>
      <c r="H335" s="461"/>
      <c r="I335" s="461"/>
      <c r="J335" s="461"/>
      <c r="K335" s="463"/>
      <c r="L335" s="150"/>
      <c r="M335" s="459" t="str">
        <f t="shared" si="5"/>
        <v/>
      </c>
    </row>
    <row r="336" spans="1:13" ht="14.45" customHeight="1" x14ac:dyDescent="0.2">
      <c r="A336" s="464"/>
      <c r="B336" s="460"/>
      <c r="C336" s="461"/>
      <c r="D336" s="461"/>
      <c r="E336" s="462"/>
      <c r="F336" s="460"/>
      <c r="G336" s="461"/>
      <c r="H336" s="461"/>
      <c r="I336" s="461"/>
      <c r="J336" s="461"/>
      <c r="K336" s="463"/>
      <c r="L336" s="150"/>
      <c r="M336" s="459" t="str">
        <f t="shared" si="5"/>
        <v/>
      </c>
    </row>
    <row r="337" spans="1:13" ht="14.45" customHeight="1" x14ac:dyDescent="0.2">
      <c r="A337" s="464"/>
      <c r="B337" s="460"/>
      <c r="C337" s="461"/>
      <c r="D337" s="461"/>
      <c r="E337" s="462"/>
      <c r="F337" s="460"/>
      <c r="G337" s="461"/>
      <c r="H337" s="461"/>
      <c r="I337" s="461"/>
      <c r="J337" s="461"/>
      <c r="K337" s="463"/>
      <c r="L337" s="150"/>
      <c r="M337" s="459" t="str">
        <f t="shared" si="5"/>
        <v/>
      </c>
    </row>
    <row r="338" spans="1:13" ht="14.45" customHeight="1" x14ac:dyDescent="0.2">
      <c r="A338" s="464"/>
      <c r="B338" s="460"/>
      <c r="C338" s="461"/>
      <c r="D338" s="461"/>
      <c r="E338" s="462"/>
      <c r="F338" s="460"/>
      <c r="G338" s="461"/>
      <c r="H338" s="461"/>
      <c r="I338" s="461"/>
      <c r="J338" s="461"/>
      <c r="K338" s="463"/>
      <c r="L338" s="150"/>
      <c r="M338" s="459" t="str">
        <f t="shared" si="5"/>
        <v/>
      </c>
    </row>
    <row r="339" spans="1:13" ht="14.45" customHeight="1" x14ac:dyDescent="0.2">
      <c r="A339" s="464"/>
      <c r="B339" s="460"/>
      <c r="C339" s="461"/>
      <c r="D339" s="461"/>
      <c r="E339" s="462"/>
      <c r="F339" s="460"/>
      <c r="G339" s="461"/>
      <c r="H339" s="461"/>
      <c r="I339" s="461"/>
      <c r="J339" s="461"/>
      <c r="K339" s="463"/>
      <c r="L339" s="150"/>
      <c r="M339" s="459" t="str">
        <f t="shared" si="5"/>
        <v/>
      </c>
    </row>
    <row r="340" spans="1:13" ht="14.45" customHeight="1" x14ac:dyDescent="0.2">
      <c r="A340" s="464"/>
      <c r="B340" s="460"/>
      <c r="C340" s="461"/>
      <c r="D340" s="461"/>
      <c r="E340" s="462"/>
      <c r="F340" s="460"/>
      <c r="G340" s="461"/>
      <c r="H340" s="461"/>
      <c r="I340" s="461"/>
      <c r="J340" s="461"/>
      <c r="K340" s="463"/>
      <c r="L340" s="150"/>
      <c r="M340" s="459" t="str">
        <f t="shared" si="5"/>
        <v/>
      </c>
    </row>
    <row r="341" spans="1:13" ht="14.45" customHeight="1" x14ac:dyDescent="0.2">
      <c r="A341" s="464"/>
      <c r="B341" s="460"/>
      <c r="C341" s="461"/>
      <c r="D341" s="461"/>
      <c r="E341" s="462"/>
      <c r="F341" s="460"/>
      <c r="G341" s="461"/>
      <c r="H341" s="461"/>
      <c r="I341" s="461"/>
      <c r="J341" s="461"/>
      <c r="K341" s="463"/>
      <c r="L341" s="150"/>
      <c r="M341" s="459" t="str">
        <f t="shared" si="5"/>
        <v/>
      </c>
    </row>
    <row r="342" spans="1:13" ht="14.45" customHeight="1" x14ac:dyDescent="0.2">
      <c r="A342" s="464"/>
      <c r="B342" s="460"/>
      <c r="C342" s="461"/>
      <c r="D342" s="461"/>
      <c r="E342" s="462"/>
      <c r="F342" s="460"/>
      <c r="G342" s="461"/>
      <c r="H342" s="461"/>
      <c r="I342" s="461"/>
      <c r="J342" s="461"/>
      <c r="K342" s="463"/>
      <c r="L342" s="150"/>
      <c r="M342" s="459" t="str">
        <f t="shared" si="5"/>
        <v/>
      </c>
    </row>
    <row r="343" spans="1:13" ht="14.45" customHeight="1" x14ac:dyDescent="0.2">
      <c r="A343" s="464"/>
      <c r="B343" s="460"/>
      <c r="C343" s="461"/>
      <c r="D343" s="461"/>
      <c r="E343" s="462"/>
      <c r="F343" s="460"/>
      <c r="G343" s="461"/>
      <c r="H343" s="461"/>
      <c r="I343" s="461"/>
      <c r="J343" s="461"/>
      <c r="K343" s="463"/>
      <c r="L343" s="150"/>
      <c r="M343" s="459" t="str">
        <f t="shared" si="5"/>
        <v/>
      </c>
    </row>
    <row r="344" spans="1:13" ht="14.45" customHeight="1" x14ac:dyDescent="0.2">
      <c r="A344" s="464"/>
      <c r="B344" s="460"/>
      <c r="C344" s="461"/>
      <c r="D344" s="461"/>
      <c r="E344" s="462"/>
      <c r="F344" s="460"/>
      <c r="G344" s="461"/>
      <c r="H344" s="461"/>
      <c r="I344" s="461"/>
      <c r="J344" s="461"/>
      <c r="K344" s="463"/>
      <c r="L344" s="150"/>
      <c r="M344" s="459" t="str">
        <f t="shared" si="5"/>
        <v/>
      </c>
    </row>
    <row r="345" spans="1:13" ht="14.45" customHeight="1" x14ac:dyDescent="0.2">
      <c r="A345" s="464"/>
      <c r="B345" s="460"/>
      <c r="C345" s="461"/>
      <c r="D345" s="461"/>
      <c r="E345" s="462"/>
      <c r="F345" s="460"/>
      <c r="G345" s="461"/>
      <c r="H345" s="461"/>
      <c r="I345" s="461"/>
      <c r="J345" s="461"/>
      <c r="K345" s="463"/>
      <c r="L345" s="150"/>
      <c r="M345" s="459" t="str">
        <f t="shared" si="5"/>
        <v/>
      </c>
    </row>
    <row r="346" spans="1:13" ht="14.45" customHeight="1" x14ac:dyDescent="0.2">
      <c r="A346" s="464"/>
      <c r="B346" s="460"/>
      <c r="C346" s="461"/>
      <c r="D346" s="461"/>
      <c r="E346" s="462"/>
      <c r="F346" s="460"/>
      <c r="G346" s="461"/>
      <c r="H346" s="461"/>
      <c r="I346" s="461"/>
      <c r="J346" s="461"/>
      <c r="K346" s="463"/>
      <c r="L346" s="150"/>
      <c r="M346" s="459" t="str">
        <f t="shared" si="5"/>
        <v/>
      </c>
    </row>
    <row r="347" spans="1:13" ht="14.45" customHeight="1" x14ac:dyDescent="0.2">
      <c r="A347" s="464"/>
      <c r="B347" s="460"/>
      <c r="C347" s="461"/>
      <c r="D347" s="461"/>
      <c r="E347" s="462"/>
      <c r="F347" s="460"/>
      <c r="G347" s="461"/>
      <c r="H347" s="461"/>
      <c r="I347" s="461"/>
      <c r="J347" s="461"/>
      <c r="K347" s="463"/>
      <c r="L347" s="150"/>
      <c r="M347" s="459" t="str">
        <f t="shared" si="5"/>
        <v/>
      </c>
    </row>
    <row r="348" spans="1:13" ht="14.45" customHeight="1" x14ac:dyDescent="0.2">
      <c r="A348" s="464"/>
      <c r="B348" s="460"/>
      <c r="C348" s="461"/>
      <c r="D348" s="461"/>
      <c r="E348" s="462"/>
      <c r="F348" s="460"/>
      <c r="G348" s="461"/>
      <c r="H348" s="461"/>
      <c r="I348" s="461"/>
      <c r="J348" s="461"/>
      <c r="K348" s="463"/>
      <c r="L348" s="150"/>
      <c r="M348" s="459" t="str">
        <f t="shared" si="5"/>
        <v/>
      </c>
    </row>
    <row r="349" spans="1:13" ht="14.45" customHeight="1" x14ac:dyDescent="0.2">
      <c r="A349" s="464"/>
      <c r="B349" s="460"/>
      <c r="C349" s="461"/>
      <c r="D349" s="461"/>
      <c r="E349" s="462"/>
      <c r="F349" s="460"/>
      <c r="G349" s="461"/>
      <c r="H349" s="461"/>
      <c r="I349" s="461"/>
      <c r="J349" s="461"/>
      <c r="K349" s="463"/>
      <c r="L349" s="150"/>
      <c r="M349" s="459" t="str">
        <f t="shared" si="5"/>
        <v/>
      </c>
    </row>
    <row r="350" spans="1:13" ht="14.45" customHeight="1" x14ac:dyDescent="0.2">
      <c r="A350" s="464"/>
      <c r="B350" s="460"/>
      <c r="C350" s="461"/>
      <c r="D350" s="461"/>
      <c r="E350" s="462"/>
      <c r="F350" s="460"/>
      <c r="G350" s="461"/>
      <c r="H350" s="461"/>
      <c r="I350" s="461"/>
      <c r="J350" s="461"/>
      <c r="K350" s="463"/>
      <c r="L350" s="150"/>
      <c r="M350" s="459" t="str">
        <f t="shared" si="5"/>
        <v/>
      </c>
    </row>
    <row r="351" spans="1:13" ht="14.45" customHeight="1" x14ac:dyDescent="0.2">
      <c r="A351" s="464"/>
      <c r="B351" s="460"/>
      <c r="C351" s="461"/>
      <c r="D351" s="461"/>
      <c r="E351" s="462"/>
      <c r="F351" s="460"/>
      <c r="G351" s="461"/>
      <c r="H351" s="461"/>
      <c r="I351" s="461"/>
      <c r="J351" s="461"/>
      <c r="K351" s="463"/>
      <c r="L351" s="150"/>
      <c r="M351" s="459" t="str">
        <f t="shared" si="5"/>
        <v/>
      </c>
    </row>
    <row r="352" spans="1:13" ht="14.45" customHeight="1" x14ac:dyDescent="0.2">
      <c r="A352" s="464"/>
      <c r="B352" s="460"/>
      <c r="C352" s="461"/>
      <c r="D352" s="461"/>
      <c r="E352" s="462"/>
      <c r="F352" s="460"/>
      <c r="G352" s="461"/>
      <c r="H352" s="461"/>
      <c r="I352" s="461"/>
      <c r="J352" s="461"/>
      <c r="K352" s="463"/>
      <c r="L352" s="150"/>
      <c r="M352" s="459" t="str">
        <f t="shared" si="5"/>
        <v/>
      </c>
    </row>
    <row r="353" spans="1:13" ht="14.45" customHeight="1" x14ac:dyDescent="0.2">
      <c r="A353" s="464"/>
      <c r="B353" s="460"/>
      <c r="C353" s="461"/>
      <c r="D353" s="461"/>
      <c r="E353" s="462"/>
      <c r="F353" s="460"/>
      <c r="G353" s="461"/>
      <c r="H353" s="461"/>
      <c r="I353" s="461"/>
      <c r="J353" s="461"/>
      <c r="K353" s="463"/>
      <c r="L353" s="150"/>
      <c r="M353" s="459" t="str">
        <f t="shared" si="5"/>
        <v/>
      </c>
    </row>
    <row r="354" spans="1:13" ht="14.45" customHeight="1" x14ac:dyDescent="0.2">
      <c r="A354" s="464"/>
      <c r="B354" s="460"/>
      <c r="C354" s="461"/>
      <c r="D354" s="461"/>
      <c r="E354" s="462"/>
      <c r="F354" s="460"/>
      <c r="G354" s="461"/>
      <c r="H354" s="461"/>
      <c r="I354" s="461"/>
      <c r="J354" s="461"/>
      <c r="K354" s="463"/>
      <c r="L354" s="150"/>
      <c r="M354" s="459" t="str">
        <f t="shared" si="5"/>
        <v/>
      </c>
    </row>
    <row r="355" spans="1:13" ht="14.45" customHeight="1" x14ac:dyDescent="0.2">
      <c r="A355" s="464"/>
      <c r="B355" s="460"/>
      <c r="C355" s="461"/>
      <c r="D355" s="461"/>
      <c r="E355" s="462"/>
      <c r="F355" s="460"/>
      <c r="G355" s="461"/>
      <c r="H355" s="461"/>
      <c r="I355" s="461"/>
      <c r="J355" s="461"/>
      <c r="K355" s="463"/>
      <c r="L355" s="150"/>
      <c r="M355" s="459" t="str">
        <f t="shared" si="5"/>
        <v/>
      </c>
    </row>
    <row r="356" spans="1:13" ht="14.45" customHeight="1" x14ac:dyDescent="0.2">
      <c r="A356" s="464"/>
      <c r="B356" s="460"/>
      <c r="C356" s="461"/>
      <c r="D356" s="461"/>
      <c r="E356" s="462"/>
      <c r="F356" s="460"/>
      <c r="G356" s="461"/>
      <c r="H356" s="461"/>
      <c r="I356" s="461"/>
      <c r="J356" s="461"/>
      <c r="K356" s="463"/>
      <c r="L356" s="150"/>
      <c r="M356" s="459" t="str">
        <f t="shared" si="5"/>
        <v/>
      </c>
    </row>
    <row r="357" spans="1:13" ht="14.45" customHeight="1" x14ac:dyDescent="0.2">
      <c r="A357" s="464"/>
      <c r="B357" s="460"/>
      <c r="C357" s="461"/>
      <c r="D357" s="461"/>
      <c r="E357" s="462"/>
      <c r="F357" s="460"/>
      <c r="G357" s="461"/>
      <c r="H357" s="461"/>
      <c r="I357" s="461"/>
      <c r="J357" s="461"/>
      <c r="K357" s="463"/>
      <c r="L357" s="150"/>
      <c r="M357" s="459" t="str">
        <f t="shared" si="5"/>
        <v/>
      </c>
    </row>
    <row r="358" spans="1:13" ht="14.45" customHeight="1" x14ac:dyDescent="0.2">
      <c r="A358" s="464"/>
      <c r="B358" s="460"/>
      <c r="C358" s="461"/>
      <c r="D358" s="461"/>
      <c r="E358" s="462"/>
      <c r="F358" s="460"/>
      <c r="G358" s="461"/>
      <c r="H358" s="461"/>
      <c r="I358" s="461"/>
      <c r="J358" s="461"/>
      <c r="K358" s="463"/>
      <c r="L358" s="150"/>
      <c r="M358" s="459" t="str">
        <f t="shared" si="5"/>
        <v/>
      </c>
    </row>
    <row r="359" spans="1:13" ht="14.45" customHeight="1" x14ac:dyDescent="0.2">
      <c r="A359" s="464"/>
      <c r="B359" s="460"/>
      <c r="C359" s="461"/>
      <c r="D359" s="461"/>
      <c r="E359" s="462"/>
      <c r="F359" s="460"/>
      <c r="G359" s="461"/>
      <c r="H359" s="461"/>
      <c r="I359" s="461"/>
      <c r="J359" s="461"/>
      <c r="K359" s="463"/>
      <c r="L359" s="150"/>
      <c r="M359" s="459" t="str">
        <f t="shared" si="5"/>
        <v/>
      </c>
    </row>
    <row r="360" spans="1:13" ht="14.45" customHeight="1" x14ac:dyDescent="0.2">
      <c r="A360" s="464"/>
      <c r="B360" s="460"/>
      <c r="C360" s="461"/>
      <c r="D360" s="461"/>
      <c r="E360" s="462"/>
      <c r="F360" s="460"/>
      <c r="G360" s="461"/>
      <c r="H360" s="461"/>
      <c r="I360" s="461"/>
      <c r="J360" s="461"/>
      <c r="K360" s="463"/>
      <c r="L360" s="150"/>
      <c r="M360" s="459" t="str">
        <f t="shared" si="5"/>
        <v/>
      </c>
    </row>
    <row r="361" spans="1:13" ht="14.45" customHeight="1" x14ac:dyDescent="0.2">
      <c r="A361" s="464"/>
      <c r="B361" s="460"/>
      <c r="C361" s="461"/>
      <c r="D361" s="461"/>
      <c r="E361" s="462"/>
      <c r="F361" s="460"/>
      <c r="G361" s="461"/>
      <c r="H361" s="461"/>
      <c r="I361" s="461"/>
      <c r="J361" s="461"/>
      <c r="K361" s="463"/>
      <c r="L361" s="150"/>
      <c r="M361" s="459" t="str">
        <f t="shared" si="5"/>
        <v/>
      </c>
    </row>
    <row r="362" spans="1:13" ht="14.45" customHeight="1" x14ac:dyDescent="0.2">
      <c r="A362" s="464"/>
      <c r="B362" s="460"/>
      <c r="C362" s="461"/>
      <c r="D362" s="461"/>
      <c r="E362" s="462"/>
      <c r="F362" s="460"/>
      <c r="G362" s="461"/>
      <c r="H362" s="461"/>
      <c r="I362" s="461"/>
      <c r="J362" s="461"/>
      <c r="K362" s="463"/>
      <c r="L362" s="150"/>
      <c r="M362" s="459" t="str">
        <f t="shared" si="5"/>
        <v/>
      </c>
    </row>
    <row r="363" spans="1:13" ht="14.45" customHeight="1" x14ac:dyDescent="0.2">
      <c r="A363" s="464"/>
      <c r="B363" s="460"/>
      <c r="C363" s="461"/>
      <c r="D363" s="461"/>
      <c r="E363" s="462"/>
      <c r="F363" s="460"/>
      <c r="G363" s="461"/>
      <c r="H363" s="461"/>
      <c r="I363" s="461"/>
      <c r="J363" s="461"/>
      <c r="K363" s="463"/>
      <c r="L363" s="150"/>
      <c r="M363" s="459" t="str">
        <f t="shared" si="5"/>
        <v/>
      </c>
    </row>
    <row r="364" spans="1:13" ht="14.45" customHeight="1" x14ac:dyDescent="0.2">
      <c r="A364" s="464"/>
      <c r="B364" s="460"/>
      <c r="C364" s="461"/>
      <c r="D364" s="461"/>
      <c r="E364" s="462"/>
      <c r="F364" s="460"/>
      <c r="G364" s="461"/>
      <c r="H364" s="461"/>
      <c r="I364" s="461"/>
      <c r="J364" s="461"/>
      <c r="K364" s="463"/>
      <c r="L364" s="150"/>
      <c r="M364" s="459" t="str">
        <f t="shared" si="5"/>
        <v/>
      </c>
    </row>
    <row r="365" spans="1:13" ht="14.45" customHeight="1" x14ac:dyDescent="0.2">
      <c r="A365" s="464"/>
      <c r="B365" s="460"/>
      <c r="C365" s="461"/>
      <c r="D365" s="461"/>
      <c r="E365" s="462"/>
      <c r="F365" s="460"/>
      <c r="G365" s="461"/>
      <c r="H365" s="461"/>
      <c r="I365" s="461"/>
      <c r="J365" s="461"/>
      <c r="K365" s="463"/>
      <c r="L365" s="150"/>
      <c r="M365" s="459" t="str">
        <f t="shared" si="5"/>
        <v/>
      </c>
    </row>
    <row r="366" spans="1:13" ht="14.45" customHeight="1" x14ac:dyDescent="0.2">
      <c r="A366" s="464"/>
      <c r="B366" s="460"/>
      <c r="C366" s="461"/>
      <c r="D366" s="461"/>
      <c r="E366" s="462"/>
      <c r="F366" s="460"/>
      <c r="G366" s="461"/>
      <c r="H366" s="461"/>
      <c r="I366" s="461"/>
      <c r="J366" s="461"/>
      <c r="K366" s="463"/>
      <c r="L366" s="150"/>
      <c r="M366" s="459" t="str">
        <f t="shared" si="5"/>
        <v/>
      </c>
    </row>
    <row r="367" spans="1:13" ht="14.45" customHeight="1" x14ac:dyDescent="0.2">
      <c r="A367" s="464"/>
      <c r="B367" s="460"/>
      <c r="C367" s="461"/>
      <c r="D367" s="461"/>
      <c r="E367" s="462"/>
      <c r="F367" s="460"/>
      <c r="G367" s="461"/>
      <c r="H367" s="461"/>
      <c r="I367" s="461"/>
      <c r="J367" s="461"/>
      <c r="K367" s="463"/>
      <c r="L367" s="150"/>
      <c r="M367" s="459" t="str">
        <f t="shared" si="5"/>
        <v/>
      </c>
    </row>
    <row r="368" spans="1:13" ht="14.45" customHeight="1" x14ac:dyDescent="0.2">
      <c r="A368" s="464"/>
      <c r="B368" s="460"/>
      <c r="C368" s="461"/>
      <c r="D368" s="461"/>
      <c r="E368" s="462"/>
      <c r="F368" s="460"/>
      <c r="G368" s="461"/>
      <c r="H368" s="461"/>
      <c r="I368" s="461"/>
      <c r="J368" s="461"/>
      <c r="K368" s="463"/>
      <c r="L368" s="150"/>
      <c r="M368" s="459" t="str">
        <f t="shared" si="5"/>
        <v/>
      </c>
    </row>
    <row r="369" spans="1:13" ht="14.45" customHeight="1" x14ac:dyDescent="0.2">
      <c r="A369" s="464"/>
      <c r="B369" s="460"/>
      <c r="C369" s="461"/>
      <c r="D369" s="461"/>
      <c r="E369" s="462"/>
      <c r="F369" s="460"/>
      <c r="G369" s="461"/>
      <c r="H369" s="461"/>
      <c r="I369" s="461"/>
      <c r="J369" s="461"/>
      <c r="K369" s="463"/>
      <c r="L369" s="150"/>
      <c r="M369" s="459" t="str">
        <f t="shared" si="5"/>
        <v/>
      </c>
    </row>
    <row r="370" spans="1:13" ht="14.45" customHeight="1" x14ac:dyDescent="0.2">
      <c r="A370" s="464"/>
      <c r="B370" s="460"/>
      <c r="C370" s="461"/>
      <c r="D370" s="461"/>
      <c r="E370" s="462"/>
      <c r="F370" s="460"/>
      <c r="G370" s="461"/>
      <c r="H370" s="461"/>
      <c r="I370" s="461"/>
      <c r="J370" s="461"/>
      <c r="K370" s="463"/>
      <c r="L370" s="150"/>
      <c r="M370" s="459" t="str">
        <f t="shared" si="5"/>
        <v/>
      </c>
    </row>
    <row r="371" spans="1:13" ht="14.45" customHeight="1" x14ac:dyDescent="0.2">
      <c r="A371" s="464"/>
      <c r="B371" s="460"/>
      <c r="C371" s="461"/>
      <c r="D371" s="461"/>
      <c r="E371" s="462"/>
      <c r="F371" s="460"/>
      <c r="G371" s="461"/>
      <c r="H371" s="461"/>
      <c r="I371" s="461"/>
      <c r="J371" s="461"/>
      <c r="K371" s="463"/>
      <c r="L371" s="150"/>
      <c r="M371" s="459" t="str">
        <f t="shared" si="5"/>
        <v/>
      </c>
    </row>
    <row r="372" spans="1:13" ht="14.45" customHeight="1" x14ac:dyDescent="0.2">
      <c r="A372" s="464"/>
      <c r="B372" s="460"/>
      <c r="C372" s="461"/>
      <c r="D372" s="461"/>
      <c r="E372" s="462"/>
      <c r="F372" s="460"/>
      <c r="G372" s="461"/>
      <c r="H372" s="461"/>
      <c r="I372" s="461"/>
      <c r="J372" s="461"/>
      <c r="K372" s="463"/>
      <c r="L372" s="150"/>
      <c r="M372" s="459" t="str">
        <f t="shared" si="5"/>
        <v/>
      </c>
    </row>
    <row r="373" spans="1:13" ht="14.45" customHeight="1" x14ac:dyDescent="0.2">
      <c r="A373" s="464"/>
      <c r="B373" s="460"/>
      <c r="C373" s="461"/>
      <c r="D373" s="461"/>
      <c r="E373" s="462"/>
      <c r="F373" s="460"/>
      <c r="G373" s="461"/>
      <c r="H373" s="461"/>
      <c r="I373" s="461"/>
      <c r="J373" s="461"/>
      <c r="K373" s="463"/>
      <c r="L373" s="150"/>
      <c r="M373" s="459" t="str">
        <f t="shared" si="5"/>
        <v/>
      </c>
    </row>
    <row r="374" spans="1:13" ht="14.45" customHeight="1" x14ac:dyDescent="0.2">
      <c r="A374" s="464"/>
      <c r="B374" s="460"/>
      <c r="C374" s="461"/>
      <c r="D374" s="461"/>
      <c r="E374" s="462"/>
      <c r="F374" s="460"/>
      <c r="G374" s="461"/>
      <c r="H374" s="461"/>
      <c r="I374" s="461"/>
      <c r="J374" s="461"/>
      <c r="K374" s="463"/>
      <c r="L374" s="150"/>
      <c r="M374" s="459" t="str">
        <f t="shared" si="5"/>
        <v/>
      </c>
    </row>
    <row r="375" spans="1:13" ht="14.45" customHeight="1" x14ac:dyDescent="0.2">
      <c r="A375" s="464"/>
      <c r="B375" s="460"/>
      <c r="C375" s="461"/>
      <c r="D375" s="461"/>
      <c r="E375" s="462"/>
      <c r="F375" s="460"/>
      <c r="G375" s="461"/>
      <c r="H375" s="461"/>
      <c r="I375" s="461"/>
      <c r="J375" s="461"/>
      <c r="K375" s="463"/>
      <c r="L375" s="150"/>
      <c r="M375" s="459" t="str">
        <f t="shared" si="5"/>
        <v/>
      </c>
    </row>
    <row r="376" spans="1:13" ht="14.45" customHeight="1" x14ac:dyDescent="0.2">
      <c r="A376" s="464"/>
      <c r="B376" s="460"/>
      <c r="C376" s="461"/>
      <c r="D376" s="461"/>
      <c r="E376" s="462"/>
      <c r="F376" s="460"/>
      <c r="G376" s="461"/>
      <c r="H376" s="461"/>
      <c r="I376" s="461"/>
      <c r="J376" s="461"/>
      <c r="K376" s="463"/>
      <c r="L376" s="150"/>
      <c r="M376" s="459" t="str">
        <f t="shared" si="5"/>
        <v/>
      </c>
    </row>
    <row r="377" spans="1:13" ht="14.45" customHeight="1" x14ac:dyDescent="0.2">
      <c r="A377" s="464"/>
      <c r="B377" s="460"/>
      <c r="C377" s="461"/>
      <c r="D377" s="461"/>
      <c r="E377" s="462"/>
      <c r="F377" s="460"/>
      <c r="G377" s="461"/>
      <c r="H377" s="461"/>
      <c r="I377" s="461"/>
      <c r="J377" s="461"/>
      <c r="K377" s="463"/>
      <c r="L377" s="150"/>
      <c r="M377" s="459" t="str">
        <f t="shared" si="5"/>
        <v/>
      </c>
    </row>
    <row r="378" spans="1:13" ht="14.45" customHeight="1" x14ac:dyDescent="0.2">
      <c r="A378" s="464"/>
      <c r="B378" s="460"/>
      <c r="C378" s="461"/>
      <c r="D378" s="461"/>
      <c r="E378" s="462"/>
      <c r="F378" s="460"/>
      <c r="G378" s="461"/>
      <c r="H378" s="461"/>
      <c r="I378" s="461"/>
      <c r="J378" s="461"/>
      <c r="K378" s="463"/>
      <c r="L378" s="150"/>
      <c r="M378" s="459" t="str">
        <f t="shared" si="5"/>
        <v/>
      </c>
    </row>
    <row r="379" spans="1:13" ht="14.45" customHeight="1" x14ac:dyDescent="0.2">
      <c r="A379" s="464"/>
      <c r="B379" s="460"/>
      <c r="C379" s="461"/>
      <c r="D379" s="461"/>
      <c r="E379" s="462"/>
      <c r="F379" s="460"/>
      <c r="G379" s="461"/>
      <c r="H379" s="461"/>
      <c r="I379" s="461"/>
      <c r="J379" s="461"/>
      <c r="K379" s="463"/>
      <c r="L379" s="150"/>
      <c r="M379" s="459" t="str">
        <f t="shared" si="5"/>
        <v/>
      </c>
    </row>
    <row r="380" spans="1:13" ht="14.45" customHeight="1" x14ac:dyDescent="0.2">
      <c r="A380" s="464"/>
      <c r="B380" s="460"/>
      <c r="C380" s="461"/>
      <c r="D380" s="461"/>
      <c r="E380" s="462"/>
      <c r="F380" s="460"/>
      <c r="G380" s="461"/>
      <c r="H380" s="461"/>
      <c r="I380" s="461"/>
      <c r="J380" s="461"/>
      <c r="K380" s="463"/>
      <c r="L380" s="150"/>
      <c r="M380" s="459" t="str">
        <f t="shared" si="5"/>
        <v/>
      </c>
    </row>
    <row r="381" spans="1:13" ht="14.45" customHeight="1" x14ac:dyDescent="0.2">
      <c r="A381" s="464"/>
      <c r="B381" s="460"/>
      <c r="C381" s="461"/>
      <c r="D381" s="461"/>
      <c r="E381" s="462"/>
      <c r="F381" s="460"/>
      <c r="G381" s="461"/>
      <c r="H381" s="461"/>
      <c r="I381" s="461"/>
      <c r="J381" s="461"/>
      <c r="K381" s="463"/>
      <c r="L381" s="150"/>
      <c r="M381" s="459" t="str">
        <f t="shared" si="5"/>
        <v/>
      </c>
    </row>
    <row r="382" spans="1:13" ht="14.45" customHeight="1" x14ac:dyDescent="0.2">
      <c r="A382" s="464"/>
      <c r="B382" s="460"/>
      <c r="C382" s="461"/>
      <c r="D382" s="461"/>
      <c r="E382" s="462"/>
      <c r="F382" s="460"/>
      <c r="G382" s="461"/>
      <c r="H382" s="461"/>
      <c r="I382" s="461"/>
      <c r="J382" s="461"/>
      <c r="K382" s="463"/>
      <c r="L382" s="150"/>
      <c r="M382" s="459" t="str">
        <f t="shared" si="5"/>
        <v/>
      </c>
    </row>
    <row r="383" spans="1:13" ht="14.45" customHeight="1" x14ac:dyDescent="0.2">
      <c r="A383" s="464"/>
      <c r="B383" s="460"/>
      <c r="C383" s="461"/>
      <c r="D383" s="461"/>
      <c r="E383" s="462"/>
      <c r="F383" s="460"/>
      <c r="G383" s="461"/>
      <c r="H383" s="461"/>
      <c r="I383" s="461"/>
      <c r="J383" s="461"/>
      <c r="K383" s="463"/>
      <c r="L383" s="150"/>
      <c r="M383" s="459" t="str">
        <f t="shared" si="5"/>
        <v/>
      </c>
    </row>
    <row r="384" spans="1:13" ht="14.45" customHeight="1" x14ac:dyDescent="0.2">
      <c r="A384" s="464"/>
      <c r="B384" s="460"/>
      <c r="C384" s="461"/>
      <c r="D384" s="461"/>
      <c r="E384" s="462"/>
      <c r="F384" s="460"/>
      <c r="G384" s="461"/>
      <c r="H384" s="461"/>
      <c r="I384" s="461"/>
      <c r="J384" s="461"/>
      <c r="K384" s="463"/>
      <c r="L384" s="150"/>
      <c r="M384" s="459" t="str">
        <f t="shared" si="5"/>
        <v/>
      </c>
    </row>
    <row r="385" spans="1:13" ht="14.45" customHeight="1" x14ac:dyDescent="0.2">
      <c r="A385" s="464"/>
      <c r="B385" s="460"/>
      <c r="C385" s="461"/>
      <c r="D385" s="461"/>
      <c r="E385" s="462"/>
      <c r="F385" s="460"/>
      <c r="G385" s="461"/>
      <c r="H385" s="461"/>
      <c r="I385" s="461"/>
      <c r="J385" s="461"/>
      <c r="K385" s="463"/>
      <c r="L385" s="150"/>
      <c r="M385" s="459" t="str">
        <f t="shared" si="5"/>
        <v/>
      </c>
    </row>
    <row r="386" spans="1:13" ht="14.45" customHeight="1" x14ac:dyDescent="0.2">
      <c r="A386" s="464"/>
      <c r="B386" s="460"/>
      <c r="C386" s="461"/>
      <c r="D386" s="461"/>
      <c r="E386" s="462"/>
      <c r="F386" s="460"/>
      <c r="G386" s="461"/>
      <c r="H386" s="461"/>
      <c r="I386" s="461"/>
      <c r="J386" s="461"/>
      <c r="K386" s="463"/>
      <c r="L386" s="150"/>
      <c r="M386" s="459" t="str">
        <f t="shared" si="5"/>
        <v/>
      </c>
    </row>
    <row r="387" spans="1:13" ht="14.45" customHeight="1" x14ac:dyDescent="0.2">
      <c r="A387" s="464"/>
      <c r="B387" s="460"/>
      <c r="C387" s="461"/>
      <c r="D387" s="461"/>
      <c r="E387" s="462"/>
      <c r="F387" s="460"/>
      <c r="G387" s="461"/>
      <c r="H387" s="461"/>
      <c r="I387" s="461"/>
      <c r="J387" s="461"/>
      <c r="K387" s="463"/>
      <c r="L387" s="150"/>
      <c r="M387" s="459" t="str">
        <f t="shared" si="5"/>
        <v/>
      </c>
    </row>
    <row r="388" spans="1:13" ht="14.45" customHeight="1" x14ac:dyDescent="0.2">
      <c r="A388" s="464"/>
      <c r="B388" s="460"/>
      <c r="C388" s="461"/>
      <c r="D388" s="461"/>
      <c r="E388" s="462"/>
      <c r="F388" s="460"/>
      <c r="G388" s="461"/>
      <c r="H388" s="461"/>
      <c r="I388" s="461"/>
      <c r="J388" s="461"/>
      <c r="K388" s="463"/>
      <c r="L388" s="150"/>
      <c r="M388" s="459" t="str">
        <f t="shared" si="5"/>
        <v/>
      </c>
    </row>
    <row r="389" spans="1:13" ht="14.45" customHeight="1" x14ac:dyDescent="0.2">
      <c r="A389" s="464"/>
      <c r="B389" s="460"/>
      <c r="C389" s="461"/>
      <c r="D389" s="461"/>
      <c r="E389" s="462"/>
      <c r="F389" s="460"/>
      <c r="G389" s="461"/>
      <c r="H389" s="461"/>
      <c r="I389" s="461"/>
      <c r="J389" s="461"/>
      <c r="K389" s="463"/>
      <c r="L389" s="150"/>
      <c r="M389" s="459" t="str">
        <f t="shared" si="5"/>
        <v/>
      </c>
    </row>
    <row r="390" spans="1:13" ht="14.45" customHeight="1" x14ac:dyDescent="0.2">
      <c r="A390" s="464"/>
      <c r="B390" s="460"/>
      <c r="C390" s="461"/>
      <c r="D390" s="461"/>
      <c r="E390" s="462"/>
      <c r="F390" s="460"/>
      <c r="G390" s="461"/>
      <c r="H390" s="461"/>
      <c r="I390" s="461"/>
      <c r="J390" s="461"/>
      <c r="K390" s="463"/>
      <c r="L390" s="150"/>
      <c r="M390" s="459" t="str">
        <f t="shared" ref="M390:M453" si="6">IF(A390="HV","HV",IF(OR(LEFT(A390,16)="               5",LEFT(A390,16)="               6",LEFT(A390,16)="               7",LEFT(A390,16)="               8"),"X",""))</f>
        <v/>
      </c>
    </row>
    <row r="391" spans="1:13" ht="14.45" customHeight="1" x14ac:dyDescent="0.2">
      <c r="A391" s="464"/>
      <c r="B391" s="460"/>
      <c r="C391" s="461"/>
      <c r="D391" s="461"/>
      <c r="E391" s="462"/>
      <c r="F391" s="460"/>
      <c r="G391" s="461"/>
      <c r="H391" s="461"/>
      <c r="I391" s="461"/>
      <c r="J391" s="461"/>
      <c r="K391" s="463"/>
      <c r="L391" s="150"/>
      <c r="M391" s="459" t="str">
        <f t="shared" si="6"/>
        <v/>
      </c>
    </row>
    <row r="392" spans="1:13" ht="14.45" customHeight="1" x14ac:dyDescent="0.2">
      <c r="A392" s="464"/>
      <c r="B392" s="460"/>
      <c r="C392" s="461"/>
      <c r="D392" s="461"/>
      <c r="E392" s="462"/>
      <c r="F392" s="460"/>
      <c r="G392" s="461"/>
      <c r="H392" s="461"/>
      <c r="I392" s="461"/>
      <c r="J392" s="461"/>
      <c r="K392" s="463"/>
      <c r="L392" s="150"/>
      <c r="M392" s="459" t="str">
        <f t="shared" si="6"/>
        <v/>
      </c>
    </row>
    <row r="393" spans="1:13" ht="14.45" customHeight="1" x14ac:dyDescent="0.2">
      <c r="A393" s="464"/>
      <c r="B393" s="460"/>
      <c r="C393" s="461"/>
      <c r="D393" s="461"/>
      <c r="E393" s="462"/>
      <c r="F393" s="460"/>
      <c r="G393" s="461"/>
      <c r="H393" s="461"/>
      <c r="I393" s="461"/>
      <c r="J393" s="461"/>
      <c r="K393" s="463"/>
      <c r="L393" s="150"/>
      <c r="M393" s="459" t="str">
        <f t="shared" si="6"/>
        <v/>
      </c>
    </row>
    <row r="394" spans="1:13" ht="14.45" customHeight="1" x14ac:dyDescent="0.2">
      <c r="A394" s="464"/>
      <c r="B394" s="460"/>
      <c r="C394" s="461"/>
      <c r="D394" s="461"/>
      <c r="E394" s="462"/>
      <c r="F394" s="460"/>
      <c r="G394" s="461"/>
      <c r="H394" s="461"/>
      <c r="I394" s="461"/>
      <c r="J394" s="461"/>
      <c r="K394" s="463"/>
      <c r="L394" s="150"/>
      <c r="M394" s="459" t="str">
        <f t="shared" si="6"/>
        <v/>
      </c>
    </row>
    <row r="395" spans="1:13" ht="14.45" customHeight="1" x14ac:dyDescent="0.2">
      <c r="A395" s="464"/>
      <c r="B395" s="460"/>
      <c r="C395" s="461"/>
      <c r="D395" s="461"/>
      <c r="E395" s="462"/>
      <c r="F395" s="460"/>
      <c r="G395" s="461"/>
      <c r="H395" s="461"/>
      <c r="I395" s="461"/>
      <c r="J395" s="461"/>
      <c r="K395" s="463"/>
      <c r="L395" s="150"/>
      <c r="M395" s="459" t="str">
        <f t="shared" si="6"/>
        <v/>
      </c>
    </row>
    <row r="396" spans="1:13" ht="14.45" customHeight="1" x14ac:dyDescent="0.2">
      <c r="A396" s="464"/>
      <c r="B396" s="460"/>
      <c r="C396" s="461"/>
      <c r="D396" s="461"/>
      <c r="E396" s="462"/>
      <c r="F396" s="460"/>
      <c r="G396" s="461"/>
      <c r="H396" s="461"/>
      <c r="I396" s="461"/>
      <c r="J396" s="461"/>
      <c r="K396" s="463"/>
      <c r="L396" s="150"/>
      <c r="M396" s="459" t="str">
        <f t="shared" si="6"/>
        <v/>
      </c>
    </row>
    <row r="397" spans="1:13" ht="14.45" customHeight="1" x14ac:dyDescent="0.2">
      <c r="A397" s="464"/>
      <c r="B397" s="460"/>
      <c r="C397" s="461"/>
      <c r="D397" s="461"/>
      <c r="E397" s="462"/>
      <c r="F397" s="460"/>
      <c r="G397" s="461"/>
      <c r="H397" s="461"/>
      <c r="I397" s="461"/>
      <c r="J397" s="461"/>
      <c r="K397" s="463"/>
      <c r="L397" s="150"/>
      <c r="M397" s="459" t="str">
        <f t="shared" si="6"/>
        <v/>
      </c>
    </row>
    <row r="398" spans="1:13" ht="14.45" customHeight="1" x14ac:dyDescent="0.2">
      <c r="A398" s="464"/>
      <c r="B398" s="460"/>
      <c r="C398" s="461"/>
      <c r="D398" s="461"/>
      <c r="E398" s="462"/>
      <c r="F398" s="460"/>
      <c r="G398" s="461"/>
      <c r="H398" s="461"/>
      <c r="I398" s="461"/>
      <c r="J398" s="461"/>
      <c r="K398" s="463"/>
      <c r="L398" s="150"/>
      <c r="M398" s="459" t="str">
        <f t="shared" si="6"/>
        <v/>
      </c>
    </row>
    <row r="399" spans="1:13" ht="14.45" customHeight="1" x14ac:dyDescent="0.2">
      <c r="A399" s="464"/>
      <c r="B399" s="460"/>
      <c r="C399" s="461"/>
      <c r="D399" s="461"/>
      <c r="E399" s="462"/>
      <c r="F399" s="460"/>
      <c r="G399" s="461"/>
      <c r="H399" s="461"/>
      <c r="I399" s="461"/>
      <c r="J399" s="461"/>
      <c r="K399" s="463"/>
      <c r="L399" s="150"/>
      <c r="M399" s="459" t="str">
        <f t="shared" si="6"/>
        <v/>
      </c>
    </row>
    <row r="400" spans="1:13" ht="14.45" customHeight="1" x14ac:dyDescent="0.2">
      <c r="A400" s="464"/>
      <c r="B400" s="460"/>
      <c r="C400" s="461"/>
      <c r="D400" s="461"/>
      <c r="E400" s="462"/>
      <c r="F400" s="460"/>
      <c r="G400" s="461"/>
      <c r="H400" s="461"/>
      <c r="I400" s="461"/>
      <c r="J400" s="461"/>
      <c r="K400" s="463"/>
      <c r="L400" s="150"/>
      <c r="M400" s="459" t="str">
        <f t="shared" si="6"/>
        <v/>
      </c>
    </row>
    <row r="401" spans="1:13" ht="14.45" customHeight="1" x14ac:dyDescent="0.2">
      <c r="A401" s="464"/>
      <c r="B401" s="460"/>
      <c r="C401" s="461"/>
      <c r="D401" s="461"/>
      <c r="E401" s="462"/>
      <c r="F401" s="460"/>
      <c r="G401" s="461"/>
      <c r="H401" s="461"/>
      <c r="I401" s="461"/>
      <c r="J401" s="461"/>
      <c r="K401" s="463"/>
      <c r="L401" s="150"/>
      <c r="M401" s="459" t="str">
        <f t="shared" si="6"/>
        <v/>
      </c>
    </row>
    <row r="402" spans="1:13" ht="14.45" customHeight="1" x14ac:dyDescent="0.2">
      <c r="A402" s="464"/>
      <c r="B402" s="460"/>
      <c r="C402" s="461"/>
      <c r="D402" s="461"/>
      <c r="E402" s="462"/>
      <c r="F402" s="460"/>
      <c r="G402" s="461"/>
      <c r="H402" s="461"/>
      <c r="I402" s="461"/>
      <c r="J402" s="461"/>
      <c r="K402" s="463"/>
      <c r="L402" s="150"/>
      <c r="M402" s="459" t="str">
        <f t="shared" si="6"/>
        <v/>
      </c>
    </row>
    <row r="403" spans="1:13" ht="14.45" customHeight="1" x14ac:dyDescent="0.2">
      <c r="A403" s="464"/>
      <c r="B403" s="460"/>
      <c r="C403" s="461"/>
      <c r="D403" s="461"/>
      <c r="E403" s="462"/>
      <c r="F403" s="460"/>
      <c r="G403" s="461"/>
      <c r="H403" s="461"/>
      <c r="I403" s="461"/>
      <c r="J403" s="461"/>
      <c r="K403" s="463"/>
      <c r="L403" s="150"/>
      <c r="M403" s="459" t="str">
        <f t="shared" si="6"/>
        <v/>
      </c>
    </row>
    <row r="404" spans="1:13" ht="14.45" customHeight="1" x14ac:dyDescent="0.2">
      <c r="A404" s="464"/>
      <c r="B404" s="460"/>
      <c r="C404" s="461"/>
      <c r="D404" s="461"/>
      <c r="E404" s="462"/>
      <c r="F404" s="460"/>
      <c r="G404" s="461"/>
      <c r="H404" s="461"/>
      <c r="I404" s="461"/>
      <c r="J404" s="461"/>
      <c r="K404" s="463"/>
      <c r="L404" s="150"/>
      <c r="M404" s="459" t="str">
        <f t="shared" si="6"/>
        <v/>
      </c>
    </row>
    <row r="405" spans="1:13" ht="14.45" customHeight="1" x14ac:dyDescent="0.2">
      <c r="A405" s="464"/>
      <c r="B405" s="460"/>
      <c r="C405" s="461"/>
      <c r="D405" s="461"/>
      <c r="E405" s="462"/>
      <c r="F405" s="460"/>
      <c r="G405" s="461"/>
      <c r="H405" s="461"/>
      <c r="I405" s="461"/>
      <c r="J405" s="461"/>
      <c r="K405" s="463"/>
      <c r="L405" s="150"/>
      <c r="M405" s="459" t="str">
        <f t="shared" si="6"/>
        <v/>
      </c>
    </row>
    <row r="406" spans="1:13" ht="14.45" customHeight="1" x14ac:dyDescent="0.2">
      <c r="A406" s="464"/>
      <c r="B406" s="460"/>
      <c r="C406" s="461"/>
      <c r="D406" s="461"/>
      <c r="E406" s="462"/>
      <c r="F406" s="460"/>
      <c r="G406" s="461"/>
      <c r="H406" s="461"/>
      <c r="I406" s="461"/>
      <c r="J406" s="461"/>
      <c r="K406" s="463"/>
      <c r="L406" s="150"/>
      <c r="M406" s="459" t="str">
        <f t="shared" si="6"/>
        <v/>
      </c>
    </row>
    <row r="407" spans="1:13" ht="14.45" customHeight="1" x14ac:dyDescent="0.2">
      <c r="A407" s="464"/>
      <c r="B407" s="460"/>
      <c r="C407" s="461"/>
      <c r="D407" s="461"/>
      <c r="E407" s="462"/>
      <c r="F407" s="460"/>
      <c r="G407" s="461"/>
      <c r="H407" s="461"/>
      <c r="I407" s="461"/>
      <c r="J407" s="461"/>
      <c r="K407" s="463"/>
      <c r="L407" s="150"/>
      <c r="M407" s="459" t="str">
        <f t="shared" si="6"/>
        <v/>
      </c>
    </row>
    <row r="408" spans="1:13" ht="14.45" customHeight="1" x14ac:dyDescent="0.2">
      <c r="A408" s="464"/>
      <c r="B408" s="460"/>
      <c r="C408" s="461"/>
      <c r="D408" s="461"/>
      <c r="E408" s="462"/>
      <c r="F408" s="460"/>
      <c r="G408" s="461"/>
      <c r="H408" s="461"/>
      <c r="I408" s="461"/>
      <c r="J408" s="461"/>
      <c r="K408" s="463"/>
      <c r="L408" s="150"/>
      <c r="M408" s="459" t="str">
        <f t="shared" si="6"/>
        <v/>
      </c>
    </row>
    <row r="409" spans="1:13" ht="14.45" customHeight="1" x14ac:dyDescent="0.2">
      <c r="A409" s="464"/>
      <c r="B409" s="460"/>
      <c r="C409" s="461"/>
      <c r="D409" s="461"/>
      <c r="E409" s="462"/>
      <c r="F409" s="460"/>
      <c r="G409" s="461"/>
      <c r="H409" s="461"/>
      <c r="I409" s="461"/>
      <c r="J409" s="461"/>
      <c r="K409" s="463"/>
      <c r="L409" s="150"/>
      <c r="M409" s="459" t="str">
        <f t="shared" si="6"/>
        <v/>
      </c>
    </row>
    <row r="410" spans="1:13" ht="14.45" customHeight="1" x14ac:dyDescent="0.2">
      <c r="A410" s="464"/>
      <c r="B410" s="460"/>
      <c r="C410" s="461"/>
      <c r="D410" s="461"/>
      <c r="E410" s="462"/>
      <c r="F410" s="460"/>
      <c r="G410" s="461"/>
      <c r="H410" s="461"/>
      <c r="I410" s="461"/>
      <c r="J410" s="461"/>
      <c r="K410" s="463"/>
      <c r="L410" s="150"/>
      <c r="M410" s="459" t="str">
        <f t="shared" si="6"/>
        <v/>
      </c>
    </row>
    <row r="411" spans="1:13" ht="14.45" customHeight="1" x14ac:dyDescent="0.2">
      <c r="A411" s="464"/>
      <c r="B411" s="460"/>
      <c r="C411" s="461"/>
      <c r="D411" s="461"/>
      <c r="E411" s="462"/>
      <c r="F411" s="460"/>
      <c r="G411" s="461"/>
      <c r="H411" s="461"/>
      <c r="I411" s="461"/>
      <c r="J411" s="461"/>
      <c r="K411" s="463"/>
      <c r="L411" s="150"/>
      <c r="M411" s="459" t="str">
        <f t="shared" si="6"/>
        <v/>
      </c>
    </row>
    <row r="412" spans="1:13" ht="14.45" customHeight="1" x14ac:dyDescent="0.2">
      <c r="A412" s="464"/>
      <c r="B412" s="460"/>
      <c r="C412" s="461"/>
      <c r="D412" s="461"/>
      <c r="E412" s="462"/>
      <c r="F412" s="460"/>
      <c r="G412" s="461"/>
      <c r="H412" s="461"/>
      <c r="I412" s="461"/>
      <c r="J412" s="461"/>
      <c r="K412" s="463"/>
      <c r="L412" s="150"/>
      <c r="M412" s="459" t="str">
        <f t="shared" si="6"/>
        <v/>
      </c>
    </row>
    <row r="413" spans="1:13" ht="14.45" customHeight="1" x14ac:dyDescent="0.2">
      <c r="A413" s="464"/>
      <c r="B413" s="460"/>
      <c r="C413" s="461"/>
      <c r="D413" s="461"/>
      <c r="E413" s="462"/>
      <c r="F413" s="460"/>
      <c r="G413" s="461"/>
      <c r="H413" s="461"/>
      <c r="I413" s="461"/>
      <c r="J413" s="461"/>
      <c r="K413" s="463"/>
      <c r="L413" s="150"/>
      <c r="M413" s="459" t="str">
        <f t="shared" si="6"/>
        <v/>
      </c>
    </row>
    <row r="414" spans="1:13" ht="14.45" customHeight="1" x14ac:dyDescent="0.2">
      <c r="A414" s="464"/>
      <c r="B414" s="460"/>
      <c r="C414" s="461"/>
      <c r="D414" s="461"/>
      <c r="E414" s="462"/>
      <c r="F414" s="460"/>
      <c r="G414" s="461"/>
      <c r="H414" s="461"/>
      <c r="I414" s="461"/>
      <c r="J414" s="461"/>
      <c r="K414" s="463"/>
      <c r="L414" s="150"/>
      <c r="M414" s="459" t="str">
        <f t="shared" si="6"/>
        <v/>
      </c>
    </row>
    <row r="415" spans="1:13" ht="14.45" customHeight="1" x14ac:dyDescent="0.2">
      <c r="A415" s="464"/>
      <c r="B415" s="460"/>
      <c r="C415" s="461"/>
      <c r="D415" s="461"/>
      <c r="E415" s="462"/>
      <c r="F415" s="460"/>
      <c r="G415" s="461"/>
      <c r="H415" s="461"/>
      <c r="I415" s="461"/>
      <c r="J415" s="461"/>
      <c r="K415" s="463"/>
      <c r="L415" s="150"/>
      <c r="M415" s="459" t="str">
        <f t="shared" si="6"/>
        <v/>
      </c>
    </row>
    <row r="416" spans="1:13" ht="14.45" customHeight="1" x14ac:dyDescent="0.2">
      <c r="A416" s="464"/>
      <c r="B416" s="460"/>
      <c r="C416" s="461"/>
      <c r="D416" s="461"/>
      <c r="E416" s="462"/>
      <c r="F416" s="460"/>
      <c r="G416" s="461"/>
      <c r="H416" s="461"/>
      <c r="I416" s="461"/>
      <c r="J416" s="461"/>
      <c r="K416" s="463"/>
      <c r="L416" s="150"/>
      <c r="M416" s="459" t="str">
        <f t="shared" si="6"/>
        <v/>
      </c>
    </row>
    <row r="417" spans="1:13" ht="14.45" customHeight="1" x14ac:dyDescent="0.2">
      <c r="A417" s="464"/>
      <c r="B417" s="460"/>
      <c r="C417" s="461"/>
      <c r="D417" s="461"/>
      <c r="E417" s="462"/>
      <c r="F417" s="460"/>
      <c r="G417" s="461"/>
      <c r="H417" s="461"/>
      <c r="I417" s="461"/>
      <c r="J417" s="461"/>
      <c r="K417" s="463"/>
      <c r="L417" s="150"/>
      <c r="M417" s="459" t="str">
        <f t="shared" si="6"/>
        <v/>
      </c>
    </row>
    <row r="418" spans="1:13" ht="14.45" customHeight="1" x14ac:dyDescent="0.2">
      <c r="A418" s="464"/>
      <c r="B418" s="460"/>
      <c r="C418" s="461"/>
      <c r="D418" s="461"/>
      <c r="E418" s="462"/>
      <c r="F418" s="460"/>
      <c r="G418" s="461"/>
      <c r="H418" s="461"/>
      <c r="I418" s="461"/>
      <c r="J418" s="461"/>
      <c r="K418" s="463"/>
      <c r="L418" s="150"/>
      <c r="M418" s="459" t="str">
        <f t="shared" si="6"/>
        <v/>
      </c>
    </row>
    <row r="419" spans="1:13" ht="14.45" customHeight="1" x14ac:dyDescent="0.2">
      <c r="A419" s="464"/>
      <c r="B419" s="460"/>
      <c r="C419" s="461"/>
      <c r="D419" s="461"/>
      <c r="E419" s="462"/>
      <c r="F419" s="460"/>
      <c r="G419" s="461"/>
      <c r="H419" s="461"/>
      <c r="I419" s="461"/>
      <c r="J419" s="461"/>
      <c r="K419" s="463"/>
      <c r="L419" s="150"/>
      <c r="M419" s="459" t="str">
        <f t="shared" si="6"/>
        <v/>
      </c>
    </row>
    <row r="420" spans="1:13" ht="14.45" customHeight="1" x14ac:dyDescent="0.2">
      <c r="A420" s="464"/>
      <c r="B420" s="460"/>
      <c r="C420" s="461"/>
      <c r="D420" s="461"/>
      <c r="E420" s="462"/>
      <c r="F420" s="460"/>
      <c r="G420" s="461"/>
      <c r="H420" s="461"/>
      <c r="I420" s="461"/>
      <c r="J420" s="461"/>
      <c r="K420" s="463"/>
      <c r="L420" s="150"/>
      <c r="M420" s="459" t="str">
        <f t="shared" si="6"/>
        <v/>
      </c>
    </row>
    <row r="421" spans="1:13" ht="14.45" customHeight="1" x14ac:dyDescent="0.2">
      <c r="A421" s="464"/>
      <c r="B421" s="460"/>
      <c r="C421" s="461"/>
      <c r="D421" s="461"/>
      <c r="E421" s="462"/>
      <c r="F421" s="460"/>
      <c r="G421" s="461"/>
      <c r="H421" s="461"/>
      <c r="I421" s="461"/>
      <c r="J421" s="461"/>
      <c r="K421" s="463"/>
      <c r="L421" s="150"/>
      <c r="M421" s="459" t="str">
        <f t="shared" si="6"/>
        <v/>
      </c>
    </row>
    <row r="422" spans="1:13" ht="14.45" customHeight="1" x14ac:dyDescent="0.2">
      <c r="A422" s="464"/>
      <c r="B422" s="460"/>
      <c r="C422" s="461"/>
      <c r="D422" s="461"/>
      <c r="E422" s="462"/>
      <c r="F422" s="460"/>
      <c r="G422" s="461"/>
      <c r="H422" s="461"/>
      <c r="I422" s="461"/>
      <c r="J422" s="461"/>
      <c r="K422" s="463"/>
      <c r="L422" s="150"/>
      <c r="M422" s="459" t="str">
        <f t="shared" si="6"/>
        <v/>
      </c>
    </row>
    <row r="423" spans="1:13" ht="14.45" customHeight="1" x14ac:dyDescent="0.2">
      <c r="A423" s="464"/>
      <c r="B423" s="460"/>
      <c r="C423" s="461"/>
      <c r="D423" s="461"/>
      <c r="E423" s="462"/>
      <c r="F423" s="460"/>
      <c r="G423" s="461"/>
      <c r="H423" s="461"/>
      <c r="I423" s="461"/>
      <c r="J423" s="461"/>
      <c r="K423" s="463"/>
      <c r="L423" s="150"/>
      <c r="M423" s="459" t="str">
        <f t="shared" si="6"/>
        <v/>
      </c>
    </row>
    <row r="424" spans="1:13" ht="14.45" customHeight="1" x14ac:dyDescent="0.2">
      <c r="A424" s="464"/>
      <c r="B424" s="460"/>
      <c r="C424" s="461"/>
      <c r="D424" s="461"/>
      <c r="E424" s="462"/>
      <c r="F424" s="460"/>
      <c r="G424" s="461"/>
      <c r="H424" s="461"/>
      <c r="I424" s="461"/>
      <c r="J424" s="461"/>
      <c r="K424" s="463"/>
      <c r="L424" s="150"/>
      <c r="M424" s="459" t="str">
        <f t="shared" si="6"/>
        <v/>
      </c>
    </row>
    <row r="425" spans="1:13" ht="14.45" customHeight="1" x14ac:dyDescent="0.2">
      <c r="A425" s="464"/>
      <c r="B425" s="460"/>
      <c r="C425" s="461"/>
      <c r="D425" s="461"/>
      <c r="E425" s="462"/>
      <c r="F425" s="460"/>
      <c r="G425" s="461"/>
      <c r="H425" s="461"/>
      <c r="I425" s="461"/>
      <c r="J425" s="461"/>
      <c r="K425" s="463"/>
      <c r="L425" s="150"/>
      <c r="M425" s="459" t="str">
        <f t="shared" si="6"/>
        <v/>
      </c>
    </row>
    <row r="426" spans="1:13" ht="14.45" customHeight="1" x14ac:dyDescent="0.2">
      <c r="A426" s="464"/>
      <c r="B426" s="460"/>
      <c r="C426" s="461"/>
      <c r="D426" s="461"/>
      <c r="E426" s="462"/>
      <c r="F426" s="460"/>
      <c r="G426" s="461"/>
      <c r="H426" s="461"/>
      <c r="I426" s="461"/>
      <c r="J426" s="461"/>
      <c r="K426" s="463"/>
      <c r="L426" s="150"/>
      <c r="M426" s="459" t="str">
        <f t="shared" si="6"/>
        <v/>
      </c>
    </row>
    <row r="427" spans="1:13" ht="14.45" customHeight="1" x14ac:dyDescent="0.2">
      <c r="A427" s="464"/>
      <c r="B427" s="460"/>
      <c r="C427" s="461"/>
      <c r="D427" s="461"/>
      <c r="E427" s="462"/>
      <c r="F427" s="460"/>
      <c r="G427" s="461"/>
      <c r="H427" s="461"/>
      <c r="I427" s="461"/>
      <c r="J427" s="461"/>
      <c r="K427" s="463"/>
      <c r="L427" s="150"/>
      <c r="M427" s="459" t="str">
        <f t="shared" si="6"/>
        <v/>
      </c>
    </row>
    <row r="428" spans="1:13" ht="14.45" customHeight="1" x14ac:dyDescent="0.2">
      <c r="A428" s="464"/>
      <c r="B428" s="460"/>
      <c r="C428" s="461"/>
      <c r="D428" s="461"/>
      <c r="E428" s="462"/>
      <c r="F428" s="460"/>
      <c r="G428" s="461"/>
      <c r="H428" s="461"/>
      <c r="I428" s="461"/>
      <c r="J428" s="461"/>
      <c r="K428" s="463"/>
      <c r="L428" s="150"/>
      <c r="M428" s="459" t="str">
        <f t="shared" si="6"/>
        <v/>
      </c>
    </row>
    <row r="429" spans="1:13" ht="14.45" customHeight="1" x14ac:dyDescent="0.2">
      <c r="A429" s="464"/>
      <c r="B429" s="460"/>
      <c r="C429" s="461"/>
      <c r="D429" s="461"/>
      <c r="E429" s="462"/>
      <c r="F429" s="460"/>
      <c r="G429" s="461"/>
      <c r="H429" s="461"/>
      <c r="I429" s="461"/>
      <c r="J429" s="461"/>
      <c r="K429" s="463"/>
      <c r="L429" s="150"/>
      <c r="M429" s="459" t="str">
        <f t="shared" si="6"/>
        <v/>
      </c>
    </row>
    <row r="430" spans="1:13" ht="14.45" customHeight="1" x14ac:dyDescent="0.2">
      <c r="A430" s="464"/>
      <c r="B430" s="460"/>
      <c r="C430" s="461"/>
      <c r="D430" s="461"/>
      <c r="E430" s="462"/>
      <c r="F430" s="460"/>
      <c r="G430" s="461"/>
      <c r="H430" s="461"/>
      <c r="I430" s="461"/>
      <c r="J430" s="461"/>
      <c r="K430" s="463"/>
      <c r="L430" s="150"/>
      <c r="M430" s="459" t="str">
        <f t="shared" si="6"/>
        <v/>
      </c>
    </row>
    <row r="431" spans="1:13" ht="14.45" customHeight="1" x14ac:dyDescent="0.2">
      <c r="A431" s="464"/>
      <c r="B431" s="460"/>
      <c r="C431" s="461"/>
      <c r="D431" s="461"/>
      <c r="E431" s="462"/>
      <c r="F431" s="460"/>
      <c r="G431" s="461"/>
      <c r="H431" s="461"/>
      <c r="I431" s="461"/>
      <c r="J431" s="461"/>
      <c r="K431" s="463"/>
      <c r="L431" s="150"/>
      <c r="M431" s="459" t="str">
        <f t="shared" si="6"/>
        <v/>
      </c>
    </row>
    <row r="432" spans="1:13" ht="14.45" customHeight="1" x14ac:dyDescent="0.2">
      <c r="A432" s="464"/>
      <c r="B432" s="460"/>
      <c r="C432" s="461"/>
      <c r="D432" s="461"/>
      <c r="E432" s="462"/>
      <c r="F432" s="460"/>
      <c r="G432" s="461"/>
      <c r="H432" s="461"/>
      <c r="I432" s="461"/>
      <c r="J432" s="461"/>
      <c r="K432" s="463"/>
      <c r="L432" s="150"/>
      <c r="M432" s="459" t="str">
        <f t="shared" si="6"/>
        <v/>
      </c>
    </row>
    <row r="433" spans="1:13" ht="14.45" customHeight="1" x14ac:dyDescent="0.2">
      <c r="A433" s="464"/>
      <c r="B433" s="460"/>
      <c r="C433" s="461"/>
      <c r="D433" s="461"/>
      <c r="E433" s="462"/>
      <c r="F433" s="460"/>
      <c r="G433" s="461"/>
      <c r="H433" s="461"/>
      <c r="I433" s="461"/>
      <c r="J433" s="461"/>
      <c r="K433" s="463"/>
      <c r="L433" s="150"/>
      <c r="M433" s="459" t="str">
        <f t="shared" si="6"/>
        <v/>
      </c>
    </row>
    <row r="434" spans="1:13" ht="14.45" customHeight="1" x14ac:dyDescent="0.2">
      <c r="A434" s="464"/>
      <c r="B434" s="460"/>
      <c r="C434" s="461"/>
      <c r="D434" s="461"/>
      <c r="E434" s="462"/>
      <c r="F434" s="460"/>
      <c r="G434" s="461"/>
      <c r="H434" s="461"/>
      <c r="I434" s="461"/>
      <c r="J434" s="461"/>
      <c r="K434" s="463"/>
      <c r="L434" s="150"/>
      <c r="M434" s="459" t="str">
        <f t="shared" si="6"/>
        <v/>
      </c>
    </row>
    <row r="435" spans="1:13" ht="14.45" customHeight="1" x14ac:dyDescent="0.2">
      <c r="A435" s="464"/>
      <c r="B435" s="460"/>
      <c r="C435" s="461"/>
      <c r="D435" s="461"/>
      <c r="E435" s="462"/>
      <c r="F435" s="460"/>
      <c r="G435" s="461"/>
      <c r="H435" s="461"/>
      <c r="I435" s="461"/>
      <c r="J435" s="461"/>
      <c r="K435" s="463"/>
      <c r="L435" s="150"/>
      <c r="M435" s="459" t="str">
        <f t="shared" si="6"/>
        <v/>
      </c>
    </row>
    <row r="436" spans="1:13" ht="14.45" customHeight="1" x14ac:dyDescent="0.2">
      <c r="A436" s="464"/>
      <c r="B436" s="460"/>
      <c r="C436" s="461"/>
      <c r="D436" s="461"/>
      <c r="E436" s="462"/>
      <c r="F436" s="460"/>
      <c r="G436" s="461"/>
      <c r="H436" s="461"/>
      <c r="I436" s="461"/>
      <c r="J436" s="461"/>
      <c r="K436" s="463"/>
      <c r="L436" s="150"/>
      <c r="M436" s="459" t="str">
        <f t="shared" si="6"/>
        <v/>
      </c>
    </row>
    <row r="437" spans="1:13" ht="14.45" customHeight="1" x14ac:dyDescent="0.2">
      <c r="A437" s="464"/>
      <c r="B437" s="460"/>
      <c r="C437" s="461"/>
      <c r="D437" s="461"/>
      <c r="E437" s="462"/>
      <c r="F437" s="460"/>
      <c r="G437" s="461"/>
      <c r="H437" s="461"/>
      <c r="I437" s="461"/>
      <c r="J437" s="461"/>
      <c r="K437" s="463"/>
      <c r="L437" s="150"/>
      <c r="M437" s="459" t="str">
        <f t="shared" si="6"/>
        <v/>
      </c>
    </row>
    <row r="438" spans="1:13" ht="14.45" customHeight="1" x14ac:dyDescent="0.2">
      <c r="A438" s="464"/>
      <c r="B438" s="460"/>
      <c r="C438" s="461"/>
      <c r="D438" s="461"/>
      <c r="E438" s="462"/>
      <c r="F438" s="460"/>
      <c r="G438" s="461"/>
      <c r="H438" s="461"/>
      <c r="I438" s="461"/>
      <c r="J438" s="461"/>
      <c r="K438" s="463"/>
      <c r="L438" s="150"/>
      <c r="M438" s="459" t="str">
        <f t="shared" si="6"/>
        <v/>
      </c>
    </row>
    <row r="439" spans="1:13" ht="14.45" customHeight="1" x14ac:dyDescent="0.2">
      <c r="A439" s="464"/>
      <c r="B439" s="460"/>
      <c r="C439" s="461"/>
      <c r="D439" s="461"/>
      <c r="E439" s="462"/>
      <c r="F439" s="460"/>
      <c r="G439" s="461"/>
      <c r="H439" s="461"/>
      <c r="I439" s="461"/>
      <c r="J439" s="461"/>
      <c r="K439" s="463"/>
      <c r="L439" s="150"/>
      <c r="M439" s="459" t="str">
        <f t="shared" si="6"/>
        <v/>
      </c>
    </row>
    <row r="440" spans="1:13" ht="14.45" customHeight="1" x14ac:dyDescent="0.2">
      <c r="A440" s="464"/>
      <c r="B440" s="460"/>
      <c r="C440" s="461"/>
      <c r="D440" s="461"/>
      <c r="E440" s="462"/>
      <c r="F440" s="460"/>
      <c r="G440" s="461"/>
      <c r="H440" s="461"/>
      <c r="I440" s="461"/>
      <c r="J440" s="461"/>
      <c r="K440" s="463"/>
      <c r="L440" s="150"/>
      <c r="M440" s="459" t="str">
        <f t="shared" si="6"/>
        <v/>
      </c>
    </row>
    <row r="441" spans="1:13" ht="14.45" customHeight="1" x14ac:dyDescent="0.2">
      <c r="A441" s="464"/>
      <c r="B441" s="460"/>
      <c r="C441" s="461"/>
      <c r="D441" s="461"/>
      <c r="E441" s="462"/>
      <c r="F441" s="460"/>
      <c r="G441" s="461"/>
      <c r="H441" s="461"/>
      <c r="I441" s="461"/>
      <c r="J441" s="461"/>
      <c r="K441" s="463"/>
      <c r="L441" s="150"/>
      <c r="M441" s="459" t="str">
        <f t="shared" si="6"/>
        <v/>
      </c>
    </row>
    <row r="442" spans="1:13" ht="14.45" customHeight="1" x14ac:dyDescent="0.2">
      <c r="A442" s="464"/>
      <c r="B442" s="460"/>
      <c r="C442" s="461"/>
      <c r="D442" s="461"/>
      <c r="E442" s="462"/>
      <c r="F442" s="460"/>
      <c r="G442" s="461"/>
      <c r="H442" s="461"/>
      <c r="I442" s="461"/>
      <c r="J442" s="461"/>
      <c r="K442" s="463"/>
      <c r="L442" s="150"/>
      <c r="M442" s="459" t="str">
        <f t="shared" si="6"/>
        <v/>
      </c>
    </row>
    <row r="443" spans="1:13" ht="14.45" customHeight="1" x14ac:dyDescent="0.2">
      <c r="A443" s="464"/>
      <c r="B443" s="460"/>
      <c r="C443" s="461"/>
      <c r="D443" s="461"/>
      <c r="E443" s="462"/>
      <c r="F443" s="460"/>
      <c r="G443" s="461"/>
      <c r="H443" s="461"/>
      <c r="I443" s="461"/>
      <c r="J443" s="461"/>
      <c r="K443" s="463"/>
      <c r="L443" s="150"/>
      <c r="M443" s="459" t="str">
        <f t="shared" si="6"/>
        <v/>
      </c>
    </row>
    <row r="444" spans="1:13" ht="14.45" customHeight="1" x14ac:dyDescent="0.2">
      <c r="A444" s="464"/>
      <c r="B444" s="460"/>
      <c r="C444" s="461"/>
      <c r="D444" s="461"/>
      <c r="E444" s="462"/>
      <c r="F444" s="460"/>
      <c r="G444" s="461"/>
      <c r="H444" s="461"/>
      <c r="I444" s="461"/>
      <c r="J444" s="461"/>
      <c r="K444" s="463"/>
      <c r="L444" s="150"/>
      <c r="M444" s="459" t="str">
        <f t="shared" si="6"/>
        <v/>
      </c>
    </row>
    <row r="445" spans="1:13" ht="14.45" customHeight="1" x14ac:dyDescent="0.2">
      <c r="A445" s="464"/>
      <c r="B445" s="460"/>
      <c r="C445" s="461"/>
      <c r="D445" s="461"/>
      <c r="E445" s="462"/>
      <c r="F445" s="460"/>
      <c r="G445" s="461"/>
      <c r="H445" s="461"/>
      <c r="I445" s="461"/>
      <c r="J445" s="461"/>
      <c r="K445" s="463"/>
      <c r="L445" s="150"/>
      <c r="M445" s="459" t="str">
        <f t="shared" si="6"/>
        <v/>
      </c>
    </row>
    <row r="446" spans="1:13" ht="14.45" customHeight="1" x14ac:dyDescent="0.2">
      <c r="A446" s="464"/>
      <c r="B446" s="460"/>
      <c r="C446" s="461"/>
      <c r="D446" s="461"/>
      <c r="E446" s="462"/>
      <c r="F446" s="460"/>
      <c r="G446" s="461"/>
      <c r="H446" s="461"/>
      <c r="I446" s="461"/>
      <c r="J446" s="461"/>
      <c r="K446" s="463"/>
      <c r="L446" s="150"/>
      <c r="M446" s="459" t="str">
        <f t="shared" si="6"/>
        <v/>
      </c>
    </row>
    <row r="447" spans="1:13" ht="14.45" customHeight="1" x14ac:dyDescent="0.2">
      <c r="A447" s="464"/>
      <c r="B447" s="460"/>
      <c r="C447" s="461"/>
      <c r="D447" s="461"/>
      <c r="E447" s="462"/>
      <c r="F447" s="460"/>
      <c r="G447" s="461"/>
      <c r="H447" s="461"/>
      <c r="I447" s="461"/>
      <c r="J447" s="461"/>
      <c r="K447" s="463"/>
      <c r="L447" s="150"/>
      <c r="M447" s="459" t="str">
        <f t="shared" si="6"/>
        <v/>
      </c>
    </row>
    <row r="448" spans="1:13" ht="14.45" customHeight="1" x14ac:dyDescent="0.2">
      <c r="A448" s="464"/>
      <c r="B448" s="460"/>
      <c r="C448" s="461"/>
      <c r="D448" s="461"/>
      <c r="E448" s="462"/>
      <c r="F448" s="460"/>
      <c r="G448" s="461"/>
      <c r="H448" s="461"/>
      <c r="I448" s="461"/>
      <c r="J448" s="461"/>
      <c r="K448" s="463"/>
      <c r="L448" s="150"/>
      <c r="M448" s="459" t="str">
        <f t="shared" si="6"/>
        <v/>
      </c>
    </row>
    <row r="449" spans="1:13" ht="14.45" customHeight="1" x14ac:dyDescent="0.2">
      <c r="A449" s="464"/>
      <c r="B449" s="460"/>
      <c r="C449" s="461"/>
      <c r="D449" s="461"/>
      <c r="E449" s="462"/>
      <c r="F449" s="460"/>
      <c r="G449" s="461"/>
      <c r="H449" s="461"/>
      <c r="I449" s="461"/>
      <c r="J449" s="461"/>
      <c r="K449" s="463"/>
      <c r="L449" s="150"/>
      <c r="M449" s="459" t="str">
        <f t="shared" si="6"/>
        <v/>
      </c>
    </row>
    <row r="450" spans="1:13" ht="14.45" customHeight="1" x14ac:dyDescent="0.2">
      <c r="A450" s="464"/>
      <c r="B450" s="460"/>
      <c r="C450" s="461"/>
      <c r="D450" s="461"/>
      <c r="E450" s="462"/>
      <c r="F450" s="460"/>
      <c r="G450" s="461"/>
      <c r="H450" s="461"/>
      <c r="I450" s="461"/>
      <c r="J450" s="461"/>
      <c r="K450" s="463"/>
      <c r="L450" s="150"/>
      <c r="M450" s="459" t="str">
        <f t="shared" si="6"/>
        <v/>
      </c>
    </row>
    <row r="451" spans="1:13" ht="14.45" customHeight="1" x14ac:dyDescent="0.2">
      <c r="A451" s="464"/>
      <c r="B451" s="460"/>
      <c r="C451" s="461"/>
      <c r="D451" s="461"/>
      <c r="E451" s="462"/>
      <c r="F451" s="460"/>
      <c r="G451" s="461"/>
      <c r="H451" s="461"/>
      <c r="I451" s="461"/>
      <c r="J451" s="461"/>
      <c r="K451" s="463"/>
      <c r="L451" s="150"/>
      <c r="M451" s="459" t="str">
        <f t="shared" si="6"/>
        <v/>
      </c>
    </row>
    <row r="452" spans="1:13" ht="14.45" customHeight="1" x14ac:dyDescent="0.2">
      <c r="A452" s="464"/>
      <c r="B452" s="460"/>
      <c r="C452" s="461"/>
      <c r="D452" s="461"/>
      <c r="E452" s="462"/>
      <c r="F452" s="460"/>
      <c r="G452" s="461"/>
      <c r="H452" s="461"/>
      <c r="I452" s="461"/>
      <c r="J452" s="461"/>
      <c r="K452" s="463"/>
      <c r="L452" s="150"/>
      <c r="M452" s="459" t="str">
        <f t="shared" si="6"/>
        <v/>
      </c>
    </row>
    <row r="453" spans="1:13" ht="14.45" customHeight="1" x14ac:dyDescent="0.2">
      <c r="A453" s="464"/>
      <c r="B453" s="460"/>
      <c r="C453" s="461"/>
      <c r="D453" s="461"/>
      <c r="E453" s="462"/>
      <c r="F453" s="460"/>
      <c r="G453" s="461"/>
      <c r="H453" s="461"/>
      <c r="I453" s="461"/>
      <c r="J453" s="461"/>
      <c r="K453" s="463"/>
      <c r="L453" s="150"/>
      <c r="M453" s="459" t="str">
        <f t="shared" si="6"/>
        <v/>
      </c>
    </row>
    <row r="454" spans="1:13" ht="14.45" customHeight="1" x14ac:dyDescent="0.2">
      <c r="A454" s="464"/>
      <c r="B454" s="460"/>
      <c r="C454" s="461"/>
      <c r="D454" s="461"/>
      <c r="E454" s="462"/>
      <c r="F454" s="460"/>
      <c r="G454" s="461"/>
      <c r="H454" s="461"/>
      <c r="I454" s="461"/>
      <c r="J454" s="461"/>
      <c r="K454" s="463"/>
      <c r="L454" s="150"/>
      <c r="M454" s="459" t="str">
        <f t="shared" ref="M454:M517" si="7">IF(A454="HV","HV",IF(OR(LEFT(A454,16)="               5",LEFT(A454,16)="               6",LEFT(A454,16)="               7",LEFT(A454,16)="               8"),"X",""))</f>
        <v/>
      </c>
    </row>
    <row r="455" spans="1:13" ht="14.45" customHeight="1" x14ac:dyDescent="0.2">
      <c r="A455" s="464"/>
      <c r="B455" s="460"/>
      <c r="C455" s="461"/>
      <c r="D455" s="461"/>
      <c r="E455" s="462"/>
      <c r="F455" s="460"/>
      <c r="G455" s="461"/>
      <c r="H455" s="461"/>
      <c r="I455" s="461"/>
      <c r="J455" s="461"/>
      <c r="K455" s="463"/>
      <c r="L455" s="150"/>
      <c r="M455" s="459" t="str">
        <f t="shared" si="7"/>
        <v/>
      </c>
    </row>
    <row r="456" spans="1:13" ht="14.45" customHeight="1" x14ac:dyDescent="0.2">
      <c r="A456" s="464"/>
      <c r="B456" s="460"/>
      <c r="C456" s="461"/>
      <c r="D456" s="461"/>
      <c r="E456" s="462"/>
      <c r="F456" s="460"/>
      <c r="G456" s="461"/>
      <c r="H456" s="461"/>
      <c r="I456" s="461"/>
      <c r="J456" s="461"/>
      <c r="K456" s="463"/>
      <c r="L456" s="150"/>
      <c r="M456" s="459" t="str">
        <f t="shared" si="7"/>
        <v/>
      </c>
    </row>
    <row r="457" spans="1:13" ht="14.45" customHeight="1" x14ac:dyDescent="0.2">
      <c r="A457" s="464"/>
      <c r="B457" s="460"/>
      <c r="C457" s="461"/>
      <c r="D457" s="461"/>
      <c r="E457" s="462"/>
      <c r="F457" s="460"/>
      <c r="G457" s="461"/>
      <c r="H457" s="461"/>
      <c r="I457" s="461"/>
      <c r="J457" s="461"/>
      <c r="K457" s="463"/>
      <c r="L457" s="150"/>
      <c r="M457" s="459" t="str">
        <f t="shared" si="7"/>
        <v/>
      </c>
    </row>
    <row r="458" spans="1:13" ht="14.45" customHeight="1" x14ac:dyDescent="0.2">
      <c r="A458" s="464"/>
      <c r="B458" s="460"/>
      <c r="C458" s="461"/>
      <c r="D458" s="461"/>
      <c r="E458" s="462"/>
      <c r="F458" s="460"/>
      <c r="G458" s="461"/>
      <c r="H458" s="461"/>
      <c r="I458" s="461"/>
      <c r="J458" s="461"/>
      <c r="K458" s="463"/>
      <c r="L458" s="150"/>
      <c r="M458" s="459" t="str">
        <f t="shared" si="7"/>
        <v/>
      </c>
    </row>
    <row r="459" spans="1:13" ht="14.45" customHeight="1" x14ac:dyDescent="0.2">
      <c r="A459" s="464"/>
      <c r="B459" s="460"/>
      <c r="C459" s="461"/>
      <c r="D459" s="461"/>
      <c r="E459" s="462"/>
      <c r="F459" s="460"/>
      <c r="G459" s="461"/>
      <c r="H459" s="461"/>
      <c r="I459" s="461"/>
      <c r="J459" s="461"/>
      <c r="K459" s="463"/>
      <c r="L459" s="150"/>
      <c r="M459" s="459" t="str">
        <f t="shared" si="7"/>
        <v/>
      </c>
    </row>
    <row r="460" spans="1:13" ht="14.45" customHeight="1" x14ac:dyDescent="0.2">
      <c r="A460" s="464"/>
      <c r="B460" s="460"/>
      <c r="C460" s="461"/>
      <c r="D460" s="461"/>
      <c r="E460" s="462"/>
      <c r="F460" s="460"/>
      <c r="G460" s="461"/>
      <c r="H460" s="461"/>
      <c r="I460" s="461"/>
      <c r="J460" s="461"/>
      <c r="K460" s="463"/>
      <c r="L460" s="150"/>
      <c r="M460" s="459" t="str">
        <f t="shared" si="7"/>
        <v/>
      </c>
    </row>
    <row r="461" spans="1:13" ht="14.45" customHeight="1" x14ac:dyDescent="0.2">
      <c r="A461" s="464"/>
      <c r="B461" s="460"/>
      <c r="C461" s="461"/>
      <c r="D461" s="461"/>
      <c r="E461" s="462"/>
      <c r="F461" s="460"/>
      <c r="G461" s="461"/>
      <c r="H461" s="461"/>
      <c r="I461" s="461"/>
      <c r="J461" s="461"/>
      <c r="K461" s="463"/>
      <c r="L461" s="150"/>
      <c r="M461" s="459" t="str">
        <f t="shared" si="7"/>
        <v/>
      </c>
    </row>
    <row r="462" spans="1:13" ht="14.45" customHeight="1" x14ac:dyDescent="0.2">
      <c r="A462" s="464"/>
      <c r="B462" s="460"/>
      <c r="C462" s="461"/>
      <c r="D462" s="461"/>
      <c r="E462" s="462"/>
      <c r="F462" s="460"/>
      <c r="G462" s="461"/>
      <c r="H462" s="461"/>
      <c r="I462" s="461"/>
      <c r="J462" s="461"/>
      <c r="K462" s="463"/>
      <c r="L462" s="150"/>
      <c r="M462" s="459" t="str">
        <f t="shared" si="7"/>
        <v/>
      </c>
    </row>
    <row r="463" spans="1:13" ht="14.45" customHeight="1" x14ac:dyDescent="0.2">
      <c r="A463" s="464"/>
      <c r="B463" s="460"/>
      <c r="C463" s="461"/>
      <c r="D463" s="461"/>
      <c r="E463" s="462"/>
      <c r="F463" s="460"/>
      <c r="G463" s="461"/>
      <c r="H463" s="461"/>
      <c r="I463" s="461"/>
      <c r="J463" s="461"/>
      <c r="K463" s="463"/>
      <c r="L463" s="150"/>
      <c r="M463" s="459" t="str">
        <f t="shared" si="7"/>
        <v/>
      </c>
    </row>
    <row r="464" spans="1:13" ht="14.45" customHeight="1" x14ac:dyDescent="0.2">
      <c r="A464" s="464"/>
      <c r="B464" s="460"/>
      <c r="C464" s="461"/>
      <c r="D464" s="461"/>
      <c r="E464" s="462"/>
      <c r="F464" s="460"/>
      <c r="G464" s="461"/>
      <c r="H464" s="461"/>
      <c r="I464" s="461"/>
      <c r="J464" s="461"/>
      <c r="K464" s="463"/>
      <c r="L464" s="150"/>
      <c r="M464" s="459" t="str">
        <f t="shared" si="7"/>
        <v/>
      </c>
    </row>
    <row r="465" spans="1:13" ht="14.45" customHeight="1" x14ac:dyDescent="0.2">
      <c r="A465" s="464"/>
      <c r="B465" s="460"/>
      <c r="C465" s="461"/>
      <c r="D465" s="461"/>
      <c r="E465" s="462"/>
      <c r="F465" s="460"/>
      <c r="G465" s="461"/>
      <c r="H465" s="461"/>
      <c r="I465" s="461"/>
      <c r="J465" s="461"/>
      <c r="K465" s="463"/>
      <c r="L465" s="150"/>
      <c r="M465" s="459" t="str">
        <f t="shared" si="7"/>
        <v/>
      </c>
    </row>
    <row r="466" spans="1:13" ht="14.45" customHeight="1" x14ac:dyDescent="0.2">
      <c r="A466" s="464"/>
      <c r="B466" s="460"/>
      <c r="C466" s="461"/>
      <c r="D466" s="461"/>
      <c r="E466" s="462"/>
      <c r="F466" s="460"/>
      <c r="G466" s="461"/>
      <c r="H466" s="461"/>
      <c r="I466" s="461"/>
      <c r="J466" s="461"/>
      <c r="K466" s="463"/>
      <c r="L466" s="150"/>
      <c r="M466" s="459" t="str">
        <f t="shared" si="7"/>
        <v/>
      </c>
    </row>
    <row r="467" spans="1:13" ht="14.45" customHeight="1" x14ac:dyDescent="0.2">
      <c r="A467" s="464"/>
      <c r="B467" s="460"/>
      <c r="C467" s="461"/>
      <c r="D467" s="461"/>
      <c r="E467" s="462"/>
      <c r="F467" s="460"/>
      <c r="G467" s="461"/>
      <c r="H467" s="461"/>
      <c r="I467" s="461"/>
      <c r="J467" s="461"/>
      <c r="K467" s="463"/>
      <c r="L467" s="150"/>
      <c r="M467" s="459" t="str">
        <f t="shared" si="7"/>
        <v/>
      </c>
    </row>
    <row r="468" spans="1:13" ht="14.45" customHeight="1" x14ac:dyDescent="0.2">
      <c r="A468" s="464"/>
      <c r="B468" s="460"/>
      <c r="C468" s="461"/>
      <c r="D468" s="461"/>
      <c r="E468" s="462"/>
      <c r="F468" s="460"/>
      <c r="G468" s="461"/>
      <c r="H468" s="461"/>
      <c r="I468" s="461"/>
      <c r="J468" s="461"/>
      <c r="K468" s="463"/>
      <c r="L468" s="150"/>
      <c r="M468" s="459" t="str">
        <f t="shared" si="7"/>
        <v/>
      </c>
    </row>
    <row r="469" spans="1:13" ht="14.45" customHeight="1" x14ac:dyDescent="0.2">
      <c r="A469" s="464"/>
      <c r="B469" s="460"/>
      <c r="C469" s="461"/>
      <c r="D469" s="461"/>
      <c r="E469" s="462"/>
      <c r="F469" s="460"/>
      <c r="G469" s="461"/>
      <c r="H469" s="461"/>
      <c r="I469" s="461"/>
      <c r="J469" s="461"/>
      <c r="K469" s="463"/>
      <c r="L469" s="150"/>
      <c r="M469" s="459" t="str">
        <f t="shared" si="7"/>
        <v/>
      </c>
    </row>
    <row r="470" spans="1:13" ht="14.45" customHeight="1" x14ac:dyDescent="0.2">
      <c r="A470" s="464"/>
      <c r="B470" s="460"/>
      <c r="C470" s="461"/>
      <c r="D470" s="461"/>
      <c r="E470" s="462"/>
      <c r="F470" s="460"/>
      <c r="G470" s="461"/>
      <c r="H470" s="461"/>
      <c r="I470" s="461"/>
      <c r="J470" s="461"/>
      <c r="K470" s="463"/>
      <c r="L470" s="150"/>
      <c r="M470" s="459" t="str">
        <f t="shared" si="7"/>
        <v/>
      </c>
    </row>
    <row r="471" spans="1:13" ht="14.45" customHeight="1" x14ac:dyDescent="0.2">
      <c r="A471" s="464"/>
      <c r="B471" s="460"/>
      <c r="C471" s="461"/>
      <c r="D471" s="461"/>
      <c r="E471" s="462"/>
      <c r="F471" s="460"/>
      <c r="G471" s="461"/>
      <c r="H471" s="461"/>
      <c r="I471" s="461"/>
      <c r="J471" s="461"/>
      <c r="K471" s="463"/>
      <c r="L471" s="150"/>
      <c r="M471" s="459" t="str">
        <f t="shared" si="7"/>
        <v/>
      </c>
    </row>
    <row r="472" spans="1:13" ht="14.45" customHeight="1" x14ac:dyDescent="0.2">
      <c r="A472" s="464"/>
      <c r="B472" s="460"/>
      <c r="C472" s="461"/>
      <c r="D472" s="461"/>
      <c r="E472" s="462"/>
      <c r="F472" s="460"/>
      <c r="G472" s="461"/>
      <c r="H472" s="461"/>
      <c r="I472" s="461"/>
      <c r="J472" s="461"/>
      <c r="K472" s="463"/>
      <c r="L472" s="150"/>
      <c r="M472" s="459" t="str">
        <f t="shared" si="7"/>
        <v/>
      </c>
    </row>
    <row r="473" spans="1:13" ht="14.45" customHeight="1" x14ac:dyDescent="0.2">
      <c r="A473" s="464"/>
      <c r="B473" s="460"/>
      <c r="C473" s="461"/>
      <c r="D473" s="461"/>
      <c r="E473" s="462"/>
      <c r="F473" s="460"/>
      <c r="G473" s="461"/>
      <c r="H473" s="461"/>
      <c r="I473" s="461"/>
      <c r="J473" s="461"/>
      <c r="K473" s="463"/>
      <c r="L473" s="150"/>
      <c r="M473" s="459" t="str">
        <f t="shared" si="7"/>
        <v/>
      </c>
    </row>
    <row r="474" spans="1:13" ht="14.45" customHeight="1" x14ac:dyDescent="0.2">
      <c r="A474" s="464"/>
      <c r="B474" s="460"/>
      <c r="C474" s="461"/>
      <c r="D474" s="461"/>
      <c r="E474" s="462"/>
      <c r="F474" s="460"/>
      <c r="G474" s="461"/>
      <c r="H474" s="461"/>
      <c r="I474" s="461"/>
      <c r="J474" s="461"/>
      <c r="K474" s="463"/>
      <c r="L474" s="150"/>
      <c r="M474" s="459" t="str">
        <f t="shared" si="7"/>
        <v/>
      </c>
    </row>
    <row r="475" spans="1:13" ht="14.45" customHeight="1" x14ac:dyDescent="0.2">
      <c r="A475" s="464"/>
      <c r="B475" s="460"/>
      <c r="C475" s="461"/>
      <c r="D475" s="461"/>
      <c r="E475" s="462"/>
      <c r="F475" s="460"/>
      <c r="G475" s="461"/>
      <c r="H475" s="461"/>
      <c r="I475" s="461"/>
      <c r="J475" s="461"/>
      <c r="K475" s="463"/>
      <c r="L475" s="150"/>
      <c r="M475" s="459" t="str">
        <f t="shared" si="7"/>
        <v/>
      </c>
    </row>
    <row r="476" spans="1:13" ht="14.45" customHeight="1" x14ac:dyDescent="0.2">
      <c r="A476" s="464"/>
      <c r="B476" s="460"/>
      <c r="C476" s="461"/>
      <c r="D476" s="461"/>
      <c r="E476" s="462"/>
      <c r="F476" s="460"/>
      <c r="G476" s="461"/>
      <c r="H476" s="461"/>
      <c r="I476" s="461"/>
      <c r="J476" s="461"/>
      <c r="K476" s="463"/>
      <c r="L476" s="150"/>
      <c r="M476" s="459" t="str">
        <f t="shared" si="7"/>
        <v/>
      </c>
    </row>
    <row r="477" spans="1:13" ht="14.45" customHeight="1" x14ac:dyDescent="0.2">
      <c r="A477" s="464"/>
      <c r="B477" s="460"/>
      <c r="C477" s="461"/>
      <c r="D477" s="461"/>
      <c r="E477" s="462"/>
      <c r="F477" s="460"/>
      <c r="G477" s="461"/>
      <c r="H477" s="461"/>
      <c r="I477" s="461"/>
      <c r="J477" s="461"/>
      <c r="K477" s="463"/>
      <c r="L477" s="150"/>
      <c r="M477" s="459" t="str">
        <f t="shared" si="7"/>
        <v/>
      </c>
    </row>
    <row r="478" spans="1:13" ht="14.45" customHeight="1" x14ac:dyDescent="0.2">
      <c r="A478" s="464"/>
      <c r="B478" s="460"/>
      <c r="C478" s="461"/>
      <c r="D478" s="461"/>
      <c r="E478" s="462"/>
      <c r="F478" s="460"/>
      <c r="G478" s="461"/>
      <c r="H478" s="461"/>
      <c r="I478" s="461"/>
      <c r="J478" s="461"/>
      <c r="K478" s="463"/>
      <c r="L478" s="150"/>
      <c r="M478" s="459" t="str">
        <f t="shared" si="7"/>
        <v/>
      </c>
    </row>
    <row r="479" spans="1:13" ht="14.45" customHeight="1" x14ac:dyDescent="0.2">
      <c r="A479" s="464"/>
      <c r="B479" s="460"/>
      <c r="C479" s="461"/>
      <c r="D479" s="461"/>
      <c r="E479" s="462"/>
      <c r="F479" s="460"/>
      <c r="G479" s="461"/>
      <c r="H479" s="461"/>
      <c r="I479" s="461"/>
      <c r="J479" s="461"/>
      <c r="K479" s="463"/>
      <c r="L479" s="150"/>
      <c r="M479" s="459" t="str">
        <f t="shared" si="7"/>
        <v/>
      </c>
    </row>
    <row r="480" spans="1:13" ht="14.45" customHeight="1" x14ac:dyDescent="0.2">
      <c r="A480" s="464"/>
      <c r="B480" s="460"/>
      <c r="C480" s="461"/>
      <c r="D480" s="461"/>
      <c r="E480" s="462"/>
      <c r="F480" s="460"/>
      <c r="G480" s="461"/>
      <c r="H480" s="461"/>
      <c r="I480" s="461"/>
      <c r="J480" s="461"/>
      <c r="K480" s="463"/>
      <c r="L480" s="150"/>
      <c r="M480" s="459" t="str">
        <f t="shared" si="7"/>
        <v/>
      </c>
    </row>
    <row r="481" spans="1:13" ht="14.45" customHeight="1" x14ac:dyDescent="0.2">
      <c r="A481" s="464"/>
      <c r="B481" s="460"/>
      <c r="C481" s="461"/>
      <c r="D481" s="461"/>
      <c r="E481" s="462"/>
      <c r="F481" s="460"/>
      <c r="G481" s="461"/>
      <c r="H481" s="461"/>
      <c r="I481" s="461"/>
      <c r="J481" s="461"/>
      <c r="K481" s="463"/>
      <c r="L481" s="150"/>
      <c r="M481" s="459" t="str">
        <f t="shared" si="7"/>
        <v/>
      </c>
    </row>
    <row r="482" spans="1:13" ht="14.45" customHeight="1" x14ac:dyDescent="0.2">
      <c r="A482" s="464"/>
      <c r="B482" s="460"/>
      <c r="C482" s="461"/>
      <c r="D482" s="461"/>
      <c r="E482" s="462"/>
      <c r="F482" s="460"/>
      <c r="G482" s="461"/>
      <c r="H482" s="461"/>
      <c r="I482" s="461"/>
      <c r="J482" s="461"/>
      <c r="K482" s="463"/>
      <c r="L482" s="150"/>
      <c r="M482" s="459" t="str">
        <f t="shared" si="7"/>
        <v/>
      </c>
    </row>
    <row r="483" spans="1:13" ht="14.45" customHeight="1" x14ac:dyDescent="0.2">
      <c r="A483" s="464"/>
      <c r="B483" s="460"/>
      <c r="C483" s="461"/>
      <c r="D483" s="461"/>
      <c r="E483" s="462"/>
      <c r="F483" s="460"/>
      <c r="G483" s="461"/>
      <c r="H483" s="461"/>
      <c r="I483" s="461"/>
      <c r="J483" s="461"/>
      <c r="K483" s="463"/>
      <c r="L483" s="150"/>
      <c r="M483" s="459" t="str">
        <f t="shared" si="7"/>
        <v/>
      </c>
    </row>
    <row r="484" spans="1:13" ht="14.45" customHeight="1" x14ac:dyDescent="0.2">
      <c r="A484" s="464"/>
      <c r="B484" s="460"/>
      <c r="C484" s="461"/>
      <c r="D484" s="461"/>
      <c r="E484" s="462"/>
      <c r="F484" s="460"/>
      <c r="G484" s="461"/>
      <c r="H484" s="461"/>
      <c r="I484" s="461"/>
      <c r="J484" s="461"/>
      <c r="K484" s="463"/>
      <c r="L484" s="150"/>
      <c r="M484" s="459" t="str">
        <f t="shared" si="7"/>
        <v/>
      </c>
    </row>
    <row r="485" spans="1:13" ht="14.45" customHeight="1" x14ac:dyDescent="0.2">
      <c r="A485" s="464"/>
      <c r="B485" s="460"/>
      <c r="C485" s="461"/>
      <c r="D485" s="461"/>
      <c r="E485" s="462"/>
      <c r="F485" s="460"/>
      <c r="G485" s="461"/>
      <c r="H485" s="461"/>
      <c r="I485" s="461"/>
      <c r="J485" s="461"/>
      <c r="K485" s="463"/>
      <c r="L485" s="150"/>
      <c r="M485" s="459" t="str">
        <f t="shared" si="7"/>
        <v/>
      </c>
    </row>
    <row r="486" spans="1:13" ht="14.45" customHeight="1" x14ac:dyDescent="0.2">
      <c r="A486" s="464"/>
      <c r="B486" s="460"/>
      <c r="C486" s="461"/>
      <c r="D486" s="461"/>
      <c r="E486" s="462"/>
      <c r="F486" s="460"/>
      <c r="G486" s="461"/>
      <c r="H486" s="461"/>
      <c r="I486" s="461"/>
      <c r="J486" s="461"/>
      <c r="K486" s="463"/>
      <c r="L486" s="150"/>
      <c r="M486" s="459" t="str">
        <f t="shared" si="7"/>
        <v/>
      </c>
    </row>
    <row r="487" spans="1:13" ht="14.45" customHeight="1" x14ac:dyDescent="0.2">
      <c r="A487" s="464"/>
      <c r="B487" s="460"/>
      <c r="C487" s="461"/>
      <c r="D487" s="461"/>
      <c r="E487" s="462"/>
      <c r="F487" s="460"/>
      <c r="G487" s="461"/>
      <c r="H487" s="461"/>
      <c r="I487" s="461"/>
      <c r="J487" s="461"/>
      <c r="K487" s="463"/>
      <c r="L487" s="150"/>
      <c r="M487" s="459" t="str">
        <f t="shared" si="7"/>
        <v/>
      </c>
    </row>
    <row r="488" spans="1:13" ht="14.45" customHeight="1" x14ac:dyDescent="0.2">
      <c r="A488" s="464"/>
      <c r="B488" s="460"/>
      <c r="C488" s="461"/>
      <c r="D488" s="461"/>
      <c r="E488" s="462"/>
      <c r="F488" s="460"/>
      <c r="G488" s="461"/>
      <c r="H488" s="461"/>
      <c r="I488" s="461"/>
      <c r="J488" s="461"/>
      <c r="K488" s="463"/>
      <c r="L488" s="150"/>
      <c r="M488" s="459" t="str">
        <f t="shared" si="7"/>
        <v/>
      </c>
    </row>
    <row r="489" spans="1:13" ht="14.45" customHeight="1" x14ac:dyDescent="0.2">
      <c r="A489" s="464"/>
      <c r="B489" s="460"/>
      <c r="C489" s="461"/>
      <c r="D489" s="461"/>
      <c r="E489" s="462"/>
      <c r="F489" s="460"/>
      <c r="G489" s="461"/>
      <c r="H489" s="461"/>
      <c r="I489" s="461"/>
      <c r="J489" s="461"/>
      <c r="K489" s="463"/>
      <c r="L489" s="150"/>
      <c r="M489" s="459" t="str">
        <f t="shared" si="7"/>
        <v/>
      </c>
    </row>
    <row r="490" spans="1:13" ht="14.45" customHeight="1" x14ac:dyDescent="0.2">
      <c r="A490" s="464"/>
      <c r="B490" s="460"/>
      <c r="C490" s="461"/>
      <c r="D490" s="461"/>
      <c r="E490" s="462"/>
      <c r="F490" s="460"/>
      <c r="G490" s="461"/>
      <c r="H490" s="461"/>
      <c r="I490" s="461"/>
      <c r="J490" s="461"/>
      <c r="K490" s="463"/>
      <c r="L490" s="150"/>
      <c r="M490" s="459" t="str">
        <f t="shared" si="7"/>
        <v/>
      </c>
    </row>
    <row r="491" spans="1:13" ht="14.45" customHeight="1" x14ac:dyDescent="0.2">
      <c r="A491" s="464"/>
      <c r="B491" s="460"/>
      <c r="C491" s="461"/>
      <c r="D491" s="461"/>
      <c r="E491" s="462"/>
      <c r="F491" s="460"/>
      <c r="G491" s="461"/>
      <c r="H491" s="461"/>
      <c r="I491" s="461"/>
      <c r="J491" s="461"/>
      <c r="K491" s="463"/>
      <c r="L491" s="150"/>
      <c r="M491" s="459" t="str">
        <f t="shared" si="7"/>
        <v/>
      </c>
    </row>
    <row r="492" spans="1:13" ht="14.45" customHeight="1" x14ac:dyDescent="0.2">
      <c r="A492" s="464"/>
      <c r="B492" s="460"/>
      <c r="C492" s="461"/>
      <c r="D492" s="461"/>
      <c r="E492" s="462"/>
      <c r="F492" s="460"/>
      <c r="G492" s="461"/>
      <c r="H492" s="461"/>
      <c r="I492" s="461"/>
      <c r="J492" s="461"/>
      <c r="K492" s="463"/>
      <c r="L492" s="150"/>
      <c r="M492" s="459" t="str">
        <f t="shared" si="7"/>
        <v/>
      </c>
    </row>
    <row r="493" spans="1:13" ht="14.45" customHeight="1" x14ac:dyDescent="0.2">
      <c r="A493" s="464"/>
      <c r="B493" s="460"/>
      <c r="C493" s="461"/>
      <c r="D493" s="461"/>
      <c r="E493" s="462"/>
      <c r="F493" s="460"/>
      <c r="G493" s="461"/>
      <c r="H493" s="461"/>
      <c r="I493" s="461"/>
      <c r="J493" s="461"/>
      <c r="K493" s="463"/>
      <c r="L493" s="150"/>
      <c r="M493" s="459" t="str">
        <f t="shared" si="7"/>
        <v/>
      </c>
    </row>
    <row r="494" spans="1:13" ht="14.45" customHeight="1" x14ac:dyDescent="0.2">
      <c r="A494" s="464"/>
      <c r="B494" s="460"/>
      <c r="C494" s="461"/>
      <c r="D494" s="461"/>
      <c r="E494" s="462"/>
      <c r="F494" s="460"/>
      <c r="G494" s="461"/>
      <c r="H494" s="461"/>
      <c r="I494" s="461"/>
      <c r="J494" s="461"/>
      <c r="K494" s="463"/>
      <c r="L494" s="150"/>
      <c r="M494" s="459" t="str">
        <f t="shared" si="7"/>
        <v/>
      </c>
    </row>
    <row r="495" spans="1:13" ht="14.45" customHeight="1" x14ac:dyDescent="0.2">
      <c r="A495" s="464"/>
      <c r="B495" s="460"/>
      <c r="C495" s="461"/>
      <c r="D495" s="461"/>
      <c r="E495" s="462"/>
      <c r="F495" s="460"/>
      <c r="G495" s="461"/>
      <c r="H495" s="461"/>
      <c r="I495" s="461"/>
      <c r="J495" s="461"/>
      <c r="K495" s="463"/>
      <c r="L495" s="150"/>
      <c r="M495" s="459" t="str">
        <f t="shared" si="7"/>
        <v/>
      </c>
    </row>
    <row r="496" spans="1:13" ht="14.45" customHeight="1" x14ac:dyDescent="0.2">
      <c r="A496" s="464"/>
      <c r="B496" s="460"/>
      <c r="C496" s="461"/>
      <c r="D496" s="461"/>
      <c r="E496" s="462"/>
      <c r="F496" s="460"/>
      <c r="G496" s="461"/>
      <c r="H496" s="461"/>
      <c r="I496" s="461"/>
      <c r="J496" s="461"/>
      <c r="K496" s="463"/>
      <c r="L496" s="150"/>
      <c r="M496" s="459" t="str">
        <f t="shared" si="7"/>
        <v/>
      </c>
    </row>
    <row r="497" spans="1:13" ht="14.45" customHeight="1" x14ac:dyDescent="0.2">
      <c r="A497" s="464"/>
      <c r="B497" s="460"/>
      <c r="C497" s="461"/>
      <c r="D497" s="461"/>
      <c r="E497" s="462"/>
      <c r="F497" s="460"/>
      <c r="G497" s="461"/>
      <c r="H497" s="461"/>
      <c r="I497" s="461"/>
      <c r="J497" s="461"/>
      <c r="K497" s="463"/>
      <c r="L497" s="150"/>
      <c r="M497" s="459" t="str">
        <f t="shared" si="7"/>
        <v/>
      </c>
    </row>
    <row r="498" spans="1:13" ht="14.45" customHeight="1" x14ac:dyDescent="0.2">
      <c r="A498" s="464"/>
      <c r="B498" s="460"/>
      <c r="C498" s="461"/>
      <c r="D498" s="461"/>
      <c r="E498" s="462"/>
      <c r="F498" s="460"/>
      <c r="G498" s="461"/>
      <c r="H498" s="461"/>
      <c r="I498" s="461"/>
      <c r="J498" s="461"/>
      <c r="K498" s="463"/>
      <c r="L498" s="150"/>
      <c r="M498" s="459" t="str">
        <f t="shared" si="7"/>
        <v/>
      </c>
    </row>
    <row r="499" spans="1:13" ht="14.45" customHeight="1" x14ac:dyDescent="0.2">
      <c r="A499" s="464"/>
      <c r="B499" s="460"/>
      <c r="C499" s="461"/>
      <c r="D499" s="461"/>
      <c r="E499" s="462"/>
      <c r="F499" s="460"/>
      <c r="G499" s="461"/>
      <c r="H499" s="461"/>
      <c r="I499" s="461"/>
      <c r="J499" s="461"/>
      <c r="K499" s="463"/>
      <c r="L499" s="150"/>
      <c r="M499" s="459" t="str">
        <f t="shared" si="7"/>
        <v/>
      </c>
    </row>
    <row r="500" spans="1:13" ht="14.45" customHeight="1" x14ac:dyDescent="0.2">
      <c r="A500" s="464"/>
      <c r="B500" s="460"/>
      <c r="C500" s="461"/>
      <c r="D500" s="461"/>
      <c r="E500" s="462"/>
      <c r="F500" s="460"/>
      <c r="G500" s="461"/>
      <c r="H500" s="461"/>
      <c r="I500" s="461"/>
      <c r="J500" s="461"/>
      <c r="K500" s="463"/>
      <c r="L500" s="150"/>
      <c r="M500" s="459" t="str">
        <f t="shared" si="7"/>
        <v/>
      </c>
    </row>
    <row r="501" spans="1:13" ht="14.45" customHeight="1" x14ac:dyDescent="0.2">
      <c r="A501" s="464"/>
      <c r="B501" s="460"/>
      <c r="C501" s="461"/>
      <c r="D501" s="461"/>
      <c r="E501" s="462"/>
      <c r="F501" s="460"/>
      <c r="G501" s="461"/>
      <c r="H501" s="461"/>
      <c r="I501" s="461"/>
      <c r="J501" s="461"/>
      <c r="K501" s="463"/>
      <c r="L501" s="150"/>
      <c r="M501" s="459" t="str">
        <f t="shared" si="7"/>
        <v/>
      </c>
    </row>
    <row r="502" spans="1:13" ht="14.45" customHeight="1" x14ac:dyDescent="0.2">
      <c r="A502" s="464"/>
      <c r="B502" s="460"/>
      <c r="C502" s="461"/>
      <c r="D502" s="461"/>
      <c r="E502" s="462"/>
      <c r="F502" s="460"/>
      <c r="G502" s="461"/>
      <c r="H502" s="461"/>
      <c r="I502" s="461"/>
      <c r="J502" s="461"/>
      <c r="K502" s="463"/>
      <c r="L502" s="150"/>
      <c r="M502" s="459" t="str">
        <f t="shared" si="7"/>
        <v/>
      </c>
    </row>
    <row r="503" spans="1:13" ht="14.45" customHeight="1" x14ac:dyDescent="0.2">
      <c r="A503" s="464"/>
      <c r="B503" s="460"/>
      <c r="C503" s="461"/>
      <c r="D503" s="461"/>
      <c r="E503" s="462"/>
      <c r="F503" s="460"/>
      <c r="G503" s="461"/>
      <c r="H503" s="461"/>
      <c r="I503" s="461"/>
      <c r="J503" s="461"/>
      <c r="K503" s="463"/>
      <c r="L503" s="150"/>
      <c r="M503" s="459" t="str">
        <f t="shared" si="7"/>
        <v/>
      </c>
    </row>
    <row r="504" spans="1:13" ht="14.45" customHeight="1" x14ac:dyDescent="0.2">
      <c r="A504" s="464"/>
      <c r="B504" s="460"/>
      <c r="C504" s="461"/>
      <c r="D504" s="461"/>
      <c r="E504" s="462"/>
      <c r="F504" s="460"/>
      <c r="G504" s="461"/>
      <c r="H504" s="461"/>
      <c r="I504" s="461"/>
      <c r="J504" s="461"/>
      <c r="K504" s="463"/>
      <c r="L504" s="150"/>
      <c r="M504" s="459" t="str">
        <f t="shared" si="7"/>
        <v/>
      </c>
    </row>
    <row r="505" spans="1:13" ht="14.45" customHeight="1" x14ac:dyDescent="0.2">
      <c r="A505" s="464"/>
      <c r="B505" s="460"/>
      <c r="C505" s="461"/>
      <c r="D505" s="461"/>
      <c r="E505" s="462"/>
      <c r="F505" s="460"/>
      <c r="G505" s="461"/>
      <c r="H505" s="461"/>
      <c r="I505" s="461"/>
      <c r="J505" s="461"/>
      <c r="K505" s="463"/>
      <c r="L505" s="150"/>
      <c r="M505" s="459" t="str">
        <f t="shared" si="7"/>
        <v/>
      </c>
    </row>
    <row r="506" spans="1:13" ht="14.45" customHeight="1" x14ac:dyDescent="0.2">
      <c r="A506" s="464"/>
      <c r="B506" s="460"/>
      <c r="C506" s="461"/>
      <c r="D506" s="461"/>
      <c r="E506" s="462"/>
      <c r="F506" s="460"/>
      <c r="G506" s="461"/>
      <c r="H506" s="461"/>
      <c r="I506" s="461"/>
      <c r="J506" s="461"/>
      <c r="K506" s="463"/>
      <c r="L506" s="150"/>
      <c r="M506" s="459" t="str">
        <f t="shared" si="7"/>
        <v/>
      </c>
    </row>
    <row r="507" spans="1:13" ht="14.45" customHeight="1" x14ac:dyDescent="0.2">
      <c r="A507" s="464"/>
      <c r="B507" s="460"/>
      <c r="C507" s="461"/>
      <c r="D507" s="461"/>
      <c r="E507" s="462"/>
      <c r="F507" s="460"/>
      <c r="G507" s="461"/>
      <c r="H507" s="461"/>
      <c r="I507" s="461"/>
      <c r="J507" s="461"/>
      <c r="K507" s="463"/>
      <c r="L507" s="150"/>
      <c r="M507" s="459" t="str">
        <f t="shared" si="7"/>
        <v/>
      </c>
    </row>
    <row r="508" spans="1:13" ht="14.45" customHeight="1" x14ac:dyDescent="0.2">
      <c r="A508" s="464"/>
      <c r="B508" s="460"/>
      <c r="C508" s="461"/>
      <c r="D508" s="461"/>
      <c r="E508" s="462"/>
      <c r="F508" s="460"/>
      <c r="G508" s="461"/>
      <c r="H508" s="461"/>
      <c r="I508" s="461"/>
      <c r="J508" s="461"/>
      <c r="K508" s="463"/>
      <c r="L508" s="150"/>
      <c r="M508" s="459" t="str">
        <f t="shared" si="7"/>
        <v/>
      </c>
    </row>
    <row r="509" spans="1:13" ht="14.45" customHeight="1" x14ac:dyDescent="0.2">
      <c r="A509" s="464"/>
      <c r="B509" s="460"/>
      <c r="C509" s="461"/>
      <c r="D509" s="461"/>
      <c r="E509" s="462"/>
      <c r="F509" s="460"/>
      <c r="G509" s="461"/>
      <c r="H509" s="461"/>
      <c r="I509" s="461"/>
      <c r="J509" s="461"/>
      <c r="K509" s="463"/>
      <c r="L509" s="150"/>
      <c r="M509" s="459" t="str">
        <f t="shared" si="7"/>
        <v/>
      </c>
    </row>
    <row r="510" spans="1:13" ht="14.45" customHeight="1" x14ac:dyDescent="0.2">
      <c r="A510" s="464"/>
      <c r="B510" s="460"/>
      <c r="C510" s="461"/>
      <c r="D510" s="461"/>
      <c r="E510" s="462"/>
      <c r="F510" s="460"/>
      <c r="G510" s="461"/>
      <c r="H510" s="461"/>
      <c r="I510" s="461"/>
      <c r="J510" s="461"/>
      <c r="K510" s="463"/>
      <c r="L510" s="150"/>
      <c r="M510" s="459" t="str">
        <f t="shared" si="7"/>
        <v/>
      </c>
    </row>
    <row r="511" spans="1:13" ht="14.45" customHeight="1" x14ac:dyDescent="0.2">
      <c r="A511" s="464"/>
      <c r="B511" s="460"/>
      <c r="C511" s="461"/>
      <c r="D511" s="461"/>
      <c r="E511" s="462"/>
      <c r="F511" s="460"/>
      <c r="G511" s="461"/>
      <c r="H511" s="461"/>
      <c r="I511" s="461"/>
      <c r="J511" s="461"/>
      <c r="K511" s="463"/>
      <c r="L511" s="150"/>
      <c r="M511" s="459" t="str">
        <f t="shared" si="7"/>
        <v/>
      </c>
    </row>
    <row r="512" spans="1:13" ht="14.45" customHeight="1" x14ac:dyDescent="0.2">
      <c r="A512" s="464"/>
      <c r="B512" s="460"/>
      <c r="C512" s="461"/>
      <c r="D512" s="461"/>
      <c r="E512" s="462"/>
      <c r="F512" s="460"/>
      <c r="G512" s="461"/>
      <c r="H512" s="461"/>
      <c r="I512" s="461"/>
      <c r="J512" s="461"/>
      <c r="K512" s="463"/>
      <c r="L512" s="150"/>
      <c r="M512" s="459" t="str">
        <f t="shared" si="7"/>
        <v/>
      </c>
    </row>
    <row r="513" spans="1:13" ht="14.45" customHeight="1" x14ac:dyDescent="0.2">
      <c r="A513" s="464"/>
      <c r="B513" s="460"/>
      <c r="C513" s="461"/>
      <c r="D513" s="461"/>
      <c r="E513" s="462"/>
      <c r="F513" s="460"/>
      <c r="G513" s="461"/>
      <c r="H513" s="461"/>
      <c r="I513" s="461"/>
      <c r="J513" s="461"/>
      <c r="K513" s="463"/>
      <c r="L513" s="150"/>
      <c r="M513" s="459" t="str">
        <f t="shared" si="7"/>
        <v/>
      </c>
    </row>
    <row r="514" spans="1:13" ht="14.45" customHeight="1" x14ac:dyDescent="0.2">
      <c r="A514" s="464"/>
      <c r="B514" s="460"/>
      <c r="C514" s="461"/>
      <c r="D514" s="461"/>
      <c r="E514" s="462"/>
      <c r="F514" s="460"/>
      <c r="G514" s="461"/>
      <c r="H514" s="461"/>
      <c r="I514" s="461"/>
      <c r="J514" s="461"/>
      <c r="K514" s="463"/>
      <c r="L514" s="150"/>
      <c r="M514" s="459" t="str">
        <f t="shared" si="7"/>
        <v/>
      </c>
    </row>
    <row r="515" spans="1:13" ht="14.45" customHeight="1" x14ac:dyDescent="0.2">
      <c r="A515" s="464"/>
      <c r="B515" s="460"/>
      <c r="C515" s="461"/>
      <c r="D515" s="461"/>
      <c r="E515" s="462"/>
      <c r="F515" s="460"/>
      <c r="G515" s="461"/>
      <c r="H515" s="461"/>
      <c r="I515" s="461"/>
      <c r="J515" s="461"/>
      <c r="K515" s="463"/>
      <c r="L515" s="150"/>
      <c r="M515" s="459" t="str">
        <f t="shared" si="7"/>
        <v/>
      </c>
    </row>
    <row r="516" spans="1:13" ht="14.45" customHeight="1" x14ac:dyDescent="0.2">
      <c r="A516" s="464"/>
      <c r="B516" s="460"/>
      <c r="C516" s="461"/>
      <c r="D516" s="461"/>
      <c r="E516" s="462"/>
      <c r="F516" s="460"/>
      <c r="G516" s="461"/>
      <c r="H516" s="461"/>
      <c r="I516" s="461"/>
      <c r="J516" s="461"/>
      <c r="K516" s="463"/>
      <c r="L516" s="150"/>
      <c r="M516" s="459" t="str">
        <f t="shared" si="7"/>
        <v/>
      </c>
    </row>
    <row r="517" spans="1:13" ht="14.45" customHeight="1" x14ac:dyDescent="0.2">
      <c r="A517" s="464"/>
      <c r="B517" s="460"/>
      <c r="C517" s="461"/>
      <c r="D517" s="461"/>
      <c r="E517" s="462"/>
      <c r="F517" s="460"/>
      <c r="G517" s="461"/>
      <c r="H517" s="461"/>
      <c r="I517" s="461"/>
      <c r="J517" s="461"/>
      <c r="K517" s="463"/>
      <c r="L517" s="150"/>
      <c r="M517" s="459" t="str">
        <f t="shared" si="7"/>
        <v/>
      </c>
    </row>
    <row r="518" spans="1:13" ht="14.45" customHeight="1" x14ac:dyDescent="0.2">
      <c r="A518" s="464"/>
      <c r="B518" s="460"/>
      <c r="C518" s="461"/>
      <c r="D518" s="461"/>
      <c r="E518" s="462"/>
      <c r="F518" s="460"/>
      <c r="G518" s="461"/>
      <c r="H518" s="461"/>
      <c r="I518" s="461"/>
      <c r="J518" s="461"/>
      <c r="K518" s="463"/>
      <c r="L518" s="150"/>
      <c r="M518" s="459" t="str">
        <f t="shared" ref="M518:M581" si="8">IF(A518="HV","HV",IF(OR(LEFT(A518,16)="               5",LEFT(A518,16)="               6",LEFT(A518,16)="               7",LEFT(A518,16)="               8"),"X",""))</f>
        <v/>
      </c>
    </row>
    <row r="519" spans="1:13" ht="14.45" customHeight="1" x14ac:dyDescent="0.2">
      <c r="A519" s="464"/>
      <c r="B519" s="460"/>
      <c r="C519" s="461"/>
      <c r="D519" s="461"/>
      <c r="E519" s="462"/>
      <c r="F519" s="460"/>
      <c r="G519" s="461"/>
      <c r="H519" s="461"/>
      <c r="I519" s="461"/>
      <c r="J519" s="461"/>
      <c r="K519" s="463"/>
      <c r="L519" s="150"/>
      <c r="M519" s="459" t="str">
        <f t="shared" si="8"/>
        <v/>
      </c>
    </row>
    <row r="520" spans="1:13" ht="14.45" customHeight="1" x14ac:dyDescent="0.2">
      <c r="A520" s="464"/>
      <c r="B520" s="460"/>
      <c r="C520" s="461"/>
      <c r="D520" s="461"/>
      <c r="E520" s="462"/>
      <c r="F520" s="460"/>
      <c r="G520" s="461"/>
      <c r="H520" s="461"/>
      <c r="I520" s="461"/>
      <c r="J520" s="461"/>
      <c r="K520" s="463"/>
      <c r="L520" s="150"/>
      <c r="M520" s="459" t="str">
        <f t="shared" si="8"/>
        <v/>
      </c>
    </row>
    <row r="521" spans="1:13" ht="14.45" customHeight="1" x14ac:dyDescent="0.2">
      <c r="A521" s="464"/>
      <c r="B521" s="460"/>
      <c r="C521" s="461"/>
      <c r="D521" s="461"/>
      <c r="E521" s="462"/>
      <c r="F521" s="460"/>
      <c r="G521" s="461"/>
      <c r="H521" s="461"/>
      <c r="I521" s="461"/>
      <c r="J521" s="461"/>
      <c r="K521" s="463"/>
      <c r="L521" s="150"/>
      <c r="M521" s="459" t="str">
        <f t="shared" si="8"/>
        <v/>
      </c>
    </row>
    <row r="522" spans="1:13" ht="14.45" customHeight="1" x14ac:dyDescent="0.2">
      <c r="A522" s="464"/>
      <c r="B522" s="460"/>
      <c r="C522" s="461"/>
      <c r="D522" s="461"/>
      <c r="E522" s="462"/>
      <c r="F522" s="460"/>
      <c r="G522" s="461"/>
      <c r="H522" s="461"/>
      <c r="I522" s="461"/>
      <c r="J522" s="461"/>
      <c r="K522" s="463"/>
      <c r="L522" s="150"/>
      <c r="M522" s="459" t="str">
        <f t="shared" si="8"/>
        <v/>
      </c>
    </row>
    <row r="523" spans="1:13" ht="14.45" customHeight="1" x14ac:dyDescent="0.2">
      <c r="A523" s="464"/>
      <c r="B523" s="460"/>
      <c r="C523" s="461"/>
      <c r="D523" s="461"/>
      <c r="E523" s="462"/>
      <c r="F523" s="460"/>
      <c r="G523" s="461"/>
      <c r="H523" s="461"/>
      <c r="I523" s="461"/>
      <c r="J523" s="461"/>
      <c r="K523" s="463"/>
      <c r="L523" s="150"/>
      <c r="M523" s="459" t="str">
        <f t="shared" si="8"/>
        <v/>
      </c>
    </row>
    <row r="524" spans="1:13" ht="14.45" customHeight="1" x14ac:dyDescent="0.2">
      <c r="A524" s="464"/>
      <c r="B524" s="460"/>
      <c r="C524" s="461"/>
      <c r="D524" s="461"/>
      <c r="E524" s="462"/>
      <c r="F524" s="460"/>
      <c r="G524" s="461"/>
      <c r="H524" s="461"/>
      <c r="I524" s="461"/>
      <c r="J524" s="461"/>
      <c r="K524" s="463"/>
      <c r="L524" s="150"/>
      <c r="M524" s="459" t="str">
        <f t="shared" si="8"/>
        <v/>
      </c>
    </row>
    <row r="525" spans="1:13" ht="14.45" customHeight="1" x14ac:dyDescent="0.2">
      <c r="A525" s="464"/>
      <c r="B525" s="460"/>
      <c r="C525" s="461"/>
      <c r="D525" s="461"/>
      <c r="E525" s="462"/>
      <c r="F525" s="460"/>
      <c r="G525" s="461"/>
      <c r="H525" s="461"/>
      <c r="I525" s="461"/>
      <c r="J525" s="461"/>
      <c r="K525" s="463"/>
      <c r="L525" s="150"/>
      <c r="M525" s="459" t="str">
        <f t="shared" si="8"/>
        <v/>
      </c>
    </row>
    <row r="526" spans="1:13" ht="14.45" customHeight="1" x14ac:dyDescent="0.2">
      <c r="A526" s="464"/>
      <c r="B526" s="460"/>
      <c r="C526" s="461"/>
      <c r="D526" s="461"/>
      <c r="E526" s="462"/>
      <c r="F526" s="460"/>
      <c r="G526" s="461"/>
      <c r="H526" s="461"/>
      <c r="I526" s="461"/>
      <c r="J526" s="461"/>
      <c r="K526" s="463"/>
      <c r="L526" s="150"/>
      <c r="M526" s="459" t="str">
        <f t="shared" si="8"/>
        <v/>
      </c>
    </row>
    <row r="527" spans="1:13" ht="14.45" customHeight="1" x14ac:dyDescent="0.2">
      <c r="A527" s="464"/>
      <c r="B527" s="460"/>
      <c r="C527" s="461"/>
      <c r="D527" s="461"/>
      <c r="E527" s="462"/>
      <c r="F527" s="460"/>
      <c r="G527" s="461"/>
      <c r="H527" s="461"/>
      <c r="I527" s="461"/>
      <c r="J527" s="461"/>
      <c r="K527" s="463"/>
      <c r="L527" s="150"/>
      <c r="M527" s="459" t="str">
        <f t="shared" si="8"/>
        <v/>
      </c>
    </row>
    <row r="528" spans="1:13" ht="14.45" customHeight="1" x14ac:dyDescent="0.2">
      <c r="A528" s="464"/>
      <c r="B528" s="460"/>
      <c r="C528" s="461"/>
      <c r="D528" s="461"/>
      <c r="E528" s="462"/>
      <c r="F528" s="460"/>
      <c r="G528" s="461"/>
      <c r="H528" s="461"/>
      <c r="I528" s="461"/>
      <c r="J528" s="461"/>
      <c r="K528" s="463"/>
      <c r="L528" s="150"/>
      <c r="M528" s="459" t="str">
        <f t="shared" si="8"/>
        <v/>
      </c>
    </row>
    <row r="529" spans="1:13" ht="14.45" customHeight="1" x14ac:dyDescent="0.2">
      <c r="A529" s="464"/>
      <c r="B529" s="460"/>
      <c r="C529" s="461"/>
      <c r="D529" s="461"/>
      <c r="E529" s="462"/>
      <c r="F529" s="460"/>
      <c r="G529" s="461"/>
      <c r="H529" s="461"/>
      <c r="I529" s="461"/>
      <c r="J529" s="461"/>
      <c r="K529" s="463"/>
      <c r="L529" s="150"/>
      <c r="M529" s="459" t="str">
        <f t="shared" si="8"/>
        <v/>
      </c>
    </row>
    <row r="530" spans="1:13" ht="14.45" customHeight="1" x14ac:dyDescent="0.2">
      <c r="A530" s="464"/>
      <c r="B530" s="460"/>
      <c r="C530" s="461"/>
      <c r="D530" s="461"/>
      <c r="E530" s="462"/>
      <c r="F530" s="460"/>
      <c r="G530" s="461"/>
      <c r="H530" s="461"/>
      <c r="I530" s="461"/>
      <c r="J530" s="461"/>
      <c r="K530" s="463"/>
      <c r="L530" s="150"/>
      <c r="M530" s="459" t="str">
        <f t="shared" si="8"/>
        <v/>
      </c>
    </row>
    <row r="531" spans="1:13" ht="14.45" customHeight="1" x14ac:dyDescent="0.2">
      <c r="A531" s="464"/>
      <c r="B531" s="460"/>
      <c r="C531" s="461"/>
      <c r="D531" s="461"/>
      <c r="E531" s="462"/>
      <c r="F531" s="460"/>
      <c r="G531" s="461"/>
      <c r="H531" s="461"/>
      <c r="I531" s="461"/>
      <c r="J531" s="461"/>
      <c r="K531" s="463"/>
      <c r="L531" s="150"/>
      <c r="M531" s="459" t="str">
        <f t="shared" si="8"/>
        <v/>
      </c>
    </row>
    <row r="532" spans="1:13" ht="14.45" customHeight="1" x14ac:dyDescent="0.2">
      <c r="A532" s="464"/>
      <c r="B532" s="460"/>
      <c r="C532" s="461"/>
      <c r="D532" s="461"/>
      <c r="E532" s="462"/>
      <c r="F532" s="460"/>
      <c r="G532" s="461"/>
      <c r="H532" s="461"/>
      <c r="I532" s="461"/>
      <c r="J532" s="461"/>
      <c r="K532" s="463"/>
      <c r="L532" s="150"/>
      <c r="M532" s="459" t="str">
        <f t="shared" si="8"/>
        <v/>
      </c>
    </row>
    <row r="533" spans="1:13" ht="14.45" customHeight="1" x14ac:dyDescent="0.2">
      <c r="A533" s="464"/>
      <c r="B533" s="460"/>
      <c r="C533" s="461"/>
      <c r="D533" s="461"/>
      <c r="E533" s="462"/>
      <c r="F533" s="460"/>
      <c r="G533" s="461"/>
      <c r="H533" s="461"/>
      <c r="I533" s="461"/>
      <c r="J533" s="461"/>
      <c r="K533" s="463"/>
      <c r="L533" s="150"/>
      <c r="M533" s="459" t="str">
        <f t="shared" si="8"/>
        <v/>
      </c>
    </row>
    <row r="534" spans="1:13" ht="14.45" customHeight="1" x14ac:dyDescent="0.2">
      <c r="A534" s="464"/>
      <c r="B534" s="460"/>
      <c r="C534" s="461"/>
      <c r="D534" s="461"/>
      <c r="E534" s="462"/>
      <c r="F534" s="460"/>
      <c r="G534" s="461"/>
      <c r="H534" s="461"/>
      <c r="I534" s="461"/>
      <c r="J534" s="461"/>
      <c r="K534" s="463"/>
      <c r="L534" s="150"/>
      <c r="M534" s="459" t="str">
        <f t="shared" si="8"/>
        <v/>
      </c>
    </row>
    <row r="535" spans="1:13" ht="14.45" customHeight="1" x14ac:dyDescent="0.2">
      <c r="A535" s="464"/>
      <c r="B535" s="460"/>
      <c r="C535" s="461"/>
      <c r="D535" s="461"/>
      <c r="E535" s="462"/>
      <c r="F535" s="460"/>
      <c r="G535" s="461"/>
      <c r="H535" s="461"/>
      <c r="I535" s="461"/>
      <c r="J535" s="461"/>
      <c r="K535" s="463"/>
      <c r="L535" s="150"/>
      <c r="M535" s="459" t="str">
        <f t="shared" si="8"/>
        <v/>
      </c>
    </row>
    <row r="536" spans="1:13" ht="14.45" customHeight="1" x14ac:dyDescent="0.2">
      <c r="A536" s="464"/>
      <c r="B536" s="460"/>
      <c r="C536" s="461"/>
      <c r="D536" s="461"/>
      <c r="E536" s="462"/>
      <c r="F536" s="460"/>
      <c r="G536" s="461"/>
      <c r="H536" s="461"/>
      <c r="I536" s="461"/>
      <c r="J536" s="461"/>
      <c r="K536" s="463"/>
      <c r="L536" s="150"/>
      <c r="M536" s="459" t="str">
        <f t="shared" si="8"/>
        <v/>
      </c>
    </row>
    <row r="537" spans="1:13" ht="14.45" customHeight="1" x14ac:dyDescent="0.2">
      <c r="A537" s="464"/>
      <c r="B537" s="460"/>
      <c r="C537" s="461"/>
      <c r="D537" s="461"/>
      <c r="E537" s="462"/>
      <c r="F537" s="460"/>
      <c r="G537" s="461"/>
      <c r="H537" s="461"/>
      <c r="I537" s="461"/>
      <c r="J537" s="461"/>
      <c r="K537" s="463"/>
      <c r="L537" s="150"/>
      <c r="M537" s="459" t="str">
        <f t="shared" si="8"/>
        <v/>
      </c>
    </row>
    <row r="538" spans="1:13" ht="14.45" customHeight="1" x14ac:dyDescent="0.2">
      <c r="A538" s="464"/>
      <c r="B538" s="460"/>
      <c r="C538" s="461"/>
      <c r="D538" s="461"/>
      <c r="E538" s="462"/>
      <c r="F538" s="460"/>
      <c r="G538" s="461"/>
      <c r="H538" s="461"/>
      <c r="I538" s="461"/>
      <c r="J538" s="461"/>
      <c r="K538" s="463"/>
      <c r="L538" s="150"/>
      <c r="M538" s="459" t="str">
        <f t="shared" si="8"/>
        <v/>
      </c>
    </row>
    <row r="539" spans="1:13" ht="14.45" customHeight="1" x14ac:dyDescent="0.2">
      <c r="A539" s="464"/>
      <c r="B539" s="460"/>
      <c r="C539" s="461"/>
      <c r="D539" s="461"/>
      <c r="E539" s="462"/>
      <c r="F539" s="460"/>
      <c r="G539" s="461"/>
      <c r="H539" s="461"/>
      <c r="I539" s="461"/>
      <c r="J539" s="461"/>
      <c r="K539" s="463"/>
      <c r="L539" s="150"/>
      <c r="M539" s="459" t="str">
        <f t="shared" si="8"/>
        <v/>
      </c>
    </row>
    <row r="540" spans="1:13" ht="14.45" customHeight="1" x14ac:dyDescent="0.2">
      <c r="A540" s="464"/>
      <c r="B540" s="460"/>
      <c r="C540" s="461"/>
      <c r="D540" s="461"/>
      <c r="E540" s="462"/>
      <c r="F540" s="460"/>
      <c r="G540" s="461"/>
      <c r="H540" s="461"/>
      <c r="I540" s="461"/>
      <c r="J540" s="461"/>
      <c r="K540" s="463"/>
      <c r="L540" s="150"/>
      <c r="M540" s="459" t="str">
        <f t="shared" si="8"/>
        <v/>
      </c>
    </row>
    <row r="541" spans="1:13" ht="14.45" customHeight="1" x14ac:dyDescent="0.2">
      <c r="A541" s="464"/>
      <c r="B541" s="460"/>
      <c r="C541" s="461"/>
      <c r="D541" s="461"/>
      <c r="E541" s="462"/>
      <c r="F541" s="460"/>
      <c r="G541" s="461"/>
      <c r="H541" s="461"/>
      <c r="I541" s="461"/>
      <c r="J541" s="461"/>
      <c r="K541" s="463"/>
      <c r="L541" s="150"/>
      <c r="M541" s="459" t="str">
        <f t="shared" si="8"/>
        <v/>
      </c>
    </row>
    <row r="542" spans="1:13" ht="14.45" customHeight="1" x14ac:dyDescent="0.2">
      <c r="A542" s="464"/>
      <c r="B542" s="460"/>
      <c r="C542" s="461"/>
      <c r="D542" s="461"/>
      <c r="E542" s="462"/>
      <c r="F542" s="460"/>
      <c r="G542" s="461"/>
      <c r="H542" s="461"/>
      <c r="I542" s="461"/>
      <c r="J542" s="461"/>
      <c r="K542" s="463"/>
      <c r="L542" s="150"/>
      <c r="M542" s="459" t="str">
        <f t="shared" si="8"/>
        <v/>
      </c>
    </row>
    <row r="543" spans="1:13" ht="14.45" customHeight="1" x14ac:dyDescent="0.2">
      <c r="A543" s="464"/>
      <c r="B543" s="460"/>
      <c r="C543" s="461"/>
      <c r="D543" s="461"/>
      <c r="E543" s="462"/>
      <c r="F543" s="460"/>
      <c r="G543" s="461"/>
      <c r="H543" s="461"/>
      <c r="I543" s="461"/>
      <c r="J543" s="461"/>
      <c r="K543" s="463"/>
      <c r="L543" s="150"/>
      <c r="M543" s="459" t="str">
        <f t="shared" si="8"/>
        <v/>
      </c>
    </row>
    <row r="544" spans="1:13" ht="14.45" customHeight="1" x14ac:dyDescent="0.2">
      <c r="A544" s="464"/>
      <c r="B544" s="460"/>
      <c r="C544" s="461"/>
      <c r="D544" s="461"/>
      <c r="E544" s="462"/>
      <c r="F544" s="460"/>
      <c r="G544" s="461"/>
      <c r="H544" s="461"/>
      <c r="I544" s="461"/>
      <c r="J544" s="461"/>
      <c r="K544" s="463"/>
      <c r="L544" s="150"/>
      <c r="M544" s="459" t="str">
        <f t="shared" si="8"/>
        <v/>
      </c>
    </row>
    <row r="545" spans="1:13" ht="14.45" customHeight="1" x14ac:dyDescent="0.2">
      <c r="A545" s="464"/>
      <c r="B545" s="460"/>
      <c r="C545" s="461"/>
      <c r="D545" s="461"/>
      <c r="E545" s="462"/>
      <c r="F545" s="460"/>
      <c r="G545" s="461"/>
      <c r="H545" s="461"/>
      <c r="I545" s="461"/>
      <c r="J545" s="461"/>
      <c r="K545" s="463"/>
      <c r="L545" s="150"/>
      <c r="M545" s="459" t="str">
        <f t="shared" si="8"/>
        <v/>
      </c>
    </row>
    <row r="546" spans="1:13" ht="14.45" customHeight="1" x14ac:dyDescent="0.2">
      <c r="A546" s="464"/>
      <c r="B546" s="460"/>
      <c r="C546" s="461"/>
      <c r="D546" s="461"/>
      <c r="E546" s="462"/>
      <c r="F546" s="460"/>
      <c r="G546" s="461"/>
      <c r="H546" s="461"/>
      <c r="I546" s="461"/>
      <c r="J546" s="461"/>
      <c r="K546" s="463"/>
      <c r="L546" s="150"/>
      <c r="M546" s="459" t="str">
        <f t="shared" si="8"/>
        <v/>
      </c>
    </row>
    <row r="547" spans="1:13" ht="14.45" customHeight="1" x14ac:dyDescent="0.2">
      <c r="A547" s="464"/>
      <c r="B547" s="460"/>
      <c r="C547" s="461"/>
      <c r="D547" s="461"/>
      <c r="E547" s="462"/>
      <c r="F547" s="460"/>
      <c r="G547" s="461"/>
      <c r="H547" s="461"/>
      <c r="I547" s="461"/>
      <c r="J547" s="461"/>
      <c r="K547" s="463"/>
      <c r="L547" s="150"/>
      <c r="M547" s="459" t="str">
        <f t="shared" si="8"/>
        <v/>
      </c>
    </row>
    <row r="548" spans="1:13" ht="14.45" customHeight="1" x14ac:dyDescent="0.2">
      <c r="A548" s="464"/>
      <c r="B548" s="460"/>
      <c r="C548" s="461"/>
      <c r="D548" s="461"/>
      <c r="E548" s="462"/>
      <c r="F548" s="460"/>
      <c r="G548" s="461"/>
      <c r="H548" s="461"/>
      <c r="I548" s="461"/>
      <c r="J548" s="461"/>
      <c r="K548" s="463"/>
      <c r="L548" s="150"/>
      <c r="M548" s="459" t="str">
        <f t="shared" si="8"/>
        <v/>
      </c>
    </row>
    <row r="549" spans="1:13" ht="14.45" customHeight="1" x14ac:dyDescent="0.2">
      <c r="A549" s="464"/>
      <c r="B549" s="460"/>
      <c r="C549" s="461"/>
      <c r="D549" s="461"/>
      <c r="E549" s="462"/>
      <c r="F549" s="460"/>
      <c r="G549" s="461"/>
      <c r="H549" s="461"/>
      <c r="I549" s="461"/>
      <c r="J549" s="461"/>
      <c r="K549" s="463"/>
      <c r="L549" s="150"/>
      <c r="M549" s="459" t="str">
        <f t="shared" si="8"/>
        <v/>
      </c>
    </row>
    <row r="550" spans="1:13" ht="14.45" customHeight="1" x14ac:dyDescent="0.2">
      <c r="A550" s="464"/>
      <c r="B550" s="460"/>
      <c r="C550" s="461"/>
      <c r="D550" s="461"/>
      <c r="E550" s="462"/>
      <c r="F550" s="460"/>
      <c r="G550" s="461"/>
      <c r="H550" s="461"/>
      <c r="I550" s="461"/>
      <c r="J550" s="461"/>
      <c r="K550" s="463"/>
      <c r="L550" s="150"/>
      <c r="M550" s="459" t="str">
        <f t="shared" si="8"/>
        <v/>
      </c>
    </row>
    <row r="551" spans="1:13" ht="14.45" customHeight="1" x14ac:dyDescent="0.2">
      <c r="A551" s="464"/>
      <c r="B551" s="460"/>
      <c r="C551" s="461"/>
      <c r="D551" s="461"/>
      <c r="E551" s="462"/>
      <c r="F551" s="460"/>
      <c r="G551" s="461"/>
      <c r="H551" s="461"/>
      <c r="I551" s="461"/>
      <c r="J551" s="461"/>
      <c r="K551" s="463"/>
      <c r="L551" s="150"/>
      <c r="M551" s="459" t="str">
        <f t="shared" si="8"/>
        <v/>
      </c>
    </row>
    <row r="552" spans="1:13" ht="14.45" customHeight="1" x14ac:dyDescent="0.2">
      <c r="A552" s="464"/>
      <c r="B552" s="460"/>
      <c r="C552" s="461"/>
      <c r="D552" s="461"/>
      <c r="E552" s="462"/>
      <c r="F552" s="460"/>
      <c r="G552" s="461"/>
      <c r="H552" s="461"/>
      <c r="I552" s="461"/>
      <c r="J552" s="461"/>
      <c r="K552" s="463"/>
      <c r="L552" s="150"/>
      <c r="M552" s="459" t="str">
        <f t="shared" si="8"/>
        <v/>
      </c>
    </row>
    <row r="553" spans="1:13" ht="14.45" customHeight="1" x14ac:dyDescent="0.2">
      <c r="A553" s="464"/>
      <c r="B553" s="460"/>
      <c r="C553" s="461"/>
      <c r="D553" s="461"/>
      <c r="E553" s="462"/>
      <c r="F553" s="460"/>
      <c r="G553" s="461"/>
      <c r="H553" s="461"/>
      <c r="I553" s="461"/>
      <c r="J553" s="461"/>
      <c r="K553" s="463"/>
      <c r="L553" s="150"/>
      <c r="M553" s="459" t="str">
        <f t="shared" si="8"/>
        <v/>
      </c>
    </row>
    <row r="554" spans="1:13" ht="14.45" customHeight="1" x14ac:dyDescent="0.2">
      <c r="A554" s="464"/>
      <c r="B554" s="460"/>
      <c r="C554" s="461"/>
      <c r="D554" s="461"/>
      <c r="E554" s="462"/>
      <c r="F554" s="460"/>
      <c r="G554" s="461"/>
      <c r="H554" s="461"/>
      <c r="I554" s="461"/>
      <c r="J554" s="461"/>
      <c r="K554" s="463"/>
      <c r="L554" s="150"/>
      <c r="M554" s="459" t="str">
        <f t="shared" si="8"/>
        <v/>
      </c>
    </row>
    <row r="555" spans="1:13" ht="14.45" customHeight="1" x14ac:dyDescent="0.2">
      <c r="A555" s="464"/>
      <c r="B555" s="460"/>
      <c r="C555" s="461"/>
      <c r="D555" s="461"/>
      <c r="E555" s="462"/>
      <c r="F555" s="460"/>
      <c r="G555" s="461"/>
      <c r="H555" s="461"/>
      <c r="I555" s="461"/>
      <c r="J555" s="461"/>
      <c r="K555" s="463"/>
      <c r="L555" s="150"/>
      <c r="M555" s="459" t="str">
        <f t="shared" si="8"/>
        <v/>
      </c>
    </row>
    <row r="556" spans="1:13" ht="14.45" customHeight="1" x14ac:dyDescent="0.2">
      <c r="A556" s="464"/>
      <c r="B556" s="460"/>
      <c r="C556" s="461"/>
      <c r="D556" s="461"/>
      <c r="E556" s="462"/>
      <c r="F556" s="460"/>
      <c r="G556" s="461"/>
      <c r="H556" s="461"/>
      <c r="I556" s="461"/>
      <c r="J556" s="461"/>
      <c r="K556" s="463"/>
      <c r="L556" s="150"/>
      <c r="M556" s="459" t="str">
        <f t="shared" si="8"/>
        <v/>
      </c>
    </row>
    <row r="557" spans="1:13" ht="14.45" customHeight="1" x14ac:dyDescent="0.2">
      <c r="A557" s="464"/>
      <c r="B557" s="460"/>
      <c r="C557" s="461"/>
      <c r="D557" s="461"/>
      <c r="E557" s="462"/>
      <c r="F557" s="460"/>
      <c r="G557" s="461"/>
      <c r="H557" s="461"/>
      <c r="I557" s="461"/>
      <c r="J557" s="461"/>
      <c r="K557" s="463"/>
      <c r="L557" s="150"/>
      <c r="M557" s="459" t="str">
        <f t="shared" si="8"/>
        <v/>
      </c>
    </row>
    <row r="558" spans="1:13" ht="14.45" customHeight="1" x14ac:dyDescent="0.2">
      <c r="A558" s="464"/>
      <c r="B558" s="460"/>
      <c r="C558" s="461"/>
      <c r="D558" s="461"/>
      <c r="E558" s="462"/>
      <c r="F558" s="460"/>
      <c r="G558" s="461"/>
      <c r="H558" s="461"/>
      <c r="I558" s="461"/>
      <c r="J558" s="461"/>
      <c r="K558" s="463"/>
      <c r="L558" s="150"/>
      <c r="M558" s="459" t="str">
        <f t="shared" si="8"/>
        <v/>
      </c>
    </row>
    <row r="559" spans="1:13" ht="14.45" customHeight="1" x14ac:dyDescent="0.2">
      <c r="A559" s="464"/>
      <c r="B559" s="460"/>
      <c r="C559" s="461"/>
      <c r="D559" s="461"/>
      <c r="E559" s="462"/>
      <c r="F559" s="460"/>
      <c r="G559" s="461"/>
      <c r="H559" s="461"/>
      <c r="I559" s="461"/>
      <c r="J559" s="461"/>
      <c r="K559" s="463"/>
      <c r="L559" s="150"/>
      <c r="M559" s="459" t="str">
        <f t="shared" si="8"/>
        <v/>
      </c>
    </row>
    <row r="560" spans="1:13" ht="14.45" customHeight="1" x14ac:dyDescent="0.2">
      <c r="A560" s="464"/>
      <c r="B560" s="460"/>
      <c r="C560" s="461"/>
      <c r="D560" s="461"/>
      <c r="E560" s="462"/>
      <c r="F560" s="460"/>
      <c r="G560" s="461"/>
      <c r="H560" s="461"/>
      <c r="I560" s="461"/>
      <c r="J560" s="461"/>
      <c r="K560" s="463"/>
      <c r="L560" s="150"/>
      <c r="M560" s="459" t="str">
        <f t="shared" si="8"/>
        <v/>
      </c>
    </row>
    <row r="561" spans="1:13" ht="14.45" customHeight="1" x14ac:dyDescent="0.2">
      <c r="A561" s="464"/>
      <c r="B561" s="460"/>
      <c r="C561" s="461"/>
      <c r="D561" s="461"/>
      <c r="E561" s="462"/>
      <c r="F561" s="460"/>
      <c r="G561" s="461"/>
      <c r="H561" s="461"/>
      <c r="I561" s="461"/>
      <c r="J561" s="461"/>
      <c r="K561" s="463"/>
      <c r="L561" s="150"/>
      <c r="M561" s="459" t="str">
        <f t="shared" si="8"/>
        <v/>
      </c>
    </row>
    <row r="562" spans="1:13" ht="14.45" customHeight="1" x14ac:dyDescent="0.2">
      <c r="A562" s="464"/>
      <c r="B562" s="460"/>
      <c r="C562" s="461"/>
      <c r="D562" s="461"/>
      <c r="E562" s="462"/>
      <c r="F562" s="460"/>
      <c r="G562" s="461"/>
      <c r="H562" s="461"/>
      <c r="I562" s="461"/>
      <c r="J562" s="461"/>
      <c r="K562" s="463"/>
      <c r="L562" s="150"/>
      <c r="M562" s="459" t="str">
        <f t="shared" si="8"/>
        <v/>
      </c>
    </row>
    <row r="563" spans="1:13" ht="14.45" customHeight="1" x14ac:dyDescent="0.2">
      <c r="A563" s="464"/>
      <c r="B563" s="460"/>
      <c r="C563" s="461"/>
      <c r="D563" s="461"/>
      <c r="E563" s="462"/>
      <c r="F563" s="460"/>
      <c r="G563" s="461"/>
      <c r="H563" s="461"/>
      <c r="I563" s="461"/>
      <c r="J563" s="461"/>
      <c r="K563" s="463"/>
      <c r="L563" s="150"/>
      <c r="M563" s="459" t="str">
        <f t="shared" si="8"/>
        <v/>
      </c>
    </row>
    <row r="564" spans="1:13" ht="14.45" customHeight="1" x14ac:dyDescent="0.2">
      <c r="A564" s="464"/>
      <c r="B564" s="460"/>
      <c r="C564" s="461"/>
      <c r="D564" s="461"/>
      <c r="E564" s="462"/>
      <c r="F564" s="460"/>
      <c r="G564" s="461"/>
      <c r="H564" s="461"/>
      <c r="I564" s="461"/>
      <c r="J564" s="461"/>
      <c r="K564" s="463"/>
      <c r="L564" s="150"/>
      <c r="M564" s="459" t="str">
        <f t="shared" si="8"/>
        <v/>
      </c>
    </row>
    <row r="565" spans="1:13" ht="14.45" customHeight="1" x14ac:dyDescent="0.2">
      <c r="A565" s="464"/>
      <c r="B565" s="460"/>
      <c r="C565" s="461"/>
      <c r="D565" s="461"/>
      <c r="E565" s="462"/>
      <c r="F565" s="460"/>
      <c r="G565" s="461"/>
      <c r="H565" s="461"/>
      <c r="I565" s="461"/>
      <c r="J565" s="461"/>
      <c r="K565" s="463"/>
      <c r="L565" s="150"/>
      <c r="M565" s="459" t="str">
        <f t="shared" si="8"/>
        <v/>
      </c>
    </row>
    <row r="566" spans="1:13" ht="14.45" customHeight="1" x14ac:dyDescent="0.2">
      <c r="A566" s="464"/>
      <c r="B566" s="460"/>
      <c r="C566" s="461"/>
      <c r="D566" s="461"/>
      <c r="E566" s="462"/>
      <c r="F566" s="460"/>
      <c r="G566" s="461"/>
      <c r="H566" s="461"/>
      <c r="I566" s="461"/>
      <c r="J566" s="461"/>
      <c r="K566" s="463"/>
      <c r="L566" s="150"/>
      <c r="M566" s="459" t="str">
        <f t="shared" si="8"/>
        <v/>
      </c>
    </row>
    <row r="567" spans="1:13" ht="14.45" customHeight="1" x14ac:dyDescent="0.2">
      <c r="A567" s="464"/>
      <c r="B567" s="460"/>
      <c r="C567" s="461"/>
      <c r="D567" s="461"/>
      <c r="E567" s="462"/>
      <c r="F567" s="460"/>
      <c r="G567" s="461"/>
      <c r="H567" s="461"/>
      <c r="I567" s="461"/>
      <c r="J567" s="461"/>
      <c r="K567" s="463"/>
      <c r="L567" s="150"/>
      <c r="M567" s="459" t="str">
        <f t="shared" si="8"/>
        <v/>
      </c>
    </row>
    <row r="568" spans="1:13" ht="14.45" customHeight="1" x14ac:dyDescent="0.2">
      <c r="A568" s="464"/>
      <c r="B568" s="460"/>
      <c r="C568" s="461"/>
      <c r="D568" s="461"/>
      <c r="E568" s="462"/>
      <c r="F568" s="460"/>
      <c r="G568" s="461"/>
      <c r="H568" s="461"/>
      <c r="I568" s="461"/>
      <c r="J568" s="461"/>
      <c r="K568" s="463"/>
      <c r="L568" s="150"/>
      <c r="M568" s="459" t="str">
        <f t="shared" si="8"/>
        <v/>
      </c>
    </row>
    <row r="569" spans="1:13" ht="14.45" customHeight="1" x14ac:dyDescent="0.2">
      <c r="A569" s="464"/>
      <c r="B569" s="460"/>
      <c r="C569" s="461"/>
      <c r="D569" s="461"/>
      <c r="E569" s="462"/>
      <c r="F569" s="460"/>
      <c r="G569" s="461"/>
      <c r="H569" s="461"/>
      <c r="I569" s="461"/>
      <c r="J569" s="461"/>
      <c r="K569" s="463"/>
      <c r="L569" s="150"/>
      <c r="M569" s="459" t="str">
        <f t="shared" si="8"/>
        <v/>
      </c>
    </row>
    <row r="570" spans="1:13" ht="14.45" customHeight="1" x14ac:dyDescent="0.2">
      <c r="A570" s="464"/>
      <c r="B570" s="460"/>
      <c r="C570" s="461"/>
      <c r="D570" s="461"/>
      <c r="E570" s="462"/>
      <c r="F570" s="460"/>
      <c r="G570" s="461"/>
      <c r="H570" s="461"/>
      <c r="I570" s="461"/>
      <c r="J570" s="461"/>
      <c r="K570" s="463"/>
      <c r="L570" s="150"/>
      <c r="M570" s="459" t="str">
        <f t="shared" si="8"/>
        <v/>
      </c>
    </row>
    <row r="571" spans="1:13" ht="14.45" customHeight="1" x14ac:dyDescent="0.2">
      <c r="A571" s="464"/>
      <c r="B571" s="460"/>
      <c r="C571" s="461"/>
      <c r="D571" s="461"/>
      <c r="E571" s="462"/>
      <c r="F571" s="460"/>
      <c r="G571" s="461"/>
      <c r="H571" s="461"/>
      <c r="I571" s="461"/>
      <c r="J571" s="461"/>
      <c r="K571" s="463"/>
      <c r="L571" s="150"/>
      <c r="M571" s="459" t="str">
        <f t="shared" si="8"/>
        <v/>
      </c>
    </row>
    <row r="572" spans="1:13" ht="14.45" customHeight="1" x14ac:dyDescent="0.2">
      <c r="A572" s="464"/>
      <c r="B572" s="460"/>
      <c r="C572" s="461"/>
      <c r="D572" s="461"/>
      <c r="E572" s="462"/>
      <c r="F572" s="460"/>
      <c r="G572" s="461"/>
      <c r="H572" s="461"/>
      <c r="I572" s="461"/>
      <c r="J572" s="461"/>
      <c r="K572" s="463"/>
      <c r="L572" s="150"/>
      <c r="M572" s="459" t="str">
        <f t="shared" si="8"/>
        <v/>
      </c>
    </row>
    <row r="573" spans="1:13" ht="14.45" customHeight="1" x14ac:dyDescent="0.2">
      <c r="A573" s="464"/>
      <c r="B573" s="460"/>
      <c r="C573" s="461"/>
      <c r="D573" s="461"/>
      <c r="E573" s="462"/>
      <c r="F573" s="460"/>
      <c r="G573" s="461"/>
      <c r="H573" s="461"/>
      <c r="I573" s="461"/>
      <c r="J573" s="461"/>
      <c r="K573" s="463"/>
      <c r="L573" s="150"/>
      <c r="M573" s="459" t="str">
        <f t="shared" si="8"/>
        <v/>
      </c>
    </row>
    <row r="574" spans="1:13" ht="14.45" customHeight="1" x14ac:dyDescent="0.2">
      <c r="A574" s="464"/>
      <c r="B574" s="460"/>
      <c r="C574" s="461"/>
      <c r="D574" s="461"/>
      <c r="E574" s="462"/>
      <c r="F574" s="460"/>
      <c r="G574" s="461"/>
      <c r="H574" s="461"/>
      <c r="I574" s="461"/>
      <c r="J574" s="461"/>
      <c r="K574" s="463"/>
      <c r="L574" s="150"/>
      <c r="M574" s="459" t="str">
        <f t="shared" si="8"/>
        <v/>
      </c>
    </row>
    <row r="575" spans="1:13" ht="14.45" customHeight="1" x14ac:dyDescent="0.2">
      <c r="A575" s="464"/>
      <c r="B575" s="460"/>
      <c r="C575" s="461"/>
      <c r="D575" s="461"/>
      <c r="E575" s="462"/>
      <c r="F575" s="460"/>
      <c r="G575" s="461"/>
      <c r="H575" s="461"/>
      <c r="I575" s="461"/>
      <c r="J575" s="461"/>
      <c r="K575" s="463"/>
      <c r="L575" s="150"/>
      <c r="M575" s="459" t="str">
        <f t="shared" si="8"/>
        <v/>
      </c>
    </row>
    <row r="576" spans="1:13" ht="14.45" customHeight="1" x14ac:dyDescent="0.2">
      <c r="A576" s="464"/>
      <c r="B576" s="460"/>
      <c r="C576" s="461"/>
      <c r="D576" s="461"/>
      <c r="E576" s="462"/>
      <c r="F576" s="460"/>
      <c r="G576" s="461"/>
      <c r="H576" s="461"/>
      <c r="I576" s="461"/>
      <c r="J576" s="461"/>
      <c r="K576" s="463"/>
      <c r="L576" s="150"/>
      <c r="M576" s="459" t="str">
        <f t="shared" si="8"/>
        <v/>
      </c>
    </row>
    <row r="577" spans="1:13" ht="14.45" customHeight="1" x14ac:dyDescent="0.2">
      <c r="A577" s="464"/>
      <c r="B577" s="460"/>
      <c r="C577" s="461"/>
      <c r="D577" s="461"/>
      <c r="E577" s="462"/>
      <c r="F577" s="460"/>
      <c r="G577" s="461"/>
      <c r="H577" s="461"/>
      <c r="I577" s="461"/>
      <c r="J577" s="461"/>
      <c r="K577" s="463"/>
      <c r="L577" s="150"/>
      <c r="M577" s="459" t="str">
        <f t="shared" si="8"/>
        <v/>
      </c>
    </row>
    <row r="578" spans="1:13" ht="14.45" customHeight="1" x14ac:dyDescent="0.2">
      <c r="A578" s="464"/>
      <c r="B578" s="460"/>
      <c r="C578" s="461"/>
      <c r="D578" s="461"/>
      <c r="E578" s="462"/>
      <c r="F578" s="460"/>
      <c r="G578" s="461"/>
      <c r="H578" s="461"/>
      <c r="I578" s="461"/>
      <c r="J578" s="461"/>
      <c r="K578" s="463"/>
      <c r="L578" s="150"/>
      <c r="M578" s="459" t="str">
        <f t="shared" si="8"/>
        <v/>
      </c>
    </row>
    <row r="579" spans="1:13" ht="14.45" customHeight="1" x14ac:dyDescent="0.2">
      <c r="A579" s="464"/>
      <c r="B579" s="460"/>
      <c r="C579" s="461"/>
      <c r="D579" s="461"/>
      <c r="E579" s="462"/>
      <c r="F579" s="460"/>
      <c r="G579" s="461"/>
      <c r="H579" s="461"/>
      <c r="I579" s="461"/>
      <c r="J579" s="461"/>
      <c r="K579" s="463"/>
      <c r="L579" s="150"/>
      <c r="M579" s="459" t="str">
        <f t="shared" si="8"/>
        <v/>
      </c>
    </row>
    <row r="580" spans="1:13" ht="14.45" customHeight="1" x14ac:dyDescent="0.2">
      <c r="A580" s="464"/>
      <c r="B580" s="460"/>
      <c r="C580" s="461"/>
      <c r="D580" s="461"/>
      <c r="E580" s="462"/>
      <c r="F580" s="460"/>
      <c r="G580" s="461"/>
      <c r="H580" s="461"/>
      <c r="I580" s="461"/>
      <c r="J580" s="461"/>
      <c r="K580" s="463"/>
      <c r="L580" s="150"/>
      <c r="M580" s="459" t="str">
        <f t="shared" si="8"/>
        <v/>
      </c>
    </row>
    <row r="581" spans="1:13" ht="14.45" customHeight="1" x14ac:dyDescent="0.2">
      <c r="A581" s="464"/>
      <c r="B581" s="460"/>
      <c r="C581" s="461"/>
      <c r="D581" s="461"/>
      <c r="E581" s="462"/>
      <c r="F581" s="460"/>
      <c r="G581" s="461"/>
      <c r="H581" s="461"/>
      <c r="I581" s="461"/>
      <c r="J581" s="461"/>
      <c r="K581" s="463"/>
      <c r="L581" s="150"/>
      <c r="M581" s="459" t="str">
        <f t="shared" si="8"/>
        <v/>
      </c>
    </row>
    <row r="582" spans="1:13" ht="14.45" customHeight="1" x14ac:dyDescent="0.2">
      <c r="A582" s="464"/>
      <c r="B582" s="460"/>
      <c r="C582" s="461"/>
      <c r="D582" s="461"/>
      <c r="E582" s="462"/>
      <c r="F582" s="460"/>
      <c r="G582" s="461"/>
      <c r="H582" s="461"/>
      <c r="I582" s="461"/>
      <c r="J582" s="461"/>
      <c r="K582" s="463"/>
      <c r="L582" s="150"/>
      <c r="M582" s="459" t="str">
        <f t="shared" ref="M582:M645" si="9">IF(A582="HV","HV",IF(OR(LEFT(A582,16)="               5",LEFT(A582,16)="               6",LEFT(A582,16)="               7",LEFT(A582,16)="               8"),"X",""))</f>
        <v/>
      </c>
    </row>
    <row r="583" spans="1:13" ht="14.45" customHeight="1" x14ac:dyDescent="0.2">
      <c r="A583" s="464"/>
      <c r="B583" s="460"/>
      <c r="C583" s="461"/>
      <c r="D583" s="461"/>
      <c r="E583" s="462"/>
      <c r="F583" s="460"/>
      <c r="G583" s="461"/>
      <c r="H583" s="461"/>
      <c r="I583" s="461"/>
      <c r="J583" s="461"/>
      <c r="K583" s="463"/>
      <c r="L583" s="150"/>
      <c r="M583" s="459" t="str">
        <f t="shared" si="9"/>
        <v/>
      </c>
    </row>
    <row r="584" spans="1:13" ht="14.45" customHeight="1" x14ac:dyDescent="0.2">
      <c r="A584" s="464"/>
      <c r="B584" s="460"/>
      <c r="C584" s="461"/>
      <c r="D584" s="461"/>
      <c r="E584" s="462"/>
      <c r="F584" s="460"/>
      <c r="G584" s="461"/>
      <c r="H584" s="461"/>
      <c r="I584" s="461"/>
      <c r="J584" s="461"/>
      <c r="K584" s="463"/>
      <c r="L584" s="150"/>
      <c r="M584" s="459" t="str">
        <f t="shared" si="9"/>
        <v/>
      </c>
    </row>
    <row r="585" spans="1:13" ht="14.45" customHeight="1" x14ac:dyDescent="0.2">
      <c r="A585" s="464"/>
      <c r="B585" s="460"/>
      <c r="C585" s="461"/>
      <c r="D585" s="461"/>
      <c r="E585" s="462"/>
      <c r="F585" s="460"/>
      <c r="G585" s="461"/>
      <c r="H585" s="461"/>
      <c r="I585" s="461"/>
      <c r="J585" s="461"/>
      <c r="K585" s="463"/>
      <c r="L585" s="150"/>
      <c r="M585" s="459" t="str">
        <f t="shared" si="9"/>
        <v/>
      </c>
    </row>
    <row r="586" spans="1:13" ht="14.45" customHeight="1" x14ac:dyDescent="0.2">
      <c r="A586" s="464"/>
      <c r="B586" s="460"/>
      <c r="C586" s="461"/>
      <c r="D586" s="461"/>
      <c r="E586" s="462"/>
      <c r="F586" s="460"/>
      <c r="G586" s="461"/>
      <c r="H586" s="461"/>
      <c r="I586" s="461"/>
      <c r="J586" s="461"/>
      <c r="K586" s="463"/>
      <c r="L586" s="150"/>
      <c r="M586" s="459" t="str">
        <f t="shared" si="9"/>
        <v/>
      </c>
    </row>
    <row r="587" spans="1:13" ht="14.45" customHeight="1" x14ac:dyDescent="0.2">
      <c r="A587" s="464"/>
      <c r="B587" s="460"/>
      <c r="C587" s="461"/>
      <c r="D587" s="461"/>
      <c r="E587" s="462"/>
      <c r="F587" s="460"/>
      <c r="G587" s="461"/>
      <c r="H587" s="461"/>
      <c r="I587" s="461"/>
      <c r="J587" s="461"/>
      <c r="K587" s="463"/>
      <c r="L587" s="150"/>
      <c r="M587" s="459" t="str">
        <f t="shared" si="9"/>
        <v/>
      </c>
    </row>
    <row r="588" spans="1:13" ht="14.45" customHeight="1" x14ac:dyDescent="0.2">
      <c r="A588" s="464"/>
      <c r="B588" s="460"/>
      <c r="C588" s="461"/>
      <c r="D588" s="461"/>
      <c r="E588" s="462"/>
      <c r="F588" s="460"/>
      <c r="G588" s="461"/>
      <c r="H588" s="461"/>
      <c r="I588" s="461"/>
      <c r="J588" s="461"/>
      <c r="K588" s="463"/>
      <c r="L588" s="150"/>
      <c r="M588" s="459" t="str">
        <f t="shared" si="9"/>
        <v/>
      </c>
    </row>
    <row r="589" spans="1:13" ht="14.45" customHeight="1" x14ac:dyDescent="0.2">
      <c r="A589" s="464"/>
      <c r="B589" s="460"/>
      <c r="C589" s="461"/>
      <c r="D589" s="461"/>
      <c r="E589" s="462"/>
      <c r="F589" s="460"/>
      <c r="G589" s="461"/>
      <c r="H589" s="461"/>
      <c r="I589" s="461"/>
      <c r="J589" s="461"/>
      <c r="K589" s="463"/>
      <c r="L589" s="150"/>
      <c r="M589" s="459" t="str">
        <f t="shared" si="9"/>
        <v/>
      </c>
    </row>
    <row r="590" spans="1:13" ht="14.45" customHeight="1" x14ac:dyDescent="0.2">
      <c r="A590" s="464"/>
      <c r="B590" s="460"/>
      <c r="C590" s="461"/>
      <c r="D590" s="461"/>
      <c r="E590" s="462"/>
      <c r="F590" s="460"/>
      <c r="G590" s="461"/>
      <c r="H590" s="461"/>
      <c r="I590" s="461"/>
      <c r="J590" s="461"/>
      <c r="K590" s="463"/>
      <c r="L590" s="150"/>
      <c r="M590" s="459" t="str">
        <f t="shared" si="9"/>
        <v/>
      </c>
    </row>
    <row r="591" spans="1:13" ht="14.45" customHeight="1" x14ac:dyDescent="0.2">
      <c r="A591" s="464"/>
      <c r="B591" s="460"/>
      <c r="C591" s="461"/>
      <c r="D591" s="461"/>
      <c r="E591" s="462"/>
      <c r="F591" s="460"/>
      <c r="G591" s="461"/>
      <c r="H591" s="461"/>
      <c r="I591" s="461"/>
      <c r="J591" s="461"/>
      <c r="K591" s="463"/>
      <c r="L591" s="150"/>
      <c r="M591" s="459" t="str">
        <f t="shared" si="9"/>
        <v/>
      </c>
    </row>
    <row r="592" spans="1:13" ht="14.45" customHeight="1" x14ac:dyDescent="0.2">
      <c r="A592" s="464"/>
      <c r="B592" s="460"/>
      <c r="C592" s="461"/>
      <c r="D592" s="461"/>
      <c r="E592" s="462"/>
      <c r="F592" s="460"/>
      <c r="G592" s="461"/>
      <c r="H592" s="461"/>
      <c r="I592" s="461"/>
      <c r="J592" s="461"/>
      <c r="K592" s="463"/>
      <c r="L592" s="150"/>
      <c r="M592" s="459" t="str">
        <f t="shared" si="9"/>
        <v/>
      </c>
    </row>
    <row r="593" spans="1:13" ht="14.45" customHeight="1" x14ac:dyDescent="0.2">
      <c r="A593" s="464"/>
      <c r="B593" s="460"/>
      <c r="C593" s="461"/>
      <c r="D593" s="461"/>
      <c r="E593" s="462"/>
      <c r="F593" s="460"/>
      <c r="G593" s="461"/>
      <c r="H593" s="461"/>
      <c r="I593" s="461"/>
      <c r="J593" s="461"/>
      <c r="K593" s="463"/>
      <c r="L593" s="150"/>
      <c r="M593" s="459" t="str">
        <f t="shared" si="9"/>
        <v/>
      </c>
    </row>
    <row r="594" spans="1:13" ht="14.45" customHeight="1" x14ac:dyDescent="0.2">
      <c r="A594" s="464"/>
      <c r="B594" s="460"/>
      <c r="C594" s="461"/>
      <c r="D594" s="461"/>
      <c r="E594" s="462"/>
      <c r="F594" s="460"/>
      <c r="G594" s="461"/>
      <c r="H594" s="461"/>
      <c r="I594" s="461"/>
      <c r="J594" s="461"/>
      <c r="K594" s="463"/>
      <c r="L594" s="150"/>
      <c r="M594" s="459" t="str">
        <f t="shared" si="9"/>
        <v/>
      </c>
    </row>
    <row r="595" spans="1:13" ht="14.45" customHeight="1" x14ac:dyDescent="0.2">
      <c r="A595" s="464"/>
      <c r="B595" s="460"/>
      <c r="C595" s="461"/>
      <c r="D595" s="461"/>
      <c r="E595" s="462"/>
      <c r="F595" s="460"/>
      <c r="G595" s="461"/>
      <c r="H595" s="461"/>
      <c r="I595" s="461"/>
      <c r="J595" s="461"/>
      <c r="K595" s="463"/>
      <c r="L595" s="150"/>
      <c r="M595" s="459" t="str">
        <f t="shared" si="9"/>
        <v/>
      </c>
    </row>
    <row r="596" spans="1:13" ht="14.45" customHeight="1" x14ac:dyDescent="0.2">
      <c r="A596" s="464"/>
      <c r="B596" s="460"/>
      <c r="C596" s="461"/>
      <c r="D596" s="461"/>
      <c r="E596" s="462"/>
      <c r="F596" s="460"/>
      <c r="G596" s="461"/>
      <c r="H596" s="461"/>
      <c r="I596" s="461"/>
      <c r="J596" s="461"/>
      <c r="K596" s="463"/>
      <c r="L596" s="150"/>
      <c r="M596" s="459" t="str">
        <f t="shared" si="9"/>
        <v/>
      </c>
    </row>
    <row r="597" spans="1:13" ht="14.45" customHeight="1" x14ac:dyDescent="0.2">
      <c r="A597" s="464"/>
      <c r="B597" s="460"/>
      <c r="C597" s="461"/>
      <c r="D597" s="461"/>
      <c r="E597" s="462"/>
      <c r="F597" s="460"/>
      <c r="G597" s="461"/>
      <c r="H597" s="461"/>
      <c r="I597" s="461"/>
      <c r="J597" s="461"/>
      <c r="K597" s="463"/>
      <c r="L597" s="150"/>
      <c r="M597" s="459" t="str">
        <f t="shared" si="9"/>
        <v/>
      </c>
    </row>
    <row r="598" spans="1:13" ht="14.45" customHeight="1" x14ac:dyDescent="0.2">
      <c r="A598" s="464"/>
      <c r="B598" s="460"/>
      <c r="C598" s="461"/>
      <c r="D598" s="461"/>
      <c r="E598" s="462"/>
      <c r="F598" s="460"/>
      <c r="G598" s="461"/>
      <c r="H598" s="461"/>
      <c r="I598" s="461"/>
      <c r="J598" s="461"/>
      <c r="K598" s="463"/>
      <c r="L598" s="150"/>
      <c r="M598" s="459" t="str">
        <f t="shared" si="9"/>
        <v/>
      </c>
    </row>
    <row r="599" spans="1:13" ht="14.45" customHeight="1" x14ac:dyDescent="0.2">
      <c r="A599" s="464"/>
      <c r="B599" s="460"/>
      <c r="C599" s="461"/>
      <c r="D599" s="461"/>
      <c r="E599" s="462"/>
      <c r="F599" s="460"/>
      <c r="G599" s="461"/>
      <c r="H599" s="461"/>
      <c r="I599" s="461"/>
      <c r="J599" s="461"/>
      <c r="K599" s="463"/>
      <c r="L599" s="150"/>
      <c r="M599" s="459" t="str">
        <f t="shared" si="9"/>
        <v/>
      </c>
    </row>
    <row r="600" spans="1:13" ht="14.45" customHeight="1" x14ac:dyDescent="0.2">
      <c r="A600" s="464"/>
      <c r="B600" s="460"/>
      <c r="C600" s="461"/>
      <c r="D600" s="461"/>
      <c r="E600" s="462"/>
      <c r="F600" s="460"/>
      <c r="G600" s="461"/>
      <c r="H600" s="461"/>
      <c r="I600" s="461"/>
      <c r="J600" s="461"/>
      <c r="K600" s="463"/>
      <c r="L600" s="150"/>
      <c r="M600" s="459" t="str">
        <f t="shared" si="9"/>
        <v/>
      </c>
    </row>
    <row r="601" spans="1:13" ht="14.45" customHeight="1" x14ac:dyDescent="0.2">
      <c r="A601" s="464"/>
      <c r="B601" s="460"/>
      <c r="C601" s="461"/>
      <c r="D601" s="461"/>
      <c r="E601" s="462"/>
      <c r="F601" s="460"/>
      <c r="G601" s="461"/>
      <c r="H601" s="461"/>
      <c r="I601" s="461"/>
      <c r="J601" s="461"/>
      <c r="K601" s="463"/>
      <c r="L601" s="150"/>
      <c r="M601" s="459" t="str">
        <f t="shared" si="9"/>
        <v/>
      </c>
    </row>
    <row r="602" spans="1:13" ht="14.45" customHeight="1" x14ac:dyDescent="0.2">
      <c r="A602" s="464"/>
      <c r="B602" s="460"/>
      <c r="C602" s="461"/>
      <c r="D602" s="461"/>
      <c r="E602" s="462"/>
      <c r="F602" s="460"/>
      <c r="G602" s="461"/>
      <c r="H602" s="461"/>
      <c r="I602" s="461"/>
      <c r="J602" s="461"/>
      <c r="K602" s="463"/>
      <c r="L602" s="150"/>
      <c r="M602" s="459" t="str">
        <f t="shared" si="9"/>
        <v/>
      </c>
    </row>
    <row r="603" spans="1:13" ht="14.45" customHeight="1" x14ac:dyDescent="0.2">
      <c r="A603" s="464"/>
      <c r="B603" s="460"/>
      <c r="C603" s="461"/>
      <c r="D603" s="461"/>
      <c r="E603" s="462"/>
      <c r="F603" s="460"/>
      <c r="G603" s="461"/>
      <c r="H603" s="461"/>
      <c r="I603" s="461"/>
      <c r="J603" s="461"/>
      <c r="K603" s="463"/>
      <c r="L603" s="150"/>
      <c r="M603" s="459" t="str">
        <f t="shared" si="9"/>
        <v/>
      </c>
    </row>
    <row r="604" spans="1:13" ht="14.45" customHeight="1" x14ac:dyDescent="0.2">
      <c r="A604" s="464"/>
      <c r="B604" s="460"/>
      <c r="C604" s="461"/>
      <c r="D604" s="461"/>
      <c r="E604" s="462"/>
      <c r="F604" s="460"/>
      <c r="G604" s="461"/>
      <c r="H604" s="461"/>
      <c r="I604" s="461"/>
      <c r="J604" s="461"/>
      <c r="K604" s="463"/>
      <c r="L604" s="150"/>
      <c r="M604" s="459" t="str">
        <f t="shared" si="9"/>
        <v/>
      </c>
    </row>
    <row r="605" spans="1:13" ht="14.45" customHeight="1" x14ac:dyDescent="0.2">
      <c r="A605" s="464"/>
      <c r="B605" s="460"/>
      <c r="C605" s="461"/>
      <c r="D605" s="461"/>
      <c r="E605" s="462"/>
      <c r="F605" s="460"/>
      <c r="G605" s="461"/>
      <c r="H605" s="461"/>
      <c r="I605" s="461"/>
      <c r="J605" s="461"/>
      <c r="K605" s="463"/>
      <c r="L605" s="150"/>
      <c r="M605" s="459" t="str">
        <f t="shared" si="9"/>
        <v/>
      </c>
    </row>
    <row r="606" spans="1:13" ht="14.45" customHeight="1" x14ac:dyDescent="0.2">
      <c r="A606" s="464"/>
      <c r="B606" s="460"/>
      <c r="C606" s="461"/>
      <c r="D606" s="461"/>
      <c r="E606" s="462"/>
      <c r="F606" s="460"/>
      <c r="G606" s="461"/>
      <c r="H606" s="461"/>
      <c r="I606" s="461"/>
      <c r="J606" s="461"/>
      <c r="K606" s="463"/>
      <c r="L606" s="150"/>
      <c r="M606" s="459" t="str">
        <f t="shared" si="9"/>
        <v/>
      </c>
    </row>
    <row r="607" spans="1:13" ht="14.45" customHeight="1" x14ac:dyDescent="0.2">
      <c r="A607" s="464"/>
      <c r="B607" s="460"/>
      <c r="C607" s="461"/>
      <c r="D607" s="461"/>
      <c r="E607" s="462"/>
      <c r="F607" s="460"/>
      <c r="G607" s="461"/>
      <c r="H607" s="461"/>
      <c r="I607" s="461"/>
      <c r="J607" s="461"/>
      <c r="K607" s="463"/>
      <c r="L607" s="150"/>
      <c r="M607" s="459" t="str">
        <f t="shared" si="9"/>
        <v/>
      </c>
    </row>
    <row r="608" spans="1:13" ht="14.45" customHeight="1" x14ac:dyDescent="0.2">
      <c r="A608" s="464"/>
      <c r="B608" s="460"/>
      <c r="C608" s="461"/>
      <c r="D608" s="461"/>
      <c r="E608" s="462"/>
      <c r="F608" s="460"/>
      <c r="G608" s="461"/>
      <c r="H608" s="461"/>
      <c r="I608" s="461"/>
      <c r="J608" s="461"/>
      <c r="K608" s="463"/>
      <c r="L608" s="150"/>
      <c r="M608" s="459" t="str">
        <f t="shared" si="9"/>
        <v/>
      </c>
    </row>
    <row r="609" spans="1:13" ht="14.45" customHeight="1" x14ac:dyDescent="0.2">
      <c r="A609" s="464"/>
      <c r="B609" s="460"/>
      <c r="C609" s="461"/>
      <c r="D609" s="461"/>
      <c r="E609" s="462"/>
      <c r="F609" s="460"/>
      <c r="G609" s="461"/>
      <c r="H609" s="461"/>
      <c r="I609" s="461"/>
      <c r="J609" s="461"/>
      <c r="K609" s="463"/>
      <c r="L609" s="150"/>
      <c r="M609" s="459" t="str">
        <f t="shared" si="9"/>
        <v/>
      </c>
    </row>
    <row r="610" spans="1:13" ht="14.45" customHeight="1" x14ac:dyDescent="0.2">
      <c r="A610" s="464"/>
      <c r="B610" s="460"/>
      <c r="C610" s="461"/>
      <c r="D610" s="461"/>
      <c r="E610" s="462"/>
      <c r="F610" s="460"/>
      <c r="G610" s="461"/>
      <c r="H610" s="461"/>
      <c r="I610" s="461"/>
      <c r="J610" s="461"/>
      <c r="K610" s="463"/>
      <c r="L610" s="150"/>
      <c r="M610" s="459" t="str">
        <f t="shared" si="9"/>
        <v/>
      </c>
    </row>
    <row r="611" spans="1:13" ht="14.45" customHeight="1" x14ac:dyDescent="0.2">
      <c r="A611" s="464"/>
      <c r="B611" s="460"/>
      <c r="C611" s="461"/>
      <c r="D611" s="461"/>
      <c r="E611" s="462"/>
      <c r="F611" s="460"/>
      <c r="G611" s="461"/>
      <c r="H611" s="461"/>
      <c r="I611" s="461"/>
      <c r="J611" s="461"/>
      <c r="K611" s="463"/>
      <c r="L611" s="150"/>
      <c r="M611" s="459" t="str">
        <f t="shared" si="9"/>
        <v/>
      </c>
    </row>
    <row r="612" spans="1:13" ht="14.45" customHeight="1" x14ac:dyDescent="0.2">
      <c r="A612" s="464"/>
      <c r="B612" s="460"/>
      <c r="C612" s="461"/>
      <c r="D612" s="461"/>
      <c r="E612" s="462"/>
      <c r="F612" s="460"/>
      <c r="G612" s="461"/>
      <c r="H612" s="461"/>
      <c r="I612" s="461"/>
      <c r="J612" s="461"/>
      <c r="K612" s="463"/>
      <c r="L612" s="150"/>
      <c r="M612" s="459" t="str">
        <f t="shared" si="9"/>
        <v/>
      </c>
    </row>
    <row r="613" spans="1:13" ht="14.45" customHeight="1" x14ac:dyDescent="0.2">
      <c r="A613" s="464"/>
      <c r="B613" s="460"/>
      <c r="C613" s="461"/>
      <c r="D613" s="461"/>
      <c r="E613" s="462"/>
      <c r="F613" s="460"/>
      <c r="G613" s="461"/>
      <c r="H613" s="461"/>
      <c r="I613" s="461"/>
      <c r="J613" s="461"/>
      <c r="K613" s="463"/>
      <c r="L613" s="150"/>
      <c r="M613" s="459" t="str">
        <f t="shared" si="9"/>
        <v/>
      </c>
    </row>
    <row r="614" spans="1:13" ht="14.45" customHeight="1" x14ac:dyDescent="0.2">
      <c r="A614" s="464"/>
      <c r="B614" s="460"/>
      <c r="C614" s="461"/>
      <c r="D614" s="461"/>
      <c r="E614" s="462"/>
      <c r="F614" s="460"/>
      <c r="G614" s="461"/>
      <c r="H614" s="461"/>
      <c r="I614" s="461"/>
      <c r="J614" s="461"/>
      <c r="K614" s="463"/>
      <c r="L614" s="150"/>
      <c r="M614" s="459" t="str">
        <f t="shared" si="9"/>
        <v/>
      </c>
    </row>
    <row r="615" spans="1:13" ht="14.45" customHeight="1" x14ac:dyDescent="0.2">
      <c r="A615" s="464"/>
      <c r="B615" s="460"/>
      <c r="C615" s="461"/>
      <c r="D615" s="461"/>
      <c r="E615" s="462"/>
      <c r="F615" s="460"/>
      <c r="G615" s="461"/>
      <c r="H615" s="461"/>
      <c r="I615" s="461"/>
      <c r="J615" s="461"/>
      <c r="K615" s="463"/>
      <c r="L615" s="150"/>
      <c r="M615" s="459" t="str">
        <f t="shared" si="9"/>
        <v/>
      </c>
    </row>
    <row r="616" spans="1:13" ht="14.45" customHeight="1" x14ac:dyDescent="0.2">
      <c r="A616" s="464"/>
      <c r="B616" s="460"/>
      <c r="C616" s="461"/>
      <c r="D616" s="461"/>
      <c r="E616" s="462"/>
      <c r="F616" s="460"/>
      <c r="G616" s="461"/>
      <c r="H616" s="461"/>
      <c r="I616" s="461"/>
      <c r="J616" s="461"/>
      <c r="K616" s="463"/>
      <c r="L616" s="150"/>
      <c r="M616" s="459" t="str">
        <f t="shared" si="9"/>
        <v/>
      </c>
    </row>
    <row r="617" spans="1:13" ht="14.45" customHeight="1" x14ac:dyDescent="0.2">
      <c r="A617" s="464"/>
      <c r="B617" s="460"/>
      <c r="C617" s="461"/>
      <c r="D617" s="461"/>
      <c r="E617" s="462"/>
      <c r="F617" s="460"/>
      <c r="G617" s="461"/>
      <c r="H617" s="461"/>
      <c r="I617" s="461"/>
      <c r="J617" s="461"/>
      <c r="K617" s="463"/>
      <c r="L617" s="150"/>
      <c r="M617" s="459" t="str">
        <f t="shared" si="9"/>
        <v/>
      </c>
    </row>
    <row r="618" spans="1:13" ht="14.45" customHeight="1" x14ac:dyDescent="0.2">
      <c r="A618" s="464"/>
      <c r="B618" s="460"/>
      <c r="C618" s="461"/>
      <c r="D618" s="461"/>
      <c r="E618" s="462"/>
      <c r="F618" s="460"/>
      <c r="G618" s="461"/>
      <c r="H618" s="461"/>
      <c r="I618" s="461"/>
      <c r="J618" s="461"/>
      <c r="K618" s="463"/>
      <c r="L618" s="150"/>
      <c r="M618" s="459" t="str">
        <f t="shared" si="9"/>
        <v/>
      </c>
    </row>
    <row r="619" spans="1:13" ht="14.45" customHeight="1" x14ac:dyDescent="0.2">
      <c r="A619" s="464"/>
      <c r="B619" s="460"/>
      <c r="C619" s="461"/>
      <c r="D619" s="461"/>
      <c r="E619" s="462"/>
      <c r="F619" s="460"/>
      <c r="G619" s="461"/>
      <c r="H619" s="461"/>
      <c r="I619" s="461"/>
      <c r="J619" s="461"/>
      <c r="K619" s="463"/>
      <c r="L619" s="150"/>
      <c r="M619" s="459" t="str">
        <f t="shared" si="9"/>
        <v/>
      </c>
    </row>
    <row r="620" spans="1:13" ht="14.45" customHeight="1" x14ac:dyDescent="0.2">
      <c r="A620" s="464"/>
      <c r="B620" s="460"/>
      <c r="C620" s="461"/>
      <c r="D620" s="461"/>
      <c r="E620" s="462"/>
      <c r="F620" s="460"/>
      <c r="G620" s="461"/>
      <c r="H620" s="461"/>
      <c r="I620" s="461"/>
      <c r="J620" s="461"/>
      <c r="K620" s="463"/>
      <c r="L620" s="150"/>
      <c r="M620" s="459" t="str">
        <f t="shared" si="9"/>
        <v/>
      </c>
    </row>
    <row r="621" spans="1:13" ht="14.45" customHeight="1" x14ac:dyDescent="0.2">
      <c r="A621" s="464"/>
      <c r="B621" s="460"/>
      <c r="C621" s="461"/>
      <c r="D621" s="461"/>
      <c r="E621" s="462"/>
      <c r="F621" s="460"/>
      <c r="G621" s="461"/>
      <c r="H621" s="461"/>
      <c r="I621" s="461"/>
      <c r="J621" s="461"/>
      <c r="K621" s="463"/>
      <c r="L621" s="150"/>
      <c r="M621" s="459" t="str">
        <f t="shared" si="9"/>
        <v/>
      </c>
    </row>
    <row r="622" spans="1:13" ht="14.45" customHeight="1" x14ac:dyDescent="0.2">
      <c r="A622" s="464"/>
      <c r="B622" s="460"/>
      <c r="C622" s="461"/>
      <c r="D622" s="461"/>
      <c r="E622" s="462"/>
      <c r="F622" s="460"/>
      <c r="G622" s="461"/>
      <c r="H622" s="461"/>
      <c r="I622" s="461"/>
      <c r="J622" s="461"/>
      <c r="K622" s="463"/>
      <c r="L622" s="150"/>
      <c r="M622" s="459" t="str">
        <f t="shared" si="9"/>
        <v/>
      </c>
    </row>
    <row r="623" spans="1:13" ht="14.45" customHeight="1" x14ac:dyDescent="0.2">
      <c r="A623" s="464"/>
      <c r="B623" s="460"/>
      <c r="C623" s="461"/>
      <c r="D623" s="461"/>
      <c r="E623" s="462"/>
      <c r="F623" s="460"/>
      <c r="G623" s="461"/>
      <c r="H623" s="461"/>
      <c r="I623" s="461"/>
      <c r="J623" s="461"/>
      <c r="K623" s="463"/>
      <c r="L623" s="150"/>
      <c r="M623" s="459" t="str">
        <f t="shared" si="9"/>
        <v/>
      </c>
    </row>
    <row r="624" spans="1:13" ht="14.45" customHeight="1" x14ac:dyDescent="0.2">
      <c r="A624" s="464"/>
      <c r="B624" s="460"/>
      <c r="C624" s="461"/>
      <c r="D624" s="461"/>
      <c r="E624" s="462"/>
      <c r="F624" s="460"/>
      <c r="G624" s="461"/>
      <c r="H624" s="461"/>
      <c r="I624" s="461"/>
      <c r="J624" s="461"/>
      <c r="K624" s="463"/>
      <c r="L624" s="150"/>
      <c r="M624" s="459" t="str">
        <f t="shared" si="9"/>
        <v/>
      </c>
    </row>
    <row r="625" spans="1:13" ht="14.45" customHeight="1" x14ac:dyDescent="0.2">
      <c r="A625" s="464"/>
      <c r="B625" s="460"/>
      <c r="C625" s="461"/>
      <c r="D625" s="461"/>
      <c r="E625" s="462"/>
      <c r="F625" s="460"/>
      <c r="G625" s="461"/>
      <c r="H625" s="461"/>
      <c r="I625" s="461"/>
      <c r="J625" s="461"/>
      <c r="K625" s="463"/>
      <c r="L625" s="150"/>
      <c r="M625" s="459" t="str">
        <f t="shared" si="9"/>
        <v/>
      </c>
    </row>
    <row r="626" spans="1:13" ht="14.45" customHeight="1" x14ac:dyDescent="0.2">
      <c r="A626" s="464"/>
      <c r="B626" s="460"/>
      <c r="C626" s="461"/>
      <c r="D626" s="461"/>
      <c r="E626" s="462"/>
      <c r="F626" s="460"/>
      <c r="G626" s="461"/>
      <c r="H626" s="461"/>
      <c r="I626" s="461"/>
      <c r="J626" s="461"/>
      <c r="K626" s="463"/>
      <c r="L626" s="150"/>
      <c r="M626" s="459" t="str">
        <f t="shared" si="9"/>
        <v/>
      </c>
    </row>
    <row r="627" spans="1:13" ht="14.45" customHeight="1" x14ac:dyDescent="0.2">
      <c r="A627" s="464"/>
      <c r="B627" s="460"/>
      <c r="C627" s="461"/>
      <c r="D627" s="461"/>
      <c r="E627" s="462"/>
      <c r="F627" s="460"/>
      <c r="G627" s="461"/>
      <c r="H627" s="461"/>
      <c r="I627" s="461"/>
      <c r="J627" s="461"/>
      <c r="K627" s="463"/>
      <c r="L627" s="150"/>
      <c r="M627" s="459" t="str">
        <f t="shared" si="9"/>
        <v/>
      </c>
    </row>
    <row r="628" spans="1:13" ht="14.45" customHeight="1" x14ac:dyDescent="0.2">
      <c r="A628" s="464"/>
      <c r="B628" s="460"/>
      <c r="C628" s="461"/>
      <c r="D628" s="461"/>
      <c r="E628" s="462"/>
      <c r="F628" s="460"/>
      <c r="G628" s="461"/>
      <c r="H628" s="461"/>
      <c r="I628" s="461"/>
      <c r="J628" s="461"/>
      <c r="K628" s="463"/>
      <c r="L628" s="150"/>
      <c r="M628" s="459" t="str">
        <f t="shared" si="9"/>
        <v/>
      </c>
    </row>
    <row r="629" spans="1:13" ht="14.45" customHeight="1" x14ac:dyDescent="0.2">
      <c r="A629" s="464"/>
      <c r="B629" s="460"/>
      <c r="C629" s="461"/>
      <c r="D629" s="461"/>
      <c r="E629" s="462"/>
      <c r="F629" s="460"/>
      <c r="G629" s="461"/>
      <c r="H629" s="461"/>
      <c r="I629" s="461"/>
      <c r="J629" s="461"/>
      <c r="K629" s="463"/>
      <c r="L629" s="150"/>
      <c r="M629" s="459" t="str">
        <f t="shared" si="9"/>
        <v/>
      </c>
    </row>
    <row r="630" spans="1:13" ht="14.45" customHeight="1" x14ac:dyDescent="0.2">
      <c r="A630" s="464"/>
      <c r="B630" s="460"/>
      <c r="C630" s="461"/>
      <c r="D630" s="461"/>
      <c r="E630" s="462"/>
      <c r="F630" s="460"/>
      <c r="G630" s="461"/>
      <c r="H630" s="461"/>
      <c r="I630" s="461"/>
      <c r="J630" s="461"/>
      <c r="K630" s="463"/>
      <c r="L630" s="150"/>
      <c r="M630" s="459" t="str">
        <f t="shared" si="9"/>
        <v/>
      </c>
    </row>
    <row r="631" spans="1:13" ht="14.45" customHeight="1" x14ac:dyDescent="0.2">
      <c r="A631" s="464"/>
      <c r="B631" s="460"/>
      <c r="C631" s="461"/>
      <c r="D631" s="461"/>
      <c r="E631" s="462"/>
      <c r="F631" s="460"/>
      <c r="G631" s="461"/>
      <c r="H631" s="461"/>
      <c r="I631" s="461"/>
      <c r="J631" s="461"/>
      <c r="K631" s="463"/>
      <c r="L631" s="150"/>
      <c r="M631" s="459" t="str">
        <f t="shared" si="9"/>
        <v/>
      </c>
    </row>
    <row r="632" spans="1:13" ht="14.45" customHeight="1" x14ac:dyDescent="0.2">
      <c r="A632" s="464"/>
      <c r="B632" s="460"/>
      <c r="C632" s="461"/>
      <c r="D632" s="461"/>
      <c r="E632" s="462"/>
      <c r="F632" s="460"/>
      <c r="G632" s="461"/>
      <c r="H632" s="461"/>
      <c r="I632" s="461"/>
      <c r="J632" s="461"/>
      <c r="K632" s="463"/>
      <c r="L632" s="150"/>
      <c r="M632" s="459" t="str">
        <f t="shared" si="9"/>
        <v/>
      </c>
    </row>
    <row r="633" spans="1:13" ht="14.45" customHeight="1" x14ac:dyDescent="0.2">
      <c r="A633" s="464"/>
      <c r="B633" s="460"/>
      <c r="C633" s="461"/>
      <c r="D633" s="461"/>
      <c r="E633" s="462"/>
      <c r="F633" s="460"/>
      <c r="G633" s="461"/>
      <c r="H633" s="461"/>
      <c r="I633" s="461"/>
      <c r="J633" s="461"/>
      <c r="K633" s="463"/>
      <c r="L633" s="150"/>
      <c r="M633" s="459" t="str">
        <f t="shared" si="9"/>
        <v/>
      </c>
    </row>
    <row r="634" spans="1:13" ht="14.45" customHeight="1" x14ac:dyDescent="0.2">
      <c r="A634" s="464"/>
      <c r="B634" s="460"/>
      <c r="C634" s="461"/>
      <c r="D634" s="461"/>
      <c r="E634" s="462"/>
      <c r="F634" s="460"/>
      <c r="G634" s="461"/>
      <c r="H634" s="461"/>
      <c r="I634" s="461"/>
      <c r="J634" s="461"/>
      <c r="K634" s="463"/>
      <c r="L634" s="150"/>
      <c r="M634" s="459" t="str">
        <f t="shared" si="9"/>
        <v/>
      </c>
    </row>
    <row r="635" spans="1:13" ht="14.45" customHeight="1" x14ac:dyDescent="0.2">
      <c r="A635" s="464"/>
      <c r="B635" s="460"/>
      <c r="C635" s="461"/>
      <c r="D635" s="461"/>
      <c r="E635" s="462"/>
      <c r="F635" s="460"/>
      <c r="G635" s="461"/>
      <c r="H635" s="461"/>
      <c r="I635" s="461"/>
      <c r="J635" s="461"/>
      <c r="K635" s="463"/>
      <c r="L635" s="150"/>
      <c r="M635" s="459" t="str">
        <f t="shared" si="9"/>
        <v/>
      </c>
    </row>
    <row r="636" spans="1:13" ht="14.45" customHeight="1" x14ac:dyDescent="0.2">
      <c r="A636" s="464"/>
      <c r="B636" s="460"/>
      <c r="C636" s="461"/>
      <c r="D636" s="461"/>
      <c r="E636" s="462"/>
      <c r="F636" s="460"/>
      <c r="G636" s="461"/>
      <c r="H636" s="461"/>
      <c r="I636" s="461"/>
      <c r="J636" s="461"/>
      <c r="K636" s="463"/>
      <c r="L636" s="150"/>
      <c r="M636" s="459" t="str">
        <f t="shared" si="9"/>
        <v/>
      </c>
    </row>
    <row r="637" spans="1:13" ht="14.45" customHeight="1" x14ac:dyDescent="0.2">
      <c r="A637" s="464"/>
      <c r="B637" s="460"/>
      <c r="C637" s="461"/>
      <c r="D637" s="461"/>
      <c r="E637" s="462"/>
      <c r="F637" s="460"/>
      <c r="G637" s="461"/>
      <c r="H637" s="461"/>
      <c r="I637" s="461"/>
      <c r="J637" s="461"/>
      <c r="K637" s="463"/>
      <c r="L637" s="150"/>
      <c r="M637" s="459" t="str">
        <f t="shared" si="9"/>
        <v/>
      </c>
    </row>
    <row r="638" spans="1:13" ht="14.45" customHeight="1" x14ac:dyDescent="0.2">
      <c r="A638" s="464"/>
      <c r="B638" s="460"/>
      <c r="C638" s="461"/>
      <c r="D638" s="461"/>
      <c r="E638" s="462"/>
      <c r="F638" s="460"/>
      <c r="G638" s="461"/>
      <c r="H638" s="461"/>
      <c r="I638" s="461"/>
      <c r="J638" s="461"/>
      <c r="K638" s="463"/>
      <c r="L638" s="150"/>
      <c r="M638" s="459" t="str">
        <f t="shared" si="9"/>
        <v/>
      </c>
    </row>
    <row r="639" spans="1:13" ht="14.45" customHeight="1" x14ac:dyDescent="0.2">
      <c r="A639" s="464"/>
      <c r="B639" s="460"/>
      <c r="C639" s="461"/>
      <c r="D639" s="461"/>
      <c r="E639" s="462"/>
      <c r="F639" s="460"/>
      <c r="G639" s="461"/>
      <c r="H639" s="461"/>
      <c r="I639" s="461"/>
      <c r="J639" s="461"/>
      <c r="K639" s="463"/>
      <c r="L639" s="150"/>
      <c r="M639" s="459" t="str">
        <f t="shared" si="9"/>
        <v/>
      </c>
    </row>
    <row r="640" spans="1:13" ht="14.45" customHeight="1" x14ac:dyDescent="0.2">
      <c r="A640" s="464"/>
      <c r="B640" s="460"/>
      <c r="C640" s="461"/>
      <c r="D640" s="461"/>
      <c r="E640" s="462"/>
      <c r="F640" s="460"/>
      <c r="G640" s="461"/>
      <c r="H640" s="461"/>
      <c r="I640" s="461"/>
      <c r="J640" s="461"/>
      <c r="K640" s="463"/>
      <c r="L640" s="150"/>
      <c r="M640" s="459" t="str">
        <f t="shared" si="9"/>
        <v/>
      </c>
    </row>
    <row r="641" spans="1:13" ht="14.45" customHeight="1" x14ac:dyDescent="0.2">
      <c r="A641" s="464"/>
      <c r="B641" s="460"/>
      <c r="C641" s="461"/>
      <c r="D641" s="461"/>
      <c r="E641" s="462"/>
      <c r="F641" s="460"/>
      <c r="G641" s="461"/>
      <c r="H641" s="461"/>
      <c r="I641" s="461"/>
      <c r="J641" s="461"/>
      <c r="K641" s="463"/>
      <c r="L641" s="150"/>
      <c r="M641" s="459" t="str">
        <f t="shared" si="9"/>
        <v/>
      </c>
    </row>
    <row r="642" spans="1:13" ht="14.45" customHeight="1" x14ac:dyDescent="0.2">
      <c r="A642" s="464"/>
      <c r="B642" s="460"/>
      <c r="C642" s="461"/>
      <c r="D642" s="461"/>
      <c r="E642" s="462"/>
      <c r="F642" s="460"/>
      <c r="G642" s="461"/>
      <c r="H642" s="461"/>
      <c r="I642" s="461"/>
      <c r="J642" s="461"/>
      <c r="K642" s="463"/>
      <c r="L642" s="150"/>
      <c r="M642" s="459" t="str">
        <f t="shared" si="9"/>
        <v/>
      </c>
    </row>
    <row r="643" spans="1:13" ht="14.45" customHeight="1" x14ac:dyDescent="0.2">
      <c r="A643" s="464"/>
      <c r="B643" s="460"/>
      <c r="C643" s="461"/>
      <c r="D643" s="461"/>
      <c r="E643" s="462"/>
      <c r="F643" s="460"/>
      <c r="G643" s="461"/>
      <c r="H643" s="461"/>
      <c r="I643" s="461"/>
      <c r="J643" s="461"/>
      <c r="K643" s="463"/>
      <c r="L643" s="150"/>
      <c r="M643" s="459" t="str">
        <f t="shared" si="9"/>
        <v/>
      </c>
    </row>
    <row r="644" spans="1:13" ht="14.45" customHeight="1" x14ac:dyDescent="0.2">
      <c r="A644" s="464"/>
      <c r="B644" s="460"/>
      <c r="C644" s="461"/>
      <c r="D644" s="461"/>
      <c r="E644" s="462"/>
      <c r="F644" s="460"/>
      <c r="G644" s="461"/>
      <c r="H644" s="461"/>
      <c r="I644" s="461"/>
      <c r="J644" s="461"/>
      <c r="K644" s="463"/>
      <c r="L644" s="150"/>
      <c r="M644" s="459" t="str">
        <f t="shared" si="9"/>
        <v/>
      </c>
    </row>
    <row r="645" spans="1:13" ht="14.45" customHeight="1" x14ac:dyDescent="0.2">
      <c r="A645" s="464"/>
      <c r="B645" s="460"/>
      <c r="C645" s="461"/>
      <c r="D645" s="461"/>
      <c r="E645" s="462"/>
      <c r="F645" s="460"/>
      <c r="G645" s="461"/>
      <c r="H645" s="461"/>
      <c r="I645" s="461"/>
      <c r="J645" s="461"/>
      <c r="K645" s="463"/>
      <c r="L645" s="150"/>
      <c r="M645" s="459" t="str">
        <f t="shared" si="9"/>
        <v/>
      </c>
    </row>
    <row r="646" spans="1:13" ht="14.45" customHeight="1" x14ac:dyDescent="0.2">
      <c r="A646" s="464"/>
      <c r="B646" s="460"/>
      <c r="C646" s="461"/>
      <c r="D646" s="461"/>
      <c r="E646" s="462"/>
      <c r="F646" s="460"/>
      <c r="G646" s="461"/>
      <c r="H646" s="461"/>
      <c r="I646" s="461"/>
      <c r="J646" s="461"/>
      <c r="K646" s="463"/>
      <c r="L646" s="150"/>
      <c r="M646" s="459" t="str">
        <f t="shared" ref="M646:M709" si="10">IF(A646="HV","HV",IF(OR(LEFT(A646,16)="               5",LEFT(A646,16)="               6",LEFT(A646,16)="               7",LEFT(A646,16)="               8"),"X",""))</f>
        <v/>
      </c>
    </row>
    <row r="647" spans="1:13" ht="14.45" customHeight="1" x14ac:dyDescent="0.2">
      <c r="A647" s="464"/>
      <c r="B647" s="460"/>
      <c r="C647" s="461"/>
      <c r="D647" s="461"/>
      <c r="E647" s="462"/>
      <c r="F647" s="460"/>
      <c r="G647" s="461"/>
      <c r="H647" s="461"/>
      <c r="I647" s="461"/>
      <c r="J647" s="461"/>
      <c r="K647" s="463"/>
      <c r="L647" s="150"/>
      <c r="M647" s="459" t="str">
        <f t="shared" si="10"/>
        <v/>
      </c>
    </row>
    <row r="648" spans="1:13" ht="14.45" customHeight="1" x14ac:dyDescent="0.2">
      <c r="A648" s="464"/>
      <c r="B648" s="460"/>
      <c r="C648" s="461"/>
      <c r="D648" s="461"/>
      <c r="E648" s="462"/>
      <c r="F648" s="460"/>
      <c r="G648" s="461"/>
      <c r="H648" s="461"/>
      <c r="I648" s="461"/>
      <c r="J648" s="461"/>
      <c r="K648" s="463"/>
      <c r="L648" s="150"/>
      <c r="M648" s="459" t="str">
        <f t="shared" si="10"/>
        <v/>
      </c>
    </row>
    <row r="649" spans="1:13" ht="14.45" customHeight="1" x14ac:dyDescent="0.2">
      <c r="A649" s="464"/>
      <c r="B649" s="460"/>
      <c r="C649" s="461"/>
      <c r="D649" s="461"/>
      <c r="E649" s="462"/>
      <c r="F649" s="460"/>
      <c r="G649" s="461"/>
      <c r="H649" s="461"/>
      <c r="I649" s="461"/>
      <c r="J649" s="461"/>
      <c r="K649" s="463"/>
      <c r="L649" s="150"/>
      <c r="M649" s="459" t="str">
        <f t="shared" si="10"/>
        <v/>
      </c>
    </row>
    <row r="650" spans="1:13" ht="14.45" customHeight="1" x14ac:dyDescent="0.2">
      <c r="A650" s="464"/>
      <c r="B650" s="460"/>
      <c r="C650" s="461"/>
      <c r="D650" s="461"/>
      <c r="E650" s="462"/>
      <c r="F650" s="460"/>
      <c r="G650" s="461"/>
      <c r="H650" s="461"/>
      <c r="I650" s="461"/>
      <c r="J650" s="461"/>
      <c r="K650" s="463"/>
      <c r="L650" s="150"/>
      <c r="M650" s="459" t="str">
        <f t="shared" si="10"/>
        <v/>
      </c>
    </row>
    <row r="651" spans="1:13" ht="14.45" customHeight="1" x14ac:dyDescent="0.2">
      <c r="A651" s="464"/>
      <c r="B651" s="460"/>
      <c r="C651" s="461"/>
      <c r="D651" s="461"/>
      <c r="E651" s="462"/>
      <c r="F651" s="460"/>
      <c r="G651" s="461"/>
      <c r="H651" s="461"/>
      <c r="I651" s="461"/>
      <c r="J651" s="461"/>
      <c r="K651" s="463"/>
      <c r="L651" s="150"/>
      <c r="M651" s="459" t="str">
        <f t="shared" si="10"/>
        <v/>
      </c>
    </row>
    <row r="652" spans="1:13" ht="14.45" customHeight="1" x14ac:dyDescent="0.2">
      <c r="A652" s="464"/>
      <c r="B652" s="460"/>
      <c r="C652" s="461"/>
      <c r="D652" s="461"/>
      <c r="E652" s="462"/>
      <c r="F652" s="460"/>
      <c r="G652" s="461"/>
      <c r="H652" s="461"/>
      <c r="I652" s="461"/>
      <c r="J652" s="461"/>
      <c r="K652" s="463"/>
      <c r="L652" s="150"/>
      <c r="M652" s="459" t="str">
        <f t="shared" si="10"/>
        <v/>
      </c>
    </row>
    <row r="653" spans="1:13" ht="14.45" customHeight="1" x14ac:dyDescent="0.2">
      <c r="A653" s="464"/>
      <c r="B653" s="460"/>
      <c r="C653" s="461"/>
      <c r="D653" s="461"/>
      <c r="E653" s="462"/>
      <c r="F653" s="460"/>
      <c r="G653" s="461"/>
      <c r="H653" s="461"/>
      <c r="I653" s="461"/>
      <c r="J653" s="461"/>
      <c r="K653" s="463"/>
      <c r="L653" s="150"/>
      <c r="M653" s="459" t="str">
        <f t="shared" si="10"/>
        <v/>
      </c>
    </row>
    <row r="654" spans="1:13" ht="14.45" customHeight="1" x14ac:dyDescent="0.2">
      <c r="A654" s="464"/>
      <c r="B654" s="460"/>
      <c r="C654" s="461"/>
      <c r="D654" s="461"/>
      <c r="E654" s="462"/>
      <c r="F654" s="460"/>
      <c r="G654" s="461"/>
      <c r="H654" s="461"/>
      <c r="I654" s="461"/>
      <c r="J654" s="461"/>
      <c r="K654" s="463"/>
      <c r="L654" s="150"/>
      <c r="M654" s="459" t="str">
        <f t="shared" si="10"/>
        <v/>
      </c>
    </row>
    <row r="655" spans="1:13" ht="14.45" customHeight="1" x14ac:dyDescent="0.2">
      <c r="A655" s="464"/>
      <c r="B655" s="460"/>
      <c r="C655" s="461"/>
      <c r="D655" s="461"/>
      <c r="E655" s="462"/>
      <c r="F655" s="460"/>
      <c r="G655" s="461"/>
      <c r="H655" s="461"/>
      <c r="I655" s="461"/>
      <c r="J655" s="461"/>
      <c r="K655" s="463"/>
      <c r="L655" s="150"/>
      <c r="M655" s="459" t="str">
        <f t="shared" si="10"/>
        <v/>
      </c>
    </row>
    <row r="656" spans="1:13" ht="14.45" customHeight="1" x14ac:dyDescent="0.2">
      <c r="A656" s="464"/>
      <c r="B656" s="460"/>
      <c r="C656" s="461"/>
      <c r="D656" s="461"/>
      <c r="E656" s="462"/>
      <c r="F656" s="460"/>
      <c r="G656" s="461"/>
      <c r="H656" s="461"/>
      <c r="I656" s="461"/>
      <c r="J656" s="461"/>
      <c r="K656" s="463"/>
      <c r="L656" s="150"/>
      <c r="M656" s="459" t="str">
        <f t="shared" si="10"/>
        <v/>
      </c>
    </row>
    <row r="657" spans="1:13" ht="14.45" customHeight="1" x14ac:dyDescent="0.2">
      <c r="A657" s="464"/>
      <c r="B657" s="460"/>
      <c r="C657" s="461"/>
      <c r="D657" s="461"/>
      <c r="E657" s="462"/>
      <c r="F657" s="460"/>
      <c r="G657" s="461"/>
      <c r="H657" s="461"/>
      <c r="I657" s="461"/>
      <c r="J657" s="461"/>
      <c r="K657" s="463"/>
      <c r="L657" s="150"/>
      <c r="M657" s="459" t="str">
        <f t="shared" si="10"/>
        <v/>
      </c>
    </row>
    <row r="658" spans="1:13" ht="14.45" customHeight="1" x14ac:dyDescent="0.2">
      <c r="A658" s="464"/>
      <c r="B658" s="460"/>
      <c r="C658" s="461"/>
      <c r="D658" s="461"/>
      <c r="E658" s="462"/>
      <c r="F658" s="460"/>
      <c r="G658" s="461"/>
      <c r="H658" s="461"/>
      <c r="I658" s="461"/>
      <c r="J658" s="461"/>
      <c r="K658" s="463"/>
      <c r="L658" s="150"/>
      <c r="M658" s="459" t="str">
        <f t="shared" si="10"/>
        <v/>
      </c>
    </row>
    <row r="659" spans="1:13" ht="14.45" customHeight="1" x14ac:dyDescent="0.2">
      <c r="A659" s="464"/>
      <c r="B659" s="460"/>
      <c r="C659" s="461"/>
      <c r="D659" s="461"/>
      <c r="E659" s="462"/>
      <c r="F659" s="460"/>
      <c r="G659" s="461"/>
      <c r="H659" s="461"/>
      <c r="I659" s="461"/>
      <c r="J659" s="461"/>
      <c r="K659" s="463"/>
      <c r="L659" s="150"/>
      <c r="M659" s="459" t="str">
        <f t="shared" si="10"/>
        <v/>
      </c>
    </row>
    <row r="660" spans="1:13" ht="14.45" customHeight="1" x14ac:dyDescent="0.2">
      <c r="A660" s="464"/>
      <c r="B660" s="460"/>
      <c r="C660" s="461"/>
      <c r="D660" s="461"/>
      <c r="E660" s="462"/>
      <c r="F660" s="460"/>
      <c r="G660" s="461"/>
      <c r="H660" s="461"/>
      <c r="I660" s="461"/>
      <c r="J660" s="461"/>
      <c r="K660" s="463"/>
      <c r="L660" s="150"/>
      <c r="M660" s="459" t="str">
        <f t="shared" si="10"/>
        <v/>
      </c>
    </row>
    <row r="661" spans="1:13" ht="14.45" customHeight="1" x14ac:dyDescent="0.2">
      <c r="A661" s="464"/>
      <c r="B661" s="460"/>
      <c r="C661" s="461"/>
      <c r="D661" s="461"/>
      <c r="E661" s="462"/>
      <c r="F661" s="460"/>
      <c r="G661" s="461"/>
      <c r="H661" s="461"/>
      <c r="I661" s="461"/>
      <c r="J661" s="461"/>
      <c r="K661" s="463"/>
      <c r="L661" s="150"/>
      <c r="M661" s="459" t="str">
        <f t="shared" si="10"/>
        <v/>
      </c>
    </row>
    <row r="662" spans="1:13" ht="14.45" customHeight="1" x14ac:dyDescent="0.2">
      <c r="A662" s="464"/>
      <c r="B662" s="460"/>
      <c r="C662" s="461"/>
      <c r="D662" s="461"/>
      <c r="E662" s="462"/>
      <c r="F662" s="460"/>
      <c r="G662" s="461"/>
      <c r="H662" s="461"/>
      <c r="I662" s="461"/>
      <c r="J662" s="461"/>
      <c r="K662" s="463"/>
      <c r="L662" s="150"/>
      <c r="M662" s="459" t="str">
        <f t="shared" si="10"/>
        <v/>
      </c>
    </row>
    <row r="663" spans="1:13" ht="14.45" customHeight="1" x14ac:dyDescent="0.2">
      <c r="A663" s="464"/>
      <c r="B663" s="460"/>
      <c r="C663" s="461"/>
      <c r="D663" s="461"/>
      <c r="E663" s="462"/>
      <c r="F663" s="460"/>
      <c r="G663" s="461"/>
      <c r="H663" s="461"/>
      <c r="I663" s="461"/>
      <c r="J663" s="461"/>
      <c r="K663" s="463"/>
      <c r="L663" s="150"/>
      <c r="M663" s="459" t="str">
        <f t="shared" si="10"/>
        <v/>
      </c>
    </row>
    <row r="664" spans="1:13" ht="14.45" customHeight="1" x14ac:dyDescent="0.2">
      <c r="A664" s="464"/>
      <c r="B664" s="460"/>
      <c r="C664" s="461"/>
      <c r="D664" s="461"/>
      <c r="E664" s="462"/>
      <c r="F664" s="460"/>
      <c r="G664" s="461"/>
      <c r="H664" s="461"/>
      <c r="I664" s="461"/>
      <c r="J664" s="461"/>
      <c r="K664" s="463"/>
      <c r="L664" s="150"/>
      <c r="M664" s="459" t="str">
        <f t="shared" si="10"/>
        <v/>
      </c>
    </row>
    <row r="665" spans="1:13" ht="14.45" customHeight="1" x14ac:dyDescent="0.2">
      <c r="A665" s="464"/>
      <c r="B665" s="460"/>
      <c r="C665" s="461"/>
      <c r="D665" s="461"/>
      <c r="E665" s="462"/>
      <c r="F665" s="460"/>
      <c r="G665" s="461"/>
      <c r="H665" s="461"/>
      <c r="I665" s="461"/>
      <c r="J665" s="461"/>
      <c r="K665" s="463"/>
      <c r="L665" s="150"/>
      <c r="M665" s="459" t="str">
        <f t="shared" si="10"/>
        <v/>
      </c>
    </row>
    <row r="666" spans="1:13" ht="14.45" customHeight="1" x14ac:dyDescent="0.2">
      <c r="A666" s="464"/>
      <c r="B666" s="460"/>
      <c r="C666" s="461"/>
      <c r="D666" s="461"/>
      <c r="E666" s="462"/>
      <c r="F666" s="460"/>
      <c r="G666" s="461"/>
      <c r="H666" s="461"/>
      <c r="I666" s="461"/>
      <c r="J666" s="461"/>
      <c r="K666" s="463"/>
      <c r="L666" s="150"/>
      <c r="M666" s="459" t="str">
        <f t="shared" si="10"/>
        <v/>
      </c>
    </row>
    <row r="667" spans="1:13" ht="14.45" customHeight="1" x14ac:dyDescent="0.2">
      <c r="A667" s="464"/>
      <c r="B667" s="460"/>
      <c r="C667" s="461"/>
      <c r="D667" s="461"/>
      <c r="E667" s="462"/>
      <c r="F667" s="460"/>
      <c r="G667" s="461"/>
      <c r="H667" s="461"/>
      <c r="I667" s="461"/>
      <c r="J667" s="461"/>
      <c r="K667" s="463"/>
      <c r="L667" s="150"/>
      <c r="M667" s="459" t="str">
        <f t="shared" si="10"/>
        <v/>
      </c>
    </row>
    <row r="668" spans="1:13" ht="14.45" customHeight="1" x14ac:dyDescent="0.2">
      <c r="A668" s="464"/>
      <c r="B668" s="460"/>
      <c r="C668" s="461"/>
      <c r="D668" s="461"/>
      <c r="E668" s="462"/>
      <c r="F668" s="460"/>
      <c r="G668" s="461"/>
      <c r="H668" s="461"/>
      <c r="I668" s="461"/>
      <c r="J668" s="461"/>
      <c r="K668" s="463"/>
      <c r="L668" s="150"/>
      <c r="M668" s="459" t="str">
        <f t="shared" si="10"/>
        <v/>
      </c>
    </row>
    <row r="669" spans="1:13" ht="14.45" customHeight="1" x14ac:dyDescent="0.2">
      <c r="A669" s="464"/>
      <c r="B669" s="460"/>
      <c r="C669" s="461"/>
      <c r="D669" s="461"/>
      <c r="E669" s="462"/>
      <c r="F669" s="460"/>
      <c r="G669" s="461"/>
      <c r="H669" s="461"/>
      <c r="I669" s="461"/>
      <c r="J669" s="461"/>
      <c r="K669" s="463"/>
      <c r="L669" s="150"/>
      <c r="M669" s="459" t="str">
        <f t="shared" si="10"/>
        <v/>
      </c>
    </row>
    <row r="670" spans="1:13" ht="14.45" customHeight="1" x14ac:dyDescent="0.2">
      <c r="A670" s="464"/>
      <c r="B670" s="460"/>
      <c r="C670" s="461"/>
      <c r="D670" s="461"/>
      <c r="E670" s="462"/>
      <c r="F670" s="460"/>
      <c r="G670" s="461"/>
      <c r="H670" s="461"/>
      <c r="I670" s="461"/>
      <c r="J670" s="461"/>
      <c r="K670" s="463"/>
      <c r="L670" s="150"/>
      <c r="M670" s="459" t="str">
        <f t="shared" si="10"/>
        <v/>
      </c>
    </row>
    <row r="671" spans="1:13" ht="14.45" customHeight="1" x14ac:dyDescent="0.2">
      <c r="A671" s="464"/>
      <c r="B671" s="460"/>
      <c r="C671" s="461"/>
      <c r="D671" s="461"/>
      <c r="E671" s="462"/>
      <c r="F671" s="460"/>
      <c r="G671" s="461"/>
      <c r="H671" s="461"/>
      <c r="I671" s="461"/>
      <c r="J671" s="461"/>
      <c r="K671" s="463"/>
      <c r="L671" s="150"/>
      <c r="M671" s="459" t="str">
        <f t="shared" si="10"/>
        <v/>
      </c>
    </row>
    <row r="672" spans="1:13" ht="14.45" customHeight="1" x14ac:dyDescent="0.2">
      <c r="A672" s="464"/>
      <c r="B672" s="460"/>
      <c r="C672" s="461"/>
      <c r="D672" s="461"/>
      <c r="E672" s="462"/>
      <c r="F672" s="460"/>
      <c r="G672" s="461"/>
      <c r="H672" s="461"/>
      <c r="I672" s="461"/>
      <c r="J672" s="461"/>
      <c r="K672" s="463"/>
      <c r="L672" s="150"/>
      <c r="M672" s="459" t="str">
        <f t="shared" si="10"/>
        <v/>
      </c>
    </row>
    <row r="673" spans="1:13" ht="14.45" customHeight="1" x14ac:dyDescent="0.2">
      <c r="A673" s="464"/>
      <c r="B673" s="460"/>
      <c r="C673" s="461"/>
      <c r="D673" s="461"/>
      <c r="E673" s="462"/>
      <c r="F673" s="460"/>
      <c r="G673" s="461"/>
      <c r="H673" s="461"/>
      <c r="I673" s="461"/>
      <c r="J673" s="461"/>
      <c r="K673" s="463"/>
      <c r="L673" s="150"/>
      <c r="M673" s="459" t="str">
        <f t="shared" si="10"/>
        <v/>
      </c>
    </row>
    <row r="674" spans="1:13" ht="14.45" customHeight="1" x14ac:dyDescent="0.2">
      <c r="A674" s="464"/>
      <c r="B674" s="460"/>
      <c r="C674" s="461"/>
      <c r="D674" s="461"/>
      <c r="E674" s="462"/>
      <c r="F674" s="460"/>
      <c r="G674" s="461"/>
      <c r="H674" s="461"/>
      <c r="I674" s="461"/>
      <c r="J674" s="461"/>
      <c r="K674" s="463"/>
      <c r="L674" s="150"/>
      <c r="M674" s="459" t="str">
        <f t="shared" si="10"/>
        <v/>
      </c>
    </row>
    <row r="675" spans="1:13" ht="14.45" customHeight="1" x14ac:dyDescent="0.2">
      <c r="A675" s="464"/>
      <c r="B675" s="460"/>
      <c r="C675" s="461"/>
      <c r="D675" s="461"/>
      <c r="E675" s="462"/>
      <c r="F675" s="460"/>
      <c r="G675" s="461"/>
      <c r="H675" s="461"/>
      <c r="I675" s="461"/>
      <c r="J675" s="461"/>
      <c r="K675" s="463"/>
      <c r="L675" s="150"/>
      <c r="M675" s="459" t="str">
        <f t="shared" si="10"/>
        <v/>
      </c>
    </row>
    <row r="676" spans="1:13" ht="14.45" customHeight="1" x14ac:dyDescent="0.2">
      <c r="A676" s="464"/>
      <c r="B676" s="460"/>
      <c r="C676" s="461"/>
      <c r="D676" s="461"/>
      <c r="E676" s="462"/>
      <c r="F676" s="460"/>
      <c r="G676" s="461"/>
      <c r="H676" s="461"/>
      <c r="I676" s="461"/>
      <c r="J676" s="461"/>
      <c r="K676" s="463"/>
      <c r="L676" s="150"/>
      <c r="M676" s="459" t="str">
        <f t="shared" si="10"/>
        <v/>
      </c>
    </row>
    <row r="677" spans="1:13" ht="14.45" customHeight="1" x14ac:dyDescent="0.2">
      <c r="A677" s="464"/>
      <c r="B677" s="460"/>
      <c r="C677" s="461"/>
      <c r="D677" s="461"/>
      <c r="E677" s="462"/>
      <c r="F677" s="460"/>
      <c r="G677" s="461"/>
      <c r="H677" s="461"/>
      <c r="I677" s="461"/>
      <c r="J677" s="461"/>
      <c r="K677" s="463"/>
      <c r="L677" s="150"/>
      <c r="M677" s="459" t="str">
        <f t="shared" si="10"/>
        <v/>
      </c>
    </row>
    <row r="678" spans="1:13" ht="14.45" customHeight="1" x14ac:dyDescent="0.2">
      <c r="A678" s="464"/>
      <c r="B678" s="460"/>
      <c r="C678" s="461"/>
      <c r="D678" s="461"/>
      <c r="E678" s="462"/>
      <c r="F678" s="460"/>
      <c r="G678" s="461"/>
      <c r="H678" s="461"/>
      <c r="I678" s="461"/>
      <c r="J678" s="461"/>
      <c r="K678" s="463"/>
      <c r="L678" s="150"/>
      <c r="M678" s="459" t="str">
        <f t="shared" si="10"/>
        <v/>
      </c>
    </row>
    <row r="679" spans="1:13" ht="14.45" customHeight="1" x14ac:dyDescent="0.2">
      <c r="A679" s="464"/>
      <c r="B679" s="460"/>
      <c r="C679" s="461"/>
      <c r="D679" s="461"/>
      <c r="E679" s="462"/>
      <c r="F679" s="460"/>
      <c r="G679" s="461"/>
      <c r="H679" s="461"/>
      <c r="I679" s="461"/>
      <c r="J679" s="461"/>
      <c r="K679" s="463"/>
      <c r="L679" s="150"/>
      <c r="M679" s="459" t="str">
        <f t="shared" si="10"/>
        <v/>
      </c>
    </row>
    <row r="680" spans="1:13" ht="14.45" customHeight="1" x14ac:dyDescent="0.2">
      <c r="A680" s="464"/>
      <c r="B680" s="460"/>
      <c r="C680" s="461"/>
      <c r="D680" s="461"/>
      <c r="E680" s="462"/>
      <c r="F680" s="460"/>
      <c r="G680" s="461"/>
      <c r="H680" s="461"/>
      <c r="I680" s="461"/>
      <c r="J680" s="461"/>
      <c r="K680" s="463"/>
      <c r="L680" s="150"/>
      <c r="M680" s="459" t="str">
        <f t="shared" si="10"/>
        <v/>
      </c>
    </row>
    <row r="681" spans="1:13" ht="14.45" customHeight="1" x14ac:dyDescent="0.2">
      <c r="A681" s="464"/>
      <c r="B681" s="460"/>
      <c r="C681" s="461"/>
      <c r="D681" s="461"/>
      <c r="E681" s="462"/>
      <c r="F681" s="460"/>
      <c r="G681" s="461"/>
      <c r="H681" s="461"/>
      <c r="I681" s="461"/>
      <c r="J681" s="461"/>
      <c r="K681" s="463"/>
      <c r="L681" s="150"/>
      <c r="M681" s="459" t="str">
        <f t="shared" si="10"/>
        <v/>
      </c>
    </row>
    <row r="682" spans="1:13" ht="14.45" customHeight="1" x14ac:dyDescent="0.2">
      <c r="A682" s="464"/>
      <c r="B682" s="460"/>
      <c r="C682" s="461"/>
      <c r="D682" s="461"/>
      <c r="E682" s="462"/>
      <c r="F682" s="460"/>
      <c r="G682" s="461"/>
      <c r="H682" s="461"/>
      <c r="I682" s="461"/>
      <c r="J682" s="461"/>
      <c r="K682" s="463"/>
      <c r="L682" s="150"/>
      <c r="M682" s="459" t="str">
        <f t="shared" si="10"/>
        <v/>
      </c>
    </row>
    <row r="683" spans="1:13" ht="14.45" customHeight="1" x14ac:dyDescent="0.2">
      <c r="A683" s="464"/>
      <c r="B683" s="460"/>
      <c r="C683" s="461"/>
      <c r="D683" s="461"/>
      <c r="E683" s="462"/>
      <c r="F683" s="460"/>
      <c r="G683" s="461"/>
      <c r="H683" s="461"/>
      <c r="I683" s="461"/>
      <c r="J683" s="461"/>
      <c r="K683" s="463"/>
      <c r="L683" s="150"/>
      <c r="M683" s="459" t="str">
        <f t="shared" si="10"/>
        <v/>
      </c>
    </row>
    <row r="684" spans="1:13" ht="14.45" customHeight="1" x14ac:dyDescent="0.2">
      <c r="A684" s="464"/>
      <c r="B684" s="460"/>
      <c r="C684" s="461"/>
      <c r="D684" s="461"/>
      <c r="E684" s="462"/>
      <c r="F684" s="460"/>
      <c r="G684" s="461"/>
      <c r="H684" s="461"/>
      <c r="I684" s="461"/>
      <c r="J684" s="461"/>
      <c r="K684" s="463"/>
      <c r="L684" s="150"/>
      <c r="M684" s="459" t="str">
        <f t="shared" si="10"/>
        <v/>
      </c>
    </row>
    <row r="685" spans="1:13" ht="14.45" customHeight="1" x14ac:dyDescent="0.2">
      <c r="A685" s="464"/>
      <c r="B685" s="460"/>
      <c r="C685" s="461"/>
      <c r="D685" s="461"/>
      <c r="E685" s="462"/>
      <c r="F685" s="460"/>
      <c r="G685" s="461"/>
      <c r="H685" s="461"/>
      <c r="I685" s="461"/>
      <c r="J685" s="461"/>
      <c r="K685" s="463"/>
      <c r="L685" s="150"/>
      <c r="M685" s="459" t="str">
        <f t="shared" si="10"/>
        <v/>
      </c>
    </row>
    <row r="686" spans="1:13" ht="14.45" customHeight="1" x14ac:dyDescent="0.2">
      <c r="A686" s="464"/>
      <c r="B686" s="460"/>
      <c r="C686" s="461"/>
      <c r="D686" s="461"/>
      <c r="E686" s="462"/>
      <c r="F686" s="460"/>
      <c r="G686" s="461"/>
      <c r="H686" s="461"/>
      <c r="I686" s="461"/>
      <c r="J686" s="461"/>
      <c r="K686" s="463"/>
      <c r="L686" s="150"/>
      <c r="M686" s="459" t="str">
        <f t="shared" si="10"/>
        <v/>
      </c>
    </row>
    <row r="687" spans="1:13" ht="14.45" customHeight="1" x14ac:dyDescent="0.2">
      <c r="A687" s="464"/>
      <c r="B687" s="460"/>
      <c r="C687" s="461"/>
      <c r="D687" s="461"/>
      <c r="E687" s="462"/>
      <c r="F687" s="460"/>
      <c r="G687" s="461"/>
      <c r="H687" s="461"/>
      <c r="I687" s="461"/>
      <c r="J687" s="461"/>
      <c r="K687" s="463"/>
      <c r="L687" s="150"/>
      <c r="M687" s="459" t="str">
        <f t="shared" si="10"/>
        <v/>
      </c>
    </row>
    <row r="688" spans="1:13" ht="14.45" customHeight="1" x14ac:dyDescent="0.2">
      <c r="A688" s="464"/>
      <c r="B688" s="460"/>
      <c r="C688" s="461"/>
      <c r="D688" s="461"/>
      <c r="E688" s="462"/>
      <c r="F688" s="460"/>
      <c r="G688" s="461"/>
      <c r="H688" s="461"/>
      <c r="I688" s="461"/>
      <c r="J688" s="461"/>
      <c r="K688" s="463"/>
      <c r="L688" s="150"/>
      <c r="M688" s="459" t="str">
        <f t="shared" si="10"/>
        <v/>
      </c>
    </row>
    <row r="689" spans="1:13" ht="14.45" customHeight="1" x14ac:dyDescent="0.2">
      <c r="A689" s="464"/>
      <c r="B689" s="460"/>
      <c r="C689" s="461"/>
      <c r="D689" s="461"/>
      <c r="E689" s="462"/>
      <c r="F689" s="460"/>
      <c r="G689" s="461"/>
      <c r="H689" s="461"/>
      <c r="I689" s="461"/>
      <c r="J689" s="461"/>
      <c r="K689" s="463"/>
      <c r="L689" s="150"/>
      <c r="M689" s="459" t="str">
        <f t="shared" si="10"/>
        <v/>
      </c>
    </row>
    <row r="690" spans="1:13" ht="14.45" customHeight="1" x14ac:dyDescent="0.2">
      <c r="A690" s="464"/>
      <c r="B690" s="460"/>
      <c r="C690" s="461"/>
      <c r="D690" s="461"/>
      <c r="E690" s="462"/>
      <c r="F690" s="460"/>
      <c r="G690" s="461"/>
      <c r="H690" s="461"/>
      <c r="I690" s="461"/>
      <c r="J690" s="461"/>
      <c r="K690" s="463"/>
      <c r="L690" s="150"/>
      <c r="M690" s="459" t="str">
        <f t="shared" si="10"/>
        <v/>
      </c>
    </row>
    <row r="691" spans="1:13" ht="14.45" customHeight="1" x14ac:dyDescent="0.2">
      <c r="A691" s="464"/>
      <c r="B691" s="460"/>
      <c r="C691" s="461"/>
      <c r="D691" s="461"/>
      <c r="E691" s="462"/>
      <c r="F691" s="460"/>
      <c r="G691" s="461"/>
      <c r="H691" s="461"/>
      <c r="I691" s="461"/>
      <c r="J691" s="461"/>
      <c r="K691" s="463"/>
      <c r="L691" s="150"/>
      <c r="M691" s="459" t="str">
        <f t="shared" si="10"/>
        <v/>
      </c>
    </row>
    <row r="692" spans="1:13" ht="14.45" customHeight="1" x14ac:dyDescent="0.2">
      <c r="A692" s="464"/>
      <c r="B692" s="460"/>
      <c r="C692" s="461"/>
      <c r="D692" s="461"/>
      <c r="E692" s="462"/>
      <c r="F692" s="460"/>
      <c r="G692" s="461"/>
      <c r="H692" s="461"/>
      <c r="I692" s="461"/>
      <c r="J692" s="461"/>
      <c r="K692" s="463"/>
      <c r="L692" s="150"/>
      <c r="M692" s="459" t="str">
        <f t="shared" si="10"/>
        <v/>
      </c>
    </row>
    <row r="693" spans="1:13" ht="14.45" customHeight="1" x14ac:dyDescent="0.2">
      <c r="A693" s="464"/>
      <c r="B693" s="460"/>
      <c r="C693" s="461"/>
      <c r="D693" s="461"/>
      <c r="E693" s="462"/>
      <c r="F693" s="460"/>
      <c r="G693" s="461"/>
      <c r="H693" s="461"/>
      <c r="I693" s="461"/>
      <c r="J693" s="461"/>
      <c r="K693" s="463"/>
      <c r="L693" s="150"/>
      <c r="M693" s="459" t="str">
        <f t="shared" si="10"/>
        <v/>
      </c>
    </row>
    <row r="694" spans="1:13" ht="14.45" customHeight="1" x14ac:dyDescent="0.2">
      <c r="A694" s="464"/>
      <c r="B694" s="460"/>
      <c r="C694" s="461"/>
      <c r="D694" s="461"/>
      <c r="E694" s="462"/>
      <c r="F694" s="460"/>
      <c r="G694" s="461"/>
      <c r="H694" s="461"/>
      <c r="I694" s="461"/>
      <c r="J694" s="461"/>
      <c r="K694" s="463"/>
      <c r="L694" s="150"/>
      <c r="M694" s="459" t="str">
        <f t="shared" si="10"/>
        <v/>
      </c>
    </row>
    <row r="695" spans="1:13" ht="14.45" customHeight="1" x14ac:dyDescent="0.2">
      <c r="A695" s="464"/>
      <c r="B695" s="460"/>
      <c r="C695" s="461"/>
      <c r="D695" s="461"/>
      <c r="E695" s="462"/>
      <c r="F695" s="460"/>
      <c r="G695" s="461"/>
      <c r="H695" s="461"/>
      <c r="I695" s="461"/>
      <c r="J695" s="461"/>
      <c r="K695" s="463"/>
      <c r="L695" s="150"/>
      <c r="M695" s="459" t="str">
        <f t="shared" si="10"/>
        <v/>
      </c>
    </row>
    <row r="696" spans="1:13" ht="14.45" customHeight="1" x14ac:dyDescent="0.2">
      <c r="A696" s="464"/>
      <c r="B696" s="460"/>
      <c r="C696" s="461"/>
      <c r="D696" s="461"/>
      <c r="E696" s="462"/>
      <c r="F696" s="460"/>
      <c r="G696" s="461"/>
      <c r="H696" s="461"/>
      <c r="I696" s="461"/>
      <c r="J696" s="461"/>
      <c r="K696" s="463"/>
      <c r="L696" s="150"/>
      <c r="M696" s="459" t="str">
        <f t="shared" si="10"/>
        <v/>
      </c>
    </row>
    <row r="697" spans="1:13" ht="14.45" customHeight="1" x14ac:dyDescent="0.2">
      <c r="A697" s="464"/>
      <c r="B697" s="460"/>
      <c r="C697" s="461"/>
      <c r="D697" s="461"/>
      <c r="E697" s="462"/>
      <c r="F697" s="460"/>
      <c r="G697" s="461"/>
      <c r="H697" s="461"/>
      <c r="I697" s="461"/>
      <c r="J697" s="461"/>
      <c r="K697" s="463"/>
      <c r="L697" s="150"/>
      <c r="M697" s="459" t="str">
        <f t="shared" si="10"/>
        <v/>
      </c>
    </row>
    <row r="698" spans="1:13" ht="14.45" customHeight="1" x14ac:dyDescent="0.2">
      <c r="A698" s="464"/>
      <c r="B698" s="460"/>
      <c r="C698" s="461"/>
      <c r="D698" s="461"/>
      <c r="E698" s="462"/>
      <c r="F698" s="460"/>
      <c r="G698" s="461"/>
      <c r="H698" s="461"/>
      <c r="I698" s="461"/>
      <c r="J698" s="461"/>
      <c r="K698" s="463"/>
      <c r="L698" s="150"/>
      <c r="M698" s="459" t="str">
        <f t="shared" si="10"/>
        <v/>
      </c>
    </row>
    <row r="699" spans="1:13" ht="14.45" customHeight="1" x14ac:dyDescent="0.2">
      <c r="A699" s="464"/>
      <c r="B699" s="460"/>
      <c r="C699" s="461"/>
      <c r="D699" s="461"/>
      <c r="E699" s="462"/>
      <c r="F699" s="460"/>
      <c r="G699" s="461"/>
      <c r="H699" s="461"/>
      <c r="I699" s="461"/>
      <c r="J699" s="461"/>
      <c r="K699" s="463"/>
      <c r="L699" s="150"/>
      <c r="M699" s="459" t="str">
        <f t="shared" si="10"/>
        <v/>
      </c>
    </row>
    <row r="700" spans="1:13" ht="14.45" customHeight="1" x14ac:dyDescent="0.2">
      <c r="A700" s="464"/>
      <c r="B700" s="460"/>
      <c r="C700" s="461"/>
      <c r="D700" s="461"/>
      <c r="E700" s="462"/>
      <c r="F700" s="460"/>
      <c r="G700" s="461"/>
      <c r="H700" s="461"/>
      <c r="I700" s="461"/>
      <c r="J700" s="461"/>
      <c r="K700" s="463"/>
      <c r="L700" s="150"/>
      <c r="M700" s="459" t="str">
        <f t="shared" si="10"/>
        <v/>
      </c>
    </row>
    <row r="701" spans="1:13" ht="14.45" customHeight="1" x14ac:dyDescent="0.2">
      <c r="A701" s="464"/>
      <c r="B701" s="460"/>
      <c r="C701" s="461"/>
      <c r="D701" s="461"/>
      <c r="E701" s="462"/>
      <c r="F701" s="460"/>
      <c r="G701" s="461"/>
      <c r="H701" s="461"/>
      <c r="I701" s="461"/>
      <c r="J701" s="461"/>
      <c r="K701" s="463"/>
      <c r="L701" s="150"/>
      <c r="M701" s="459" t="str">
        <f t="shared" si="10"/>
        <v/>
      </c>
    </row>
    <row r="702" spans="1:13" ht="14.45" customHeight="1" x14ac:dyDescent="0.2">
      <c r="A702" s="464"/>
      <c r="B702" s="460"/>
      <c r="C702" s="461"/>
      <c r="D702" s="461"/>
      <c r="E702" s="462"/>
      <c r="F702" s="460"/>
      <c r="G702" s="461"/>
      <c r="H702" s="461"/>
      <c r="I702" s="461"/>
      <c r="J702" s="461"/>
      <c r="K702" s="463"/>
      <c r="L702" s="150"/>
      <c r="M702" s="459" t="str">
        <f t="shared" si="10"/>
        <v/>
      </c>
    </row>
    <row r="703" spans="1:13" ht="14.45" customHeight="1" x14ac:dyDescent="0.2">
      <c r="A703" s="464"/>
      <c r="B703" s="460"/>
      <c r="C703" s="461"/>
      <c r="D703" s="461"/>
      <c r="E703" s="462"/>
      <c r="F703" s="460"/>
      <c r="G703" s="461"/>
      <c r="H703" s="461"/>
      <c r="I703" s="461"/>
      <c r="J703" s="461"/>
      <c r="K703" s="463"/>
      <c r="L703" s="150"/>
      <c r="M703" s="459" t="str">
        <f t="shared" si="10"/>
        <v/>
      </c>
    </row>
    <row r="704" spans="1:13" ht="14.45" customHeight="1" x14ac:dyDescent="0.2">
      <c r="A704" s="464"/>
      <c r="B704" s="460"/>
      <c r="C704" s="461"/>
      <c r="D704" s="461"/>
      <c r="E704" s="462"/>
      <c r="F704" s="460"/>
      <c r="G704" s="461"/>
      <c r="H704" s="461"/>
      <c r="I704" s="461"/>
      <c r="J704" s="461"/>
      <c r="K704" s="463"/>
      <c r="L704" s="150"/>
      <c r="M704" s="459" t="str">
        <f t="shared" si="10"/>
        <v/>
      </c>
    </row>
    <row r="705" spans="1:13" ht="14.45" customHeight="1" x14ac:dyDescent="0.2">
      <c r="A705" s="464"/>
      <c r="B705" s="460"/>
      <c r="C705" s="461"/>
      <c r="D705" s="461"/>
      <c r="E705" s="462"/>
      <c r="F705" s="460"/>
      <c r="G705" s="461"/>
      <c r="H705" s="461"/>
      <c r="I705" s="461"/>
      <c r="J705" s="461"/>
      <c r="K705" s="463"/>
      <c r="L705" s="150"/>
      <c r="M705" s="459" t="str">
        <f t="shared" si="10"/>
        <v/>
      </c>
    </row>
    <row r="706" spans="1:13" ht="14.45" customHeight="1" x14ac:dyDescent="0.2">
      <c r="A706" s="464"/>
      <c r="B706" s="460"/>
      <c r="C706" s="461"/>
      <c r="D706" s="461"/>
      <c r="E706" s="462"/>
      <c r="F706" s="460"/>
      <c r="G706" s="461"/>
      <c r="H706" s="461"/>
      <c r="I706" s="461"/>
      <c r="J706" s="461"/>
      <c r="K706" s="463"/>
      <c r="L706" s="150"/>
      <c r="M706" s="459" t="str">
        <f t="shared" si="10"/>
        <v/>
      </c>
    </row>
    <row r="707" spans="1:13" ht="14.45" customHeight="1" x14ac:dyDescent="0.2">
      <c r="A707" s="464"/>
      <c r="B707" s="460"/>
      <c r="C707" s="461"/>
      <c r="D707" s="461"/>
      <c r="E707" s="462"/>
      <c r="F707" s="460"/>
      <c r="G707" s="461"/>
      <c r="H707" s="461"/>
      <c r="I707" s="461"/>
      <c r="J707" s="461"/>
      <c r="K707" s="463"/>
      <c r="L707" s="150"/>
      <c r="M707" s="459" t="str">
        <f t="shared" si="10"/>
        <v/>
      </c>
    </row>
    <row r="708" spans="1:13" ht="14.45" customHeight="1" x14ac:dyDescent="0.2">
      <c r="A708" s="464"/>
      <c r="B708" s="460"/>
      <c r="C708" s="461"/>
      <c r="D708" s="461"/>
      <c r="E708" s="462"/>
      <c r="F708" s="460"/>
      <c r="G708" s="461"/>
      <c r="H708" s="461"/>
      <c r="I708" s="461"/>
      <c r="J708" s="461"/>
      <c r="K708" s="463"/>
      <c r="L708" s="150"/>
      <c r="M708" s="459" t="str">
        <f t="shared" si="10"/>
        <v/>
      </c>
    </row>
    <row r="709" spans="1:13" ht="14.45" customHeight="1" x14ac:dyDescent="0.2">
      <c r="A709" s="464"/>
      <c r="B709" s="460"/>
      <c r="C709" s="461"/>
      <c r="D709" s="461"/>
      <c r="E709" s="462"/>
      <c r="F709" s="460"/>
      <c r="G709" s="461"/>
      <c r="H709" s="461"/>
      <c r="I709" s="461"/>
      <c r="J709" s="461"/>
      <c r="K709" s="463"/>
      <c r="L709" s="150"/>
      <c r="M709" s="459" t="str">
        <f t="shared" si="10"/>
        <v/>
      </c>
    </row>
    <row r="710" spans="1:13" ht="14.45" customHeight="1" x14ac:dyDescent="0.2">
      <c r="A710" s="464"/>
      <c r="B710" s="460"/>
      <c r="C710" s="461"/>
      <c r="D710" s="461"/>
      <c r="E710" s="462"/>
      <c r="F710" s="460"/>
      <c r="G710" s="461"/>
      <c r="H710" s="461"/>
      <c r="I710" s="461"/>
      <c r="J710" s="461"/>
      <c r="K710" s="463"/>
      <c r="L710" s="150"/>
      <c r="M710" s="459" t="str">
        <f t="shared" ref="M710:M773" si="11">IF(A710="HV","HV",IF(OR(LEFT(A710,16)="               5",LEFT(A710,16)="               6",LEFT(A710,16)="               7",LEFT(A710,16)="               8"),"X",""))</f>
        <v/>
      </c>
    </row>
    <row r="711" spans="1:13" ht="14.45" customHeight="1" x14ac:dyDescent="0.2">
      <c r="A711" s="464"/>
      <c r="B711" s="460"/>
      <c r="C711" s="461"/>
      <c r="D711" s="461"/>
      <c r="E711" s="462"/>
      <c r="F711" s="460"/>
      <c r="G711" s="461"/>
      <c r="H711" s="461"/>
      <c r="I711" s="461"/>
      <c r="J711" s="461"/>
      <c r="K711" s="463"/>
      <c r="L711" s="150"/>
      <c r="M711" s="459" t="str">
        <f t="shared" si="11"/>
        <v/>
      </c>
    </row>
    <row r="712" spans="1:13" ht="14.45" customHeight="1" x14ac:dyDescent="0.2">
      <c r="A712" s="464"/>
      <c r="B712" s="460"/>
      <c r="C712" s="461"/>
      <c r="D712" s="461"/>
      <c r="E712" s="462"/>
      <c r="F712" s="460"/>
      <c r="G712" s="461"/>
      <c r="H712" s="461"/>
      <c r="I712" s="461"/>
      <c r="J712" s="461"/>
      <c r="K712" s="463"/>
      <c r="L712" s="150"/>
      <c r="M712" s="459" t="str">
        <f t="shared" si="11"/>
        <v/>
      </c>
    </row>
    <row r="713" spans="1:13" ht="14.45" customHeight="1" x14ac:dyDescent="0.2">
      <c r="A713" s="464"/>
      <c r="B713" s="460"/>
      <c r="C713" s="461"/>
      <c r="D713" s="461"/>
      <c r="E713" s="462"/>
      <c r="F713" s="460"/>
      <c r="G713" s="461"/>
      <c r="H713" s="461"/>
      <c r="I713" s="461"/>
      <c r="J713" s="461"/>
      <c r="K713" s="463"/>
      <c r="L713" s="150"/>
      <c r="M713" s="459" t="str">
        <f t="shared" si="11"/>
        <v/>
      </c>
    </row>
    <row r="714" spans="1:13" ht="14.45" customHeight="1" x14ac:dyDescent="0.2">
      <c r="A714" s="464"/>
      <c r="B714" s="460"/>
      <c r="C714" s="461"/>
      <c r="D714" s="461"/>
      <c r="E714" s="462"/>
      <c r="F714" s="460"/>
      <c r="G714" s="461"/>
      <c r="H714" s="461"/>
      <c r="I714" s="461"/>
      <c r="J714" s="461"/>
      <c r="K714" s="463"/>
      <c r="L714" s="150"/>
      <c r="M714" s="459" t="str">
        <f t="shared" si="11"/>
        <v/>
      </c>
    </row>
    <row r="715" spans="1:13" ht="14.45" customHeight="1" x14ac:dyDescent="0.2">
      <c r="A715" s="464"/>
      <c r="B715" s="460"/>
      <c r="C715" s="461"/>
      <c r="D715" s="461"/>
      <c r="E715" s="462"/>
      <c r="F715" s="460"/>
      <c r="G715" s="461"/>
      <c r="H715" s="461"/>
      <c r="I715" s="461"/>
      <c r="J715" s="461"/>
      <c r="K715" s="463"/>
      <c r="L715" s="150"/>
      <c r="M715" s="459" t="str">
        <f t="shared" si="11"/>
        <v/>
      </c>
    </row>
    <row r="716" spans="1:13" ht="14.45" customHeight="1" x14ac:dyDescent="0.2">
      <c r="A716" s="464"/>
      <c r="B716" s="460"/>
      <c r="C716" s="461"/>
      <c r="D716" s="461"/>
      <c r="E716" s="462"/>
      <c r="F716" s="460"/>
      <c r="G716" s="461"/>
      <c r="H716" s="461"/>
      <c r="I716" s="461"/>
      <c r="J716" s="461"/>
      <c r="K716" s="463"/>
      <c r="L716" s="150"/>
      <c r="M716" s="459" t="str">
        <f t="shared" si="11"/>
        <v/>
      </c>
    </row>
    <row r="717" spans="1:13" ht="14.45" customHeight="1" x14ac:dyDescent="0.2">
      <c r="A717" s="464"/>
      <c r="B717" s="460"/>
      <c r="C717" s="461"/>
      <c r="D717" s="461"/>
      <c r="E717" s="462"/>
      <c r="F717" s="460"/>
      <c r="G717" s="461"/>
      <c r="H717" s="461"/>
      <c r="I717" s="461"/>
      <c r="J717" s="461"/>
      <c r="K717" s="463"/>
      <c r="L717" s="150"/>
      <c r="M717" s="459" t="str">
        <f t="shared" si="11"/>
        <v/>
      </c>
    </row>
    <row r="718" spans="1:13" ht="14.45" customHeight="1" x14ac:dyDescent="0.2">
      <c r="A718" s="464"/>
      <c r="B718" s="460"/>
      <c r="C718" s="461"/>
      <c r="D718" s="461"/>
      <c r="E718" s="462"/>
      <c r="F718" s="460"/>
      <c r="G718" s="461"/>
      <c r="H718" s="461"/>
      <c r="I718" s="461"/>
      <c r="J718" s="461"/>
      <c r="K718" s="463"/>
      <c r="L718" s="150"/>
      <c r="M718" s="459" t="str">
        <f t="shared" si="11"/>
        <v/>
      </c>
    </row>
    <row r="719" spans="1:13" ht="14.45" customHeight="1" x14ac:dyDescent="0.2">
      <c r="A719" s="464"/>
      <c r="B719" s="460"/>
      <c r="C719" s="461"/>
      <c r="D719" s="461"/>
      <c r="E719" s="462"/>
      <c r="F719" s="460"/>
      <c r="G719" s="461"/>
      <c r="H719" s="461"/>
      <c r="I719" s="461"/>
      <c r="J719" s="461"/>
      <c r="K719" s="463"/>
      <c r="L719" s="150"/>
      <c r="M719" s="459" t="str">
        <f t="shared" si="11"/>
        <v/>
      </c>
    </row>
    <row r="720" spans="1:13" ht="14.45" customHeight="1" x14ac:dyDescent="0.2">
      <c r="A720" s="464"/>
      <c r="B720" s="460"/>
      <c r="C720" s="461"/>
      <c r="D720" s="461"/>
      <c r="E720" s="462"/>
      <c r="F720" s="460"/>
      <c r="G720" s="461"/>
      <c r="H720" s="461"/>
      <c r="I720" s="461"/>
      <c r="J720" s="461"/>
      <c r="K720" s="463"/>
      <c r="L720" s="150"/>
      <c r="M720" s="459" t="str">
        <f t="shared" si="11"/>
        <v/>
      </c>
    </row>
    <row r="721" spans="1:13" ht="14.45" customHeight="1" x14ac:dyDescent="0.2">
      <c r="A721" s="464"/>
      <c r="B721" s="460"/>
      <c r="C721" s="461"/>
      <c r="D721" s="461"/>
      <c r="E721" s="462"/>
      <c r="F721" s="460"/>
      <c r="G721" s="461"/>
      <c r="H721" s="461"/>
      <c r="I721" s="461"/>
      <c r="J721" s="461"/>
      <c r="K721" s="463"/>
      <c r="L721" s="150"/>
      <c r="M721" s="459" t="str">
        <f t="shared" si="11"/>
        <v/>
      </c>
    </row>
    <row r="722" spans="1:13" ht="14.45" customHeight="1" x14ac:dyDescent="0.2">
      <c r="A722" s="464"/>
      <c r="B722" s="460"/>
      <c r="C722" s="461"/>
      <c r="D722" s="461"/>
      <c r="E722" s="462"/>
      <c r="F722" s="460"/>
      <c r="G722" s="461"/>
      <c r="H722" s="461"/>
      <c r="I722" s="461"/>
      <c r="J722" s="461"/>
      <c r="K722" s="463"/>
      <c r="L722" s="150"/>
      <c r="M722" s="459" t="str">
        <f t="shared" si="11"/>
        <v/>
      </c>
    </row>
    <row r="723" spans="1:13" ht="14.45" customHeight="1" x14ac:dyDescent="0.2">
      <c r="A723" s="464"/>
      <c r="B723" s="460"/>
      <c r="C723" s="461"/>
      <c r="D723" s="461"/>
      <c r="E723" s="462"/>
      <c r="F723" s="460"/>
      <c r="G723" s="461"/>
      <c r="H723" s="461"/>
      <c r="I723" s="461"/>
      <c r="J723" s="461"/>
      <c r="K723" s="463"/>
      <c r="L723" s="150"/>
      <c r="M723" s="459" t="str">
        <f t="shared" si="11"/>
        <v/>
      </c>
    </row>
    <row r="724" spans="1:13" ht="14.45" customHeight="1" x14ac:dyDescent="0.2">
      <c r="A724" s="464"/>
      <c r="B724" s="460"/>
      <c r="C724" s="461"/>
      <c r="D724" s="461"/>
      <c r="E724" s="462"/>
      <c r="F724" s="460"/>
      <c r="G724" s="461"/>
      <c r="H724" s="461"/>
      <c r="I724" s="461"/>
      <c r="J724" s="461"/>
      <c r="K724" s="463"/>
      <c r="L724" s="150"/>
      <c r="M724" s="459" t="str">
        <f t="shared" si="11"/>
        <v/>
      </c>
    </row>
    <row r="725" spans="1:13" ht="14.45" customHeight="1" x14ac:dyDescent="0.2">
      <c r="A725" s="464"/>
      <c r="B725" s="460"/>
      <c r="C725" s="461"/>
      <c r="D725" s="461"/>
      <c r="E725" s="462"/>
      <c r="F725" s="460"/>
      <c r="G725" s="461"/>
      <c r="H725" s="461"/>
      <c r="I725" s="461"/>
      <c r="J725" s="461"/>
      <c r="K725" s="463"/>
      <c r="L725" s="150"/>
      <c r="M725" s="459" t="str">
        <f t="shared" si="11"/>
        <v/>
      </c>
    </row>
    <row r="726" spans="1:13" ht="14.45" customHeight="1" x14ac:dyDescent="0.2">
      <c r="A726" s="464"/>
      <c r="B726" s="460"/>
      <c r="C726" s="461"/>
      <c r="D726" s="461"/>
      <c r="E726" s="462"/>
      <c r="F726" s="460"/>
      <c r="G726" s="461"/>
      <c r="H726" s="461"/>
      <c r="I726" s="461"/>
      <c r="J726" s="461"/>
      <c r="K726" s="463"/>
      <c r="L726" s="150"/>
      <c r="M726" s="459" t="str">
        <f t="shared" si="11"/>
        <v/>
      </c>
    </row>
    <row r="727" spans="1:13" ht="14.45" customHeight="1" x14ac:dyDescent="0.2">
      <c r="A727" s="464"/>
      <c r="B727" s="460"/>
      <c r="C727" s="461"/>
      <c r="D727" s="461"/>
      <c r="E727" s="462"/>
      <c r="F727" s="460"/>
      <c r="G727" s="461"/>
      <c r="H727" s="461"/>
      <c r="I727" s="461"/>
      <c r="J727" s="461"/>
      <c r="K727" s="463"/>
      <c r="L727" s="150"/>
      <c r="M727" s="459" t="str">
        <f t="shared" si="11"/>
        <v/>
      </c>
    </row>
    <row r="728" spans="1:13" ht="14.45" customHeight="1" x14ac:dyDescent="0.2">
      <c r="A728" s="464"/>
      <c r="B728" s="460"/>
      <c r="C728" s="461"/>
      <c r="D728" s="461"/>
      <c r="E728" s="462"/>
      <c r="F728" s="460"/>
      <c r="G728" s="461"/>
      <c r="H728" s="461"/>
      <c r="I728" s="461"/>
      <c r="J728" s="461"/>
      <c r="K728" s="463"/>
      <c r="L728" s="150"/>
      <c r="M728" s="459" t="str">
        <f t="shared" si="11"/>
        <v/>
      </c>
    </row>
    <row r="729" spans="1:13" ht="14.45" customHeight="1" x14ac:dyDescent="0.2">
      <c r="A729" s="464"/>
      <c r="B729" s="460"/>
      <c r="C729" s="461"/>
      <c r="D729" s="461"/>
      <c r="E729" s="462"/>
      <c r="F729" s="460"/>
      <c r="G729" s="461"/>
      <c r="H729" s="461"/>
      <c r="I729" s="461"/>
      <c r="J729" s="461"/>
      <c r="K729" s="463"/>
      <c r="L729" s="150"/>
      <c r="M729" s="459" t="str">
        <f t="shared" si="11"/>
        <v/>
      </c>
    </row>
    <row r="730" spans="1:13" ht="14.45" customHeight="1" x14ac:dyDescent="0.2">
      <c r="A730" s="464"/>
      <c r="B730" s="460"/>
      <c r="C730" s="461"/>
      <c r="D730" s="461"/>
      <c r="E730" s="462"/>
      <c r="F730" s="460"/>
      <c r="G730" s="461"/>
      <c r="H730" s="461"/>
      <c r="I730" s="461"/>
      <c r="J730" s="461"/>
      <c r="K730" s="463"/>
      <c r="L730" s="150"/>
      <c r="M730" s="459" t="str">
        <f t="shared" si="11"/>
        <v/>
      </c>
    </row>
    <row r="731" spans="1:13" ht="14.45" customHeight="1" x14ac:dyDescent="0.2">
      <c r="A731" s="464"/>
      <c r="B731" s="460"/>
      <c r="C731" s="461"/>
      <c r="D731" s="461"/>
      <c r="E731" s="462"/>
      <c r="F731" s="460"/>
      <c r="G731" s="461"/>
      <c r="H731" s="461"/>
      <c r="I731" s="461"/>
      <c r="J731" s="461"/>
      <c r="K731" s="463"/>
      <c r="L731" s="150"/>
      <c r="M731" s="459" t="str">
        <f t="shared" si="11"/>
        <v/>
      </c>
    </row>
    <row r="732" spans="1:13" ht="14.45" customHeight="1" x14ac:dyDescent="0.2">
      <c r="A732" s="464"/>
      <c r="B732" s="460"/>
      <c r="C732" s="461"/>
      <c r="D732" s="461"/>
      <c r="E732" s="462"/>
      <c r="F732" s="460"/>
      <c r="G732" s="461"/>
      <c r="H732" s="461"/>
      <c r="I732" s="461"/>
      <c r="J732" s="461"/>
      <c r="K732" s="463"/>
      <c r="L732" s="150"/>
      <c r="M732" s="459" t="str">
        <f t="shared" si="11"/>
        <v/>
      </c>
    </row>
    <row r="733" spans="1:13" ht="14.45" customHeight="1" x14ac:dyDescent="0.2">
      <c r="A733" s="464"/>
      <c r="B733" s="460"/>
      <c r="C733" s="461"/>
      <c r="D733" s="461"/>
      <c r="E733" s="462"/>
      <c r="F733" s="460"/>
      <c r="G733" s="461"/>
      <c r="H733" s="461"/>
      <c r="I733" s="461"/>
      <c r="J733" s="461"/>
      <c r="K733" s="463"/>
      <c r="L733" s="150"/>
      <c r="M733" s="459" t="str">
        <f t="shared" si="11"/>
        <v/>
      </c>
    </row>
    <row r="734" spans="1:13" ht="14.45" customHeight="1" x14ac:dyDescent="0.2">
      <c r="A734" s="464"/>
      <c r="B734" s="460"/>
      <c r="C734" s="461"/>
      <c r="D734" s="461"/>
      <c r="E734" s="462"/>
      <c r="F734" s="460"/>
      <c r="G734" s="461"/>
      <c r="H734" s="461"/>
      <c r="I734" s="461"/>
      <c r="J734" s="461"/>
      <c r="K734" s="463"/>
      <c r="L734" s="150"/>
      <c r="M734" s="459" t="str">
        <f t="shared" si="11"/>
        <v/>
      </c>
    </row>
    <row r="735" spans="1:13" ht="14.45" customHeight="1" x14ac:dyDescent="0.2">
      <c r="A735" s="464"/>
      <c r="B735" s="460"/>
      <c r="C735" s="461"/>
      <c r="D735" s="461"/>
      <c r="E735" s="462"/>
      <c r="F735" s="460"/>
      <c r="G735" s="461"/>
      <c r="H735" s="461"/>
      <c r="I735" s="461"/>
      <c r="J735" s="461"/>
      <c r="K735" s="463"/>
      <c r="L735" s="150"/>
      <c r="M735" s="459" t="str">
        <f t="shared" si="11"/>
        <v/>
      </c>
    </row>
    <row r="736" spans="1:13" ht="14.45" customHeight="1" x14ac:dyDescent="0.2">
      <c r="A736" s="464"/>
      <c r="B736" s="460"/>
      <c r="C736" s="461"/>
      <c r="D736" s="461"/>
      <c r="E736" s="462"/>
      <c r="F736" s="460"/>
      <c r="G736" s="461"/>
      <c r="H736" s="461"/>
      <c r="I736" s="461"/>
      <c r="J736" s="461"/>
      <c r="K736" s="463"/>
      <c r="L736" s="150"/>
      <c r="M736" s="459" t="str">
        <f t="shared" si="11"/>
        <v/>
      </c>
    </row>
    <row r="737" spans="1:13" ht="14.45" customHeight="1" x14ac:dyDescent="0.2">
      <c r="A737" s="464"/>
      <c r="B737" s="460"/>
      <c r="C737" s="461"/>
      <c r="D737" s="461"/>
      <c r="E737" s="462"/>
      <c r="F737" s="460"/>
      <c r="G737" s="461"/>
      <c r="H737" s="461"/>
      <c r="I737" s="461"/>
      <c r="J737" s="461"/>
      <c r="K737" s="463"/>
      <c r="L737" s="150"/>
      <c r="M737" s="459" t="str">
        <f t="shared" si="11"/>
        <v/>
      </c>
    </row>
    <row r="738" spans="1:13" ht="14.45" customHeight="1" x14ac:dyDescent="0.2">
      <c r="A738" s="464"/>
      <c r="B738" s="460"/>
      <c r="C738" s="461"/>
      <c r="D738" s="461"/>
      <c r="E738" s="462"/>
      <c r="F738" s="460"/>
      <c r="G738" s="461"/>
      <c r="H738" s="461"/>
      <c r="I738" s="461"/>
      <c r="J738" s="461"/>
      <c r="K738" s="463"/>
      <c r="L738" s="150"/>
      <c r="M738" s="459" t="str">
        <f t="shared" si="11"/>
        <v/>
      </c>
    </row>
    <row r="739" spans="1:13" ht="14.45" customHeight="1" x14ac:dyDescent="0.2">
      <c r="A739" s="464"/>
      <c r="B739" s="460"/>
      <c r="C739" s="461"/>
      <c r="D739" s="461"/>
      <c r="E739" s="462"/>
      <c r="F739" s="460"/>
      <c r="G739" s="461"/>
      <c r="H739" s="461"/>
      <c r="I739" s="461"/>
      <c r="J739" s="461"/>
      <c r="K739" s="463"/>
      <c r="L739" s="150"/>
      <c r="M739" s="459" t="str">
        <f t="shared" si="11"/>
        <v/>
      </c>
    </row>
    <row r="740" spans="1:13" ht="14.45" customHeight="1" x14ac:dyDescent="0.2">
      <c r="A740" s="464"/>
      <c r="B740" s="460"/>
      <c r="C740" s="461"/>
      <c r="D740" s="461"/>
      <c r="E740" s="462"/>
      <c r="F740" s="460"/>
      <c r="G740" s="461"/>
      <c r="H740" s="461"/>
      <c r="I740" s="461"/>
      <c r="J740" s="461"/>
      <c r="K740" s="463"/>
      <c r="L740" s="150"/>
      <c r="M740" s="459" t="str">
        <f t="shared" si="11"/>
        <v/>
      </c>
    </row>
    <row r="741" spans="1:13" ht="14.45" customHeight="1" x14ac:dyDescent="0.2">
      <c r="A741" s="464"/>
      <c r="B741" s="460"/>
      <c r="C741" s="461"/>
      <c r="D741" s="461"/>
      <c r="E741" s="462"/>
      <c r="F741" s="460"/>
      <c r="G741" s="461"/>
      <c r="H741" s="461"/>
      <c r="I741" s="461"/>
      <c r="J741" s="461"/>
      <c r="K741" s="463"/>
      <c r="L741" s="150"/>
      <c r="M741" s="459" t="str">
        <f t="shared" si="11"/>
        <v/>
      </c>
    </row>
    <row r="742" spans="1:13" ht="14.45" customHeight="1" x14ac:dyDescent="0.2">
      <c r="A742" s="464"/>
      <c r="B742" s="460"/>
      <c r="C742" s="461"/>
      <c r="D742" s="461"/>
      <c r="E742" s="462"/>
      <c r="F742" s="460"/>
      <c r="G742" s="461"/>
      <c r="H742" s="461"/>
      <c r="I742" s="461"/>
      <c r="J742" s="461"/>
      <c r="K742" s="463"/>
      <c r="L742" s="150"/>
      <c r="M742" s="459" t="str">
        <f t="shared" si="11"/>
        <v/>
      </c>
    </row>
    <row r="743" spans="1:13" ht="14.45" customHeight="1" x14ac:dyDescent="0.2">
      <c r="A743" s="464"/>
      <c r="B743" s="460"/>
      <c r="C743" s="461"/>
      <c r="D743" s="461"/>
      <c r="E743" s="462"/>
      <c r="F743" s="460"/>
      <c r="G743" s="461"/>
      <c r="H743" s="461"/>
      <c r="I743" s="461"/>
      <c r="J743" s="461"/>
      <c r="K743" s="463"/>
      <c r="L743" s="150"/>
      <c r="M743" s="459" t="str">
        <f t="shared" si="11"/>
        <v/>
      </c>
    </row>
    <row r="744" spans="1:13" ht="14.45" customHeight="1" x14ac:dyDescent="0.2">
      <c r="A744" s="464"/>
      <c r="B744" s="460"/>
      <c r="C744" s="461"/>
      <c r="D744" s="461"/>
      <c r="E744" s="462"/>
      <c r="F744" s="460"/>
      <c r="G744" s="461"/>
      <c r="H744" s="461"/>
      <c r="I744" s="461"/>
      <c r="J744" s="461"/>
      <c r="K744" s="463"/>
      <c r="L744" s="150"/>
      <c r="M744" s="459" t="str">
        <f t="shared" si="11"/>
        <v/>
      </c>
    </row>
    <row r="745" spans="1:13" ht="14.45" customHeight="1" x14ac:dyDescent="0.2">
      <c r="A745" s="464"/>
      <c r="B745" s="460"/>
      <c r="C745" s="461"/>
      <c r="D745" s="461"/>
      <c r="E745" s="462"/>
      <c r="F745" s="460"/>
      <c r="G745" s="461"/>
      <c r="H745" s="461"/>
      <c r="I745" s="461"/>
      <c r="J745" s="461"/>
      <c r="K745" s="463"/>
      <c r="L745" s="150"/>
      <c r="M745" s="459" t="str">
        <f t="shared" si="11"/>
        <v/>
      </c>
    </row>
    <row r="746" spans="1:13" ht="14.45" customHeight="1" x14ac:dyDescent="0.2">
      <c r="A746" s="464"/>
      <c r="B746" s="460"/>
      <c r="C746" s="461"/>
      <c r="D746" s="461"/>
      <c r="E746" s="462"/>
      <c r="F746" s="460"/>
      <c r="G746" s="461"/>
      <c r="H746" s="461"/>
      <c r="I746" s="461"/>
      <c r="J746" s="461"/>
      <c r="K746" s="463"/>
      <c r="L746" s="150"/>
      <c r="M746" s="459" t="str">
        <f t="shared" si="11"/>
        <v/>
      </c>
    </row>
    <row r="747" spans="1:13" ht="14.45" customHeight="1" x14ac:dyDescent="0.2">
      <c r="A747" s="464"/>
      <c r="B747" s="460"/>
      <c r="C747" s="461"/>
      <c r="D747" s="461"/>
      <c r="E747" s="462"/>
      <c r="F747" s="460"/>
      <c r="G747" s="461"/>
      <c r="H747" s="461"/>
      <c r="I747" s="461"/>
      <c r="J747" s="461"/>
      <c r="K747" s="463"/>
      <c r="L747" s="150"/>
      <c r="M747" s="459" t="str">
        <f t="shared" si="11"/>
        <v/>
      </c>
    </row>
    <row r="748" spans="1:13" ht="14.45" customHeight="1" x14ac:dyDescent="0.2">
      <c r="A748" s="464"/>
      <c r="B748" s="460"/>
      <c r="C748" s="461"/>
      <c r="D748" s="461"/>
      <c r="E748" s="462"/>
      <c r="F748" s="460"/>
      <c r="G748" s="461"/>
      <c r="H748" s="461"/>
      <c r="I748" s="461"/>
      <c r="J748" s="461"/>
      <c r="K748" s="463"/>
      <c r="L748" s="150"/>
      <c r="M748" s="459" t="str">
        <f t="shared" si="11"/>
        <v/>
      </c>
    </row>
    <row r="749" spans="1:13" ht="14.45" customHeight="1" x14ac:dyDescent="0.2">
      <c r="A749" s="464"/>
      <c r="B749" s="460"/>
      <c r="C749" s="461"/>
      <c r="D749" s="461"/>
      <c r="E749" s="462"/>
      <c r="F749" s="460"/>
      <c r="G749" s="461"/>
      <c r="H749" s="461"/>
      <c r="I749" s="461"/>
      <c r="J749" s="461"/>
      <c r="K749" s="463"/>
      <c r="L749" s="150"/>
      <c r="M749" s="459" t="str">
        <f t="shared" si="11"/>
        <v/>
      </c>
    </row>
    <row r="750" spans="1:13" ht="14.45" customHeight="1" x14ac:dyDescent="0.2">
      <c r="A750" s="464"/>
      <c r="B750" s="460"/>
      <c r="C750" s="461"/>
      <c r="D750" s="461"/>
      <c r="E750" s="462"/>
      <c r="F750" s="460"/>
      <c r="G750" s="461"/>
      <c r="H750" s="461"/>
      <c r="I750" s="461"/>
      <c r="J750" s="461"/>
      <c r="K750" s="463"/>
      <c r="L750" s="150"/>
      <c r="M750" s="459" t="str">
        <f t="shared" si="11"/>
        <v/>
      </c>
    </row>
    <row r="751" spans="1:13" ht="14.45" customHeight="1" x14ac:dyDescent="0.2">
      <c r="A751" s="464"/>
      <c r="B751" s="460"/>
      <c r="C751" s="461"/>
      <c r="D751" s="461"/>
      <c r="E751" s="462"/>
      <c r="F751" s="460"/>
      <c r="G751" s="461"/>
      <c r="H751" s="461"/>
      <c r="I751" s="461"/>
      <c r="J751" s="461"/>
      <c r="K751" s="463"/>
      <c r="L751" s="150"/>
      <c r="M751" s="459" t="str">
        <f t="shared" si="11"/>
        <v/>
      </c>
    </row>
    <row r="752" spans="1:13" ht="14.45" customHeight="1" x14ac:dyDescent="0.2">
      <c r="A752" s="464"/>
      <c r="B752" s="460"/>
      <c r="C752" s="461"/>
      <c r="D752" s="461"/>
      <c r="E752" s="462"/>
      <c r="F752" s="460"/>
      <c r="G752" s="461"/>
      <c r="H752" s="461"/>
      <c r="I752" s="461"/>
      <c r="J752" s="461"/>
      <c r="K752" s="463"/>
      <c r="L752" s="150"/>
      <c r="M752" s="459" t="str">
        <f t="shared" si="11"/>
        <v/>
      </c>
    </row>
    <row r="753" spans="1:13" ht="14.45" customHeight="1" x14ac:dyDescent="0.2">
      <c r="A753" s="464"/>
      <c r="B753" s="460"/>
      <c r="C753" s="461"/>
      <c r="D753" s="461"/>
      <c r="E753" s="462"/>
      <c r="F753" s="460"/>
      <c r="G753" s="461"/>
      <c r="H753" s="461"/>
      <c r="I753" s="461"/>
      <c r="J753" s="461"/>
      <c r="K753" s="463"/>
      <c r="L753" s="150"/>
      <c r="M753" s="459" t="str">
        <f t="shared" si="11"/>
        <v/>
      </c>
    </row>
    <row r="754" spans="1:13" ht="14.45" customHeight="1" x14ac:dyDescent="0.2">
      <c r="A754" s="464"/>
      <c r="B754" s="460"/>
      <c r="C754" s="461"/>
      <c r="D754" s="461"/>
      <c r="E754" s="462"/>
      <c r="F754" s="460"/>
      <c r="G754" s="461"/>
      <c r="H754" s="461"/>
      <c r="I754" s="461"/>
      <c r="J754" s="461"/>
      <c r="K754" s="463"/>
      <c r="L754" s="150"/>
      <c r="M754" s="459" t="str">
        <f t="shared" si="11"/>
        <v/>
      </c>
    </row>
    <row r="755" spans="1:13" ht="14.45" customHeight="1" x14ac:dyDescent="0.2">
      <c r="A755" s="464"/>
      <c r="B755" s="460"/>
      <c r="C755" s="461"/>
      <c r="D755" s="461"/>
      <c r="E755" s="462"/>
      <c r="F755" s="460"/>
      <c r="G755" s="461"/>
      <c r="H755" s="461"/>
      <c r="I755" s="461"/>
      <c r="J755" s="461"/>
      <c r="K755" s="463"/>
      <c r="L755" s="150"/>
      <c r="M755" s="459" t="str">
        <f t="shared" si="11"/>
        <v/>
      </c>
    </row>
    <row r="756" spans="1:13" ht="14.45" customHeight="1" x14ac:dyDescent="0.2">
      <c r="A756" s="464"/>
      <c r="B756" s="460"/>
      <c r="C756" s="461"/>
      <c r="D756" s="461"/>
      <c r="E756" s="462"/>
      <c r="F756" s="460"/>
      <c r="G756" s="461"/>
      <c r="H756" s="461"/>
      <c r="I756" s="461"/>
      <c r="J756" s="461"/>
      <c r="K756" s="463"/>
      <c r="L756" s="150"/>
      <c r="M756" s="459" t="str">
        <f t="shared" si="11"/>
        <v/>
      </c>
    </row>
    <row r="757" spans="1:13" ht="14.45" customHeight="1" x14ac:dyDescent="0.2">
      <c r="A757" s="464"/>
      <c r="B757" s="460"/>
      <c r="C757" s="461"/>
      <c r="D757" s="461"/>
      <c r="E757" s="462"/>
      <c r="F757" s="460"/>
      <c r="G757" s="461"/>
      <c r="H757" s="461"/>
      <c r="I757" s="461"/>
      <c r="J757" s="461"/>
      <c r="K757" s="463"/>
      <c r="L757" s="150"/>
      <c r="M757" s="459" t="str">
        <f t="shared" si="11"/>
        <v/>
      </c>
    </row>
    <row r="758" spans="1:13" ht="14.45" customHeight="1" x14ac:dyDescent="0.2">
      <c r="A758" s="464"/>
      <c r="B758" s="460"/>
      <c r="C758" s="461"/>
      <c r="D758" s="461"/>
      <c r="E758" s="462"/>
      <c r="F758" s="460"/>
      <c r="G758" s="461"/>
      <c r="H758" s="461"/>
      <c r="I758" s="461"/>
      <c r="J758" s="461"/>
      <c r="K758" s="463"/>
      <c r="L758" s="150"/>
      <c r="M758" s="459" t="str">
        <f t="shared" si="11"/>
        <v/>
      </c>
    </row>
    <row r="759" spans="1:13" ht="14.45" customHeight="1" x14ac:dyDescent="0.2">
      <c r="A759" s="464"/>
      <c r="B759" s="460"/>
      <c r="C759" s="461"/>
      <c r="D759" s="461"/>
      <c r="E759" s="462"/>
      <c r="F759" s="460"/>
      <c r="G759" s="461"/>
      <c r="H759" s="461"/>
      <c r="I759" s="461"/>
      <c r="J759" s="461"/>
      <c r="K759" s="463"/>
      <c r="L759" s="150"/>
      <c r="M759" s="459" t="str">
        <f t="shared" si="11"/>
        <v/>
      </c>
    </row>
    <row r="760" spans="1:13" ht="14.45" customHeight="1" x14ac:dyDescent="0.2">
      <c r="A760" s="464"/>
      <c r="B760" s="460"/>
      <c r="C760" s="461"/>
      <c r="D760" s="461"/>
      <c r="E760" s="462"/>
      <c r="F760" s="460"/>
      <c r="G760" s="461"/>
      <c r="H760" s="461"/>
      <c r="I760" s="461"/>
      <c r="J760" s="461"/>
      <c r="K760" s="463"/>
      <c r="L760" s="150"/>
      <c r="M760" s="459" t="str">
        <f t="shared" si="11"/>
        <v/>
      </c>
    </row>
    <row r="761" spans="1:13" ht="14.45" customHeight="1" x14ac:dyDescent="0.2">
      <c r="A761" s="464"/>
      <c r="B761" s="460"/>
      <c r="C761" s="461"/>
      <c r="D761" s="461"/>
      <c r="E761" s="462"/>
      <c r="F761" s="460"/>
      <c r="G761" s="461"/>
      <c r="H761" s="461"/>
      <c r="I761" s="461"/>
      <c r="J761" s="461"/>
      <c r="K761" s="463"/>
      <c r="L761" s="150"/>
      <c r="M761" s="459" t="str">
        <f t="shared" si="11"/>
        <v/>
      </c>
    </row>
    <row r="762" spans="1:13" ht="14.45" customHeight="1" x14ac:dyDescent="0.2">
      <c r="A762" s="464"/>
      <c r="B762" s="460"/>
      <c r="C762" s="461"/>
      <c r="D762" s="461"/>
      <c r="E762" s="462"/>
      <c r="F762" s="460"/>
      <c r="G762" s="461"/>
      <c r="H762" s="461"/>
      <c r="I762" s="461"/>
      <c r="J762" s="461"/>
      <c r="K762" s="463"/>
      <c r="L762" s="150"/>
      <c r="M762" s="459" t="str">
        <f t="shared" si="11"/>
        <v/>
      </c>
    </row>
    <row r="763" spans="1:13" ht="14.45" customHeight="1" x14ac:dyDescent="0.2">
      <c r="A763" s="464"/>
      <c r="B763" s="460"/>
      <c r="C763" s="461"/>
      <c r="D763" s="461"/>
      <c r="E763" s="462"/>
      <c r="F763" s="460"/>
      <c r="G763" s="461"/>
      <c r="H763" s="461"/>
      <c r="I763" s="461"/>
      <c r="J763" s="461"/>
      <c r="K763" s="463"/>
      <c r="L763" s="150"/>
      <c r="M763" s="459" t="str">
        <f t="shared" si="11"/>
        <v/>
      </c>
    </row>
    <row r="764" spans="1:13" ht="14.45" customHeight="1" x14ac:dyDescent="0.2">
      <c r="A764" s="464"/>
      <c r="B764" s="460"/>
      <c r="C764" s="461"/>
      <c r="D764" s="461"/>
      <c r="E764" s="462"/>
      <c r="F764" s="460"/>
      <c r="G764" s="461"/>
      <c r="H764" s="461"/>
      <c r="I764" s="461"/>
      <c r="J764" s="461"/>
      <c r="K764" s="463"/>
      <c r="L764" s="150"/>
      <c r="M764" s="459" t="str">
        <f t="shared" si="11"/>
        <v/>
      </c>
    </row>
    <row r="765" spans="1:13" ht="14.45" customHeight="1" x14ac:dyDescent="0.2">
      <c r="A765" s="464"/>
      <c r="B765" s="460"/>
      <c r="C765" s="461"/>
      <c r="D765" s="461"/>
      <c r="E765" s="462"/>
      <c r="F765" s="460"/>
      <c r="G765" s="461"/>
      <c r="H765" s="461"/>
      <c r="I765" s="461"/>
      <c r="J765" s="461"/>
      <c r="K765" s="463"/>
      <c r="L765" s="150"/>
      <c r="M765" s="459" t="str">
        <f t="shared" si="11"/>
        <v/>
      </c>
    </row>
    <row r="766" spans="1:13" ht="14.45" customHeight="1" x14ac:dyDescent="0.2">
      <c r="A766" s="464"/>
      <c r="B766" s="460"/>
      <c r="C766" s="461"/>
      <c r="D766" s="461"/>
      <c r="E766" s="462"/>
      <c r="F766" s="460"/>
      <c r="G766" s="461"/>
      <c r="H766" s="461"/>
      <c r="I766" s="461"/>
      <c r="J766" s="461"/>
      <c r="K766" s="463"/>
      <c r="L766" s="150"/>
      <c r="M766" s="459" t="str">
        <f t="shared" si="11"/>
        <v/>
      </c>
    </row>
    <row r="767" spans="1:13" ht="14.45" customHeight="1" x14ac:dyDescent="0.2">
      <c r="A767" s="464"/>
      <c r="B767" s="460"/>
      <c r="C767" s="461"/>
      <c r="D767" s="461"/>
      <c r="E767" s="462"/>
      <c r="F767" s="460"/>
      <c r="G767" s="461"/>
      <c r="H767" s="461"/>
      <c r="I767" s="461"/>
      <c r="J767" s="461"/>
      <c r="K767" s="463"/>
      <c r="L767" s="150"/>
      <c r="M767" s="459" t="str">
        <f t="shared" si="11"/>
        <v/>
      </c>
    </row>
    <row r="768" spans="1:13" ht="14.45" customHeight="1" x14ac:dyDescent="0.2">
      <c r="A768" s="464"/>
      <c r="B768" s="460"/>
      <c r="C768" s="461"/>
      <c r="D768" s="461"/>
      <c r="E768" s="462"/>
      <c r="F768" s="460"/>
      <c r="G768" s="461"/>
      <c r="H768" s="461"/>
      <c r="I768" s="461"/>
      <c r="J768" s="461"/>
      <c r="K768" s="463"/>
      <c r="L768" s="150"/>
      <c r="M768" s="459" t="str">
        <f t="shared" si="11"/>
        <v/>
      </c>
    </row>
    <row r="769" spans="1:13" ht="14.45" customHeight="1" x14ac:dyDescent="0.2">
      <c r="A769" s="464"/>
      <c r="B769" s="460"/>
      <c r="C769" s="461"/>
      <c r="D769" s="461"/>
      <c r="E769" s="462"/>
      <c r="F769" s="460"/>
      <c r="G769" s="461"/>
      <c r="H769" s="461"/>
      <c r="I769" s="461"/>
      <c r="J769" s="461"/>
      <c r="K769" s="463"/>
      <c r="L769" s="150"/>
      <c r="M769" s="459" t="str">
        <f t="shared" si="11"/>
        <v/>
      </c>
    </row>
    <row r="770" spans="1:13" ht="14.45" customHeight="1" x14ac:dyDescent="0.2">
      <c r="A770" s="464"/>
      <c r="B770" s="460"/>
      <c r="C770" s="461"/>
      <c r="D770" s="461"/>
      <c r="E770" s="462"/>
      <c r="F770" s="460"/>
      <c r="G770" s="461"/>
      <c r="H770" s="461"/>
      <c r="I770" s="461"/>
      <c r="J770" s="461"/>
      <c r="K770" s="463"/>
      <c r="L770" s="150"/>
      <c r="M770" s="459" t="str">
        <f t="shared" si="11"/>
        <v/>
      </c>
    </row>
    <row r="771" spans="1:13" ht="14.45" customHeight="1" x14ac:dyDescent="0.2">
      <c r="A771" s="464"/>
      <c r="B771" s="460"/>
      <c r="C771" s="461"/>
      <c r="D771" s="461"/>
      <c r="E771" s="462"/>
      <c r="F771" s="460"/>
      <c r="G771" s="461"/>
      <c r="H771" s="461"/>
      <c r="I771" s="461"/>
      <c r="J771" s="461"/>
      <c r="K771" s="463"/>
      <c r="L771" s="150"/>
      <c r="M771" s="459" t="str">
        <f t="shared" si="11"/>
        <v/>
      </c>
    </row>
    <row r="772" spans="1:13" ht="14.45" customHeight="1" x14ac:dyDescent="0.2">
      <c r="A772" s="464"/>
      <c r="B772" s="460"/>
      <c r="C772" s="461"/>
      <c r="D772" s="461"/>
      <c r="E772" s="462"/>
      <c r="F772" s="460"/>
      <c r="G772" s="461"/>
      <c r="H772" s="461"/>
      <c r="I772" s="461"/>
      <c r="J772" s="461"/>
      <c r="K772" s="463"/>
      <c r="L772" s="150"/>
      <c r="M772" s="459" t="str">
        <f t="shared" si="11"/>
        <v/>
      </c>
    </row>
    <row r="773" spans="1:13" ht="14.45" customHeight="1" x14ac:dyDescent="0.2">
      <c r="A773" s="464"/>
      <c r="B773" s="460"/>
      <c r="C773" s="461"/>
      <c r="D773" s="461"/>
      <c r="E773" s="462"/>
      <c r="F773" s="460"/>
      <c r="G773" s="461"/>
      <c r="H773" s="461"/>
      <c r="I773" s="461"/>
      <c r="J773" s="461"/>
      <c r="K773" s="463"/>
      <c r="L773" s="150"/>
      <c r="M773" s="459" t="str">
        <f t="shared" si="11"/>
        <v/>
      </c>
    </row>
    <row r="774" spans="1:13" ht="14.45" customHeight="1" x14ac:dyDescent="0.2">
      <c r="A774" s="464"/>
      <c r="B774" s="460"/>
      <c r="C774" s="461"/>
      <c r="D774" s="461"/>
      <c r="E774" s="462"/>
      <c r="F774" s="460"/>
      <c r="G774" s="461"/>
      <c r="H774" s="461"/>
      <c r="I774" s="461"/>
      <c r="J774" s="461"/>
      <c r="K774" s="463"/>
      <c r="L774" s="150"/>
      <c r="M774" s="459" t="str">
        <f t="shared" ref="M774:M818" si="12">IF(A774="HV","HV",IF(OR(LEFT(A774,16)="               5",LEFT(A774,16)="               6",LEFT(A774,16)="               7",LEFT(A774,16)="               8"),"X",""))</f>
        <v/>
      </c>
    </row>
    <row r="775" spans="1:13" ht="14.45" customHeight="1" x14ac:dyDescent="0.2">
      <c r="A775" s="464"/>
      <c r="B775" s="460"/>
      <c r="C775" s="461"/>
      <c r="D775" s="461"/>
      <c r="E775" s="462"/>
      <c r="F775" s="460"/>
      <c r="G775" s="461"/>
      <c r="H775" s="461"/>
      <c r="I775" s="461"/>
      <c r="J775" s="461"/>
      <c r="K775" s="463"/>
      <c r="L775" s="150"/>
      <c r="M775" s="459" t="str">
        <f t="shared" si="12"/>
        <v/>
      </c>
    </row>
    <row r="776" spans="1:13" ht="14.45" customHeight="1" x14ac:dyDescent="0.2">
      <c r="A776" s="464"/>
      <c r="B776" s="460"/>
      <c r="C776" s="461"/>
      <c r="D776" s="461"/>
      <c r="E776" s="462"/>
      <c r="F776" s="460"/>
      <c r="G776" s="461"/>
      <c r="H776" s="461"/>
      <c r="I776" s="461"/>
      <c r="J776" s="461"/>
      <c r="K776" s="463"/>
      <c r="L776" s="150"/>
      <c r="M776" s="459" t="str">
        <f t="shared" si="12"/>
        <v/>
      </c>
    </row>
    <row r="777" spans="1:13" ht="14.45" customHeight="1" x14ac:dyDescent="0.2">
      <c r="A777" s="464"/>
      <c r="B777" s="460"/>
      <c r="C777" s="461"/>
      <c r="D777" s="461"/>
      <c r="E777" s="462"/>
      <c r="F777" s="460"/>
      <c r="G777" s="461"/>
      <c r="H777" s="461"/>
      <c r="I777" s="461"/>
      <c r="J777" s="461"/>
      <c r="K777" s="463"/>
      <c r="L777" s="150"/>
      <c r="M777" s="459" t="str">
        <f t="shared" si="12"/>
        <v/>
      </c>
    </row>
    <row r="778" spans="1:13" ht="14.45" customHeight="1" x14ac:dyDescent="0.2">
      <c r="A778" s="464"/>
      <c r="B778" s="460"/>
      <c r="C778" s="461"/>
      <c r="D778" s="461"/>
      <c r="E778" s="462"/>
      <c r="F778" s="460"/>
      <c r="G778" s="461"/>
      <c r="H778" s="461"/>
      <c r="I778" s="461"/>
      <c r="J778" s="461"/>
      <c r="K778" s="463"/>
      <c r="L778" s="150"/>
      <c r="M778" s="459" t="str">
        <f t="shared" si="12"/>
        <v/>
      </c>
    </row>
    <row r="779" spans="1:13" ht="14.45" customHeight="1" x14ac:dyDescent="0.2">
      <c r="A779" s="464"/>
      <c r="B779" s="460"/>
      <c r="C779" s="461"/>
      <c r="D779" s="461"/>
      <c r="E779" s="462"/>
      <c r="F779" s="460"/>
      <c r="G779" s="461"/>
      <c r="H779" s="461"/>
      <c r="I779" s="461"/>
      <c r="J779" s="461"/>
      <c r="K779" s="463"/>
      <c r="L779" s="150"/>
      <c r="M779" s="459" t="str">
        <f t="shared" si="12"/>
        <v/>
      </c>
    </row>
    <row r="780" spans="1:13" ht="14.45" customHeight="1" x14ac:dyDescent="0.2">
      <c r="A780" s="464"/>
      <c r="B780" s="460"/>
      <c r="C780" s="461"/>
      <c r="D780" s="461"/>
      <c r="E780" s="462"/>
      <c r="F780" s="460"/>
      <c r="G780" s="461"/>
      <c r="H780" s="461"/>
      <c r="I780" s="461"/>
      <c r="J780" s="461"/>
      <c r="K780" s="463"/>
      <c r="L780" s="150"/>
      <c r="M780" s="459" t="str">
        <f t="shared" si="12"/>
        <v/>
      </c>
    </row>
    <row r="781" spans="1:13" ht="14.45" customHeight="1" x14ac:dyDescent="0.2">
      <c r="A781" s="464"/>
      <c r="B781" s="460"/>
      <c r="C781" s="461"/>
      <c r="D781" s="461"/>
      <c r="E781" s="462"/>
      <c r="F781" s="460"/>
      <c r="G781" s="461"/>
      <c r="H781" s="461"/>
      <c r="I781" s="461"/>
      <c r="J781" s="461"/>
      <c r="K781" s="463"/>
      <c r="L781" s="150"/>
      <c r="M781" s="459" t="str">
        <f t="shared" si="12"/>
        <v/>
      </c>
    </row>
    <row r="782" spans="1:13" ht="14.45" customHeight="1" x14ac:dyDescent="0.2">
      <c r="A782" s="464"/>
      <c r="B782" s="460"/>
      <c r="C782" s="461"/>
      <c r="D782" s="461"/>
      <c r="E782" s="462"/>
      <c r="F782" s="460"/>
      <c r="G782" s="461"/>
      <c r="H782" s="461"/>
      <c r="I782" s="461"/>
      <c r="J782" s="461"/>
      <c r="K782" s="463"/>
      <c r="L782" s="150"/>
      <c r="M782" s="459" t="str">
        <f t="shared" si="12"/>
        <v/>
      </c>
    </row>
    <row r="783" spans="1:13" ht="14.45" customHeight="1" x14ac:dyDescent="0.2">
      <c r="A783" s="464"/>
      <c r="B783" s="460"/>
      <c r="C783" s="461"/>
      <c r="D783" s="461"/>
      <c r="E783" s="462"/>
      <c r="F783" s="460"/>
      <c r="G783" s="461"/>
      <c r="H783" s="461"/>
      <c r="I783" s="461"/>
      <c r="J783" s="461"/>
      <c r="K783" s="463"/>
      <c r="L783" s="150"/>
      <c r="M783" s="459" t="str">
        <f t="shared" si="12"/>
        <v/>
      </c>
    </row>
    <row r="784" spans="1:13" ht="14.45" customHeight="1" x14ac:dyDescent="0.2">
      <c r="A784" s="464"/>
      <c r="B784" s="460"/>
      <c r="C784" s="461"/>
      <c r="D784" s="461"/>
      <c r="E784" s="462"/>
      <c r="F784" s="460"/>
      <c r="G784" s="461"/>
      <c r="H784" s="461"/>
      <c r="I784" s="461"/>
      <c r="J784" s="461"/>
      <c r="K784" s="463"/>
      <c r="L784" s="150"/>
      <c r="M784" s="459" t="str">
        <f t="shared" si="12"/>
        <v/>
      </c>
    </row>
    <row r="785" spans="1:13" ht="14.45" customHeight="1" x14ac:dyDescent="0.2">
      <c r="A785" s="464"/>
      <c r="B785" s="460"/>
      <c r="C785" s="461"/>
      <c r="D785" s="461"/>
      <c r="E785" s="462"/>
      <c r="F785" s="460"/>
      <c r="G785" s="461"/>
      <c r="H785" s="461"/>
      <c r="I785" s="461"/>
      <c r="J785" s="461"/>
      <c r="K785" s="463"/>
      <c r="L785" s="150"/>
      <c r="M785" s="459" t="str">
        <f t="shared" si="12"/>
        <v/>
      </c>
    </row>
    <row r="786" spans="1:13" ht="14.45" customHeight="1" x14ac:dyDescent="0.2">
      <c r="A786" s="464"/>
      <c r="B786" s="460"/>
      <c r="C786" s="461"/>
      <c r="D786" s="461"/>
      <c r="E786" s="462"/>
      <c r="F786" s="460"/>
      <c r="G786" s="461"/>
      <c r="H786" s="461"/>
      <c r="I786" s="461"/>
      <c r="J786" s="461"/>
      <c r="K786" s="463"/>
      <c r="L786" s="150"/>
      <c r="M786" s="459" t="str">
        <f t="shared" si="12"/>
        <v/>
      </c>
    </row>
    <row r="787" spans="1:13" ht="14.45" customHeight="1" x14ac:dyDescent="0.2">
      <c r="A787" s="464"/>
      <c r="B787" s="460"/>
      <c r="C787" s="461"/>
      <c r="D787" s="461"/>
      <c r="E787" s="462"/>
      <c r="F787" s="460"/>
      <c r="G787" s="461"/>
      <c r="H787" s="461"/>
      <c r="I787" s="461"/>
      <c r="J787" s="461"/>
      <c r="K787" s="463"/>
      <c r="L787" s="150"/>
      <c r="M787" s="459" t="str">
        <f t="shared" si="12"/>
        <v/>
      </c>
    </row>
    <row r="788" spans="1:13" ht="14.45" customHeight="1" x14ac:dyDescent="0.2">
      <c r="A788" s="464"/>
      <c r="B788" s="460"/>
      <c r="C788" s="461"/>
      <c r="D788" s="461"/>
      <c r="E788" s="462"/>
      <c r="F788" s="460"/>
      <c r="G788" s="461"/>
      <c r="H788" s="461"/>
      <c r="I788" s="461"/>
      <c r="J788" s="461"/>
      <c r="K788" s="463"/>
      <c r="L788" s="150"/>
      <c r="M788" s="459" t="str">
        <f t="shared" si="12"/>
        <v/>
      </c>
    </row>
    <row r="789" spans="1:13" ht="14.45" customHeight="1" x14ac:dyDescent="0.2">
      <c r="A789" s="464"/>
      <c r="B789" s="460"/>
      <c r="C789" s="461"/>
      <c r="D789" s="461"/>
      <c r="E789" s="462"/>
      <c r="F789" s="460"/>
      <c r="G789" s="461"/>
      <c r="H789" s="461"/>
      <c r="I789" s="461"/>
      <c r="J789" s="461"/>
      <c r="K789" s="463"/>
      <c r="L789" s="150"/>
      <c r="M789" s="459" t="str">
        <f t="shared" si="12"/>
        <v/>
      </c>
    </row>
    <row r="790" spans="1:13" ht="14.45" customHeight="1" x14ac:dyDescent="0.2">
      <c r="A790" s="464"/>
      <c r="B790" s="460"/>
      <c r="C790" s="461"/>
      <c r="D790" s="461"/>
      <c r="E790" s="462"/>
      <c r="F790" s="460"/>
      <c r="G790" s="461"/>
      <c r="H790" s="461"/>
      <c r="I790" s="461"/>
      <c r="J790" s="461"/>
      <c r="K790" s="463"/>
      <c r="L790" s="150"/>
      <c r="M790" s="459" t="str">
        <f t="shared" si="12"/>
        <v/>
      </c>
    </row>
    <row r="791" spans="1:13" ht="14.45" customHeight="1" x14ac:dyDescent="0.2">
      <c r="A791" s="464"/>
      <c r="B791" s="460"/>
      <c r="C791" s="461"/>
      <c r="D791" s="461"/>
      <c r="E791" s="462"/>
      <c r="F791" s="460"/>
      <c r="G791" s="461"/>
      <c r="H791" s="461"/>
      <c r="I791" s="461"/>
      <c r="J791" s="461"/>
      <c r="K791" s="463"/>
      <c r="L791" s="150"/>
      <c r="M791" s="459" t="str">
        <f t="shared" si="12"/>
        <v/>
      </c>
    </row>
    <row r="792" spans="1:13" ht="14.45" customHeight="1" x14ac:dyDescent="0.2">
      <c r="A792" s="464"/>
      <c r="B792" s="460"/>
      <c r="C792" s="461"/>
      <c r="D792" s="461"/>
      <c r="E792" s="462"/>
      <c r="F792" s="460"/>
      <c r="G792" s="461"/>
      <c r="H792" s="461"/>
      <c r="I792" s="461"/>
      <c r="J792" s="461"/>
      <c r="K792" s="463"/>
      <c r="L792" s="150"/>
      <c r="M792" s="459" t="str">
        <f t="shared" si="12"/>
        <v/>
      </c>
    </row>
    <row r="793" spans="1:13" ht="14.45" customHeight="1" x14ac:dyDescent="0.2">
      <c r="A793" s="464"/>
      <c r="B793" s="460"/>
      <c r="C793" s="461"/>
      <c r="D793" s="461"/>
      <c r="E793" s="462"/>
      <c r="F793" s="460"/>
      <c r="G793" s="461"/>
      <c r="H793" s="461"/>
      <c r="I793" s="461"/>
      <c r="J793" s="461"/>
      <c r="K793" s="463"/>
      <c r="L793" s="150"/>
      <c r="M793" s="459" t="str">
        <f t="shared" si="12"/>
        <v/>
      </c>
    </row>
    <row r="794" spans="1:13" ht="14.45" customHeight="1" x14ac:dyDescent="0.2">
      <c r="A794" s="464"/>
      <c r="B794" s="460"/>
      <c r="C794" s="461"/>
      <c r="D794" s="461"/>
      <c r="E794" s="462"/>
      <c r="F794" s="460"/>
      <c r="G794" s="461"/>
      <c r="H794" s="461"/>
      <c r="I794" s="461"/>
      <c r="J794" s="461"/>
      <c r="K794" s="463"/>
      <c r="L794" s="150"/>
      <c r="M794" s="459" t="str">
        <f t="shared" si="12"/>
        <v/>
      </c>
    </row>
    <row r="795" spans="1:13" ht="14.45" customHeight="1" x14ac:dyDescent="0.2">
      <c r="A795" s="464"/>
      <c r="B795" s="460"/>
      <c r="C795" s="461"/>
      <c r="D795" s="461"/>
      <c r="E795" s="462"/>
      <c r="F795" s="460"/>
      <c r="G795" s="461"/>
      <c r="H795" s="461"/>
      <c r="I795" s="461"/>
      <c r="J795" s="461"/>
      <c r="K795" s="463"/>
      <c r="L795" s="150"/>
      <c r="M795" s="459" t="str">
        <f t="shared" si="12"/>
        <v/>
      </c>
    </row>
    <row r="796" spans="1:13" ht="14.45" customHeight="1" x14ac:dyDescent="0.2">
      <c r="A796" s="464"/>
      <c r="B796" s="460"/>
      <c r="C796" s="461"/>
      <c r="D796" s="461"/>
      <c r="E796" s="462"/>
      <c r="F796" s="460"/>
      <c r="G796" s="461"/>
      <c r="H796" s="461"/>
      <c r="I796" s="461"/>
      <c r="J796" s="461"/>
      <c r="K796" s="463"/>
      <c r="L796" s="150"/>
      <c r="M796" s="459" t="str">
        <f t="shared" si="12"/>
        <v/>
      </c>
    </row>
    <row r="797" spans="1:13" ht="14.45" customHeight="1" x14ac:dyDescent="0.2">
      <c r="A797" s="464"/>
      <c r="B797" s="460"/>
      <c r="C797" s="461"/>
      <c r="D797" s="461"/>
      <c r="E797" s="462"/>
      <c r="F797" s="460"/>
      <c r="G797" s="461"/>
      <c r="H797" s="461"/>
      <c r="I797" s="461"/>
      <c r="J797" s="461"/>
      <c r="K797" s="463"/>
      <c r="L797" s="150"/>
      <c r="M797" s="459" t="str">
        <f t="shared" si="12"/>
        <v/>
      </c>
    </row>
    <row r="798" spans="1:13" ht="14.45" customHeight="1" x14ac:dyDescent="0.2">
      <c r="A798" s="464"/>
      <c r="B798" s="460"/>
      <c r="C798" s="461"/>
      <c r="D798" s="461"/>
      <c r="E798" s="462"/>
      <c r="F798" s="460"/>
      <c r="G798" s="461"/>
      <c r="H798" s="461"/>
      <c r="I798" s="461"/>
      <c r="J798" s="461"/>
      <c r="K798" s="463"/>
      <c r="L798" s="150"/>
      <c r="M798" s="459" t="str">
        <f t="shared" si="12"/>
        <v/>
      </c>
    </row>
    <row r="799" spans="1:13" ht="14.45" customHeight="1" x14ac:dyDescent="0.2">
      <c r="A799" s="464"/>
      <c r="B799" s="460"/>
      <c r="C799" s="461"/>
      <c r="D799" s="461"/>
      <c r="E799" s="462"/>
      <c r="F799" s="460"/>
      <c r="G799" s="461"/>
      <c r="H799" s="461"/>
      <c r="I799" s="461"/>
      <c r="J799" s="461"/>
      <c r="K799" s="463"/>
      <c r="L799" s="150"/>
      <c r="M799" s="459" t="str">
        <f t="shared" si="12"/>
        <v/>
      </c>
    </row>
    <row r="800" spans="1:13" ht="14.45" customHeight="1" x14ac:dyDescent="0.2">
      <c r="A800" s="464"/>
      <c r="B800" s="460"/>
      <c r="C800" s="461"/>
      <c r="D800" s="461"/>
      <c r="E800" s="462"/>
      <c r="F800" s="460"/>
      <c r="G800" s="461"/>
      <c r="H800" s="461"/>
      <c r="I800" s="461"/>
      <c r="J800" s="461"/>
      <c r="K800" s="463"/>
      <c r="L800" s="150"/>
      <c r="M800" s="459" t="str">
        <f t="shared" si="12"/>
        <v/>
      </c>
    </row>
    <row r="801" spans="1:13" ht="14.45" customHeight="1" x14ac:dyDescent="0.2">
      <c r="A801" s="464"/>
      <c r="B801" s="460"/>
      <c r="C801" s="461"/>
      <c r="D801" s="461"/>
      <c r="E801" s="462"/>
      <c r="F801" s="460"/>
      <c r="G801" s="461"/>
      <c r="H801" s="461"/>
      <c r="I801" s="461"/>
      <c r="J801" s="461"/>
      <c r="K801" s="463"/>
      <c r="L801" s="150"/>
      <c r="M801" s="459" t="str">
        <f t="shared" si="12"/>
        <v/>
      </c>
    </row>
    <row r="802" spans="1:13" ht="14.45" customHeight="1" x14ac:dyDescent="0.2">
      <c r="A802" s="464"/>
      <c r="B802" s="460"/>
      <c r="C802" s="461"/>
      <c r="D802" s="461"/>
      <c r="E802" s="462"/>
      <c r="F802" s="460"/>
      <c r="G802" s="461"/>
      <c r="H802" s="461"/>
      <c r="I802" s="461"/>
      <c r="J802" s="461"/>
      <c r="K802" s="463"/>
      <c r="L802" s="150"/>
      <c r="M802" s="459" t="str">
        <f t="shared" si="12"/>
        <v/>
      </c>
    </row>
    <row r="803" spans="1:13" ht="14.45" customHeight="1" x14ac:dyDescent="0.2">
      <c r="A803" s="464"/>
      <c r="B803" s="460"/>
      <c r="C803" s="461"/>
      <c r="D803" s="461"/>
      <c r="E803" s="462"/>
      <c r="F803" s="460"/>
      <c r="G803" s="461"/>
      <c r="H803" s="461"/>
      <c r="I803" s="461"/>
      <c r="J803" s="461"/>
      <c r="K803" s="463"/>
      <c r="L803" s="150"/>
      <c r="M803" s="459" t="str">
        <f t="shared" si="12"/>
        <v/>
      </c>
    </row>
    <row r="804" spans="1:13" ht="14.45" customHeight="1" x14ac:dyDescent="0.2">
      <c r="A804" s="464"/>
      <c r="B804" s="460"/>
      <c r="C804" s="461"/>
      <c r="D804" s="461"/>
      <c r="E804" s="462"/>
      <c r="F804" s="460"/>
      <c r="G804" s="461"/>
      <c r="H804" s="461"/>
      <c r="I804" s="461"/>
      <c r="J804" s="461"/>
      <c r="K804" s="463"/>
      <c r="L804" s="150"/>
      <c r="M804" s="459" t="str">
        <f t="shared" si="12"/>
        <v/>
      </c>
    </row>
    <row r="805" spans="1:13" ht="14.45" customHeight="1" x14ac:dyDescent="0.2">
      <c r="A805" s="464"/>
      <c r="B805" s="460"/>
      <c r="C805" s="461"/>
      <c r="D805" s="461"/>
      <c r="E805" s="462"/>
      <c r="F805" s="460"/>
      <c r="G805" s="461"/>
      <c r="H805" s="461"/>
      <c r="I805" s="461"/>
      <c r="J805" s="461"/>
      <c r="K805" s="463"/>
      <c r="L805" s="150"/>
      <c r="M805" s="459" t="str">
        <f t="shared" si="12"/>
        <v/>
      </c>
    </row>
    <row r="806" spans="1:13" ht="14.45" customHeight="1" x14ac:dyDescent="0.2">
      <c r="A806" s="464"/>
      <c r="B806" s="460"/>
      <c r="C806" s="461"/>
      <c r="D806" s="461"/>
      <c r="E806" s="462"/>
      <c r="F806" s="460"/>
      <c r="G806" s="461"/>
      <c r="H806" s="461"/>
      <c r="I806" s="461"/>
      <c r="J806" s="461"/>
      <c r="K806" s="463"/>
      <c r="L806" s="150"/>
      <c r="M806" s="459" t="str">
        <f t="shared" si="12"/>
        <v/>
      </c>
    </row>
    <row r="807" spans="1:13" ht="14.45" customHeight="1" x14ac:dyDescent="0.2">
      <c r="A807" s="464"/>
      <c r="B807" s="460"/>
      <c r="C807" s="461"/>
      <c r="D807" s="461"/>
      <c r="E807" s="462"/>
      <c r="F807" s="460"/>
      <c r="G807" s="461"/>
      <c r="H807" s="461"/>
      <c r="I807" s="461"/>
      <c r="J807" s="461"/>
      <c r="K807" s="463"/>
      <c r="L807" s="150"/>
      <c r="M807" s="459" t="str">
        <f t="shared" si="12"/>
        <v/>
      </c>
    </row>
    <row r="808" spans="1:13" ht="14.45" customHeight="1" x14ac:dyDescent="0.2">
      <c r="A808" s="464"/>
      <c r="B808" s="460"/>
      <c r="C808" s="461"/>
      <c r="D808" s="461"/>
      <c r="E808" s="462"/>
      <c r="F808" s="460"/>
      <c r="G808" s="461"/>
      <c r="H808" s="461"/>
      <c r="I808" s="461"/>
      <c r="J808" s="461"/>
      <c r="K808" s="463"/>
      <c r="L808" s="150"/>
      <c r="M808" s="459" t="str">
        <f t="shared" si="12"/>
        <v/>
      </c>
    </row>
    <row r="809" spans="1:13" ht="14.45" customHeight="1" x14ac:dyDescent="0.2">
      <c r="A809" s="464"/>
      <c r="B809" s="460"/>
      <c r="C809" s="461"/>
      <c r="D809" s="461"/>
      <c r="E809" s="462"/>
      <c r="F809" s="460"/>
      <c r="G809" s="461"/>
      <c r="H809" s="461"/>
      <c r="I809" s="461"/>
      <c r="J809" s="461"/>
      <c r="K809" s="463"/>
      <c r="L809" s="150"/>
      <c r="M809" s="459" t="str">
        <f t="shared" si="12"/>
        <v/>
      </c>
    </row>
    <row r="810" spans="1:13" ht="14.45" customHeight="1" x14ac:dyDescent="0.2">
      <c r="A810" s="464"/>
      <c r="B810" s="460"/>
      <c r="C810" s="461"/>
      <c r="D810" s="461"/>
      <c r="E810" s="462"/>
      <c r="F810" s="460"/>
      <c r="G810" s="461"/>
      <c r="H810" s="461"/>
      <c r="I810" s="461"/>
      <c r="J810" s="461"/>
      <c r="K810" s="463"/>
      <c r="L810" s="150"/>
      <c r="M810" s="459" t="str">
        <f t="shared" si="12"/>
        <v/>
      </c>
    </row>
    <row r="811" spans="1:13" ht="14.45" customHeight="1" x14ac:dyDescent="0.2">
      <c r="A811" s="464"/>
      <c r="B811" s="460"/>
      <c r="C811" s="461"/>
      <c r="D811" s="461"/>
      <c r="E811" s="462"/>
      <c r="F811" s="460"/>
      <c r="G811" s="461"/>
      <c r="H811" s="461"/>
      <c r="I811" s="461"/>
      <c r="J811" s="461"/>
      <c r="K811" s="463"/>
      <c r="L811" s="150"/>
      <c r="M811" s="459" t="str">
        <f t="shared" si="12"/>
        <v/>
      </c>
    </row>
    <row r="812" spans="1:13" ht="14.45" customHeight="1" x14ac:dyDescent="0.2">
      <c r="A812" s="464"/>
      <c r="B812" s="460"/>
      <c r="C812" s="461"/>
      <c r="D812" s="461"/>
      <c r="E812" s="462"/>
      <c r="F812" s="460"/>
      <c r="G812" s="461"/>
      <c r="H812" s="461"/>
      <c r="I812" s="461"/>
      <c r="J812" s="461"/>
      <c r="K812" s="463"/>
      <c r="L812" s="150"/>
      <c r="M812" s="459" t="str">
        <f t="shared" si="12"/>
        <v/>
      </c>
    </row>
    <row r="813" spans="1:13" ht="14.45" customHeight="1" x14ac:dyDescent="0.2">
      <c r="A813" s="464"/>
      <c r="B813" s="460"/>
      <c r="C813" s="461"/>
      <c r="D813" s="461"/>
      <c r="E813" s="462"/>
      <c r="F813" s="460"/>
      <c r="G813" s="461"/>
      <c r="H813" s="461"/>
      <c r="I813" s="461"/>
      <c r="J813" s="461"/>
      <c r="K813" s="463"/>
      <c r="L813" s="150"/>
      <c r="M813" s="459" t="str">
        <f t="shared" si="12"/>
        <v/>
      </c>
    </row>
    <row r="814" spans="1:13" ht="14.45" customHeight="1" x14ac:dyDescent="0.2">
      <c r="A814" s="464"/>
      <c r="B814" s="460"/>
      <c r="C814" s="461"/>
      <c r="D814" s="461"/>
      <c r="E814" s="462"/>
      <c r="F814" s="460"/>
      <c r="G814" s="461"/>
      <c r="H814" s="461"/>
      <c r="I814" s="461"/>
      <c r="J814" s="461"/>
      <c r="K814" s="463"/>
      <c r="L814" s="150"/>
      <c r="M814" s="459" t="str">
        <f t="shared" si="12"/>
        <v/>
      </c>
    </row>
    <row r="815" spans="1:13" ht="14.45" customHeight="1" x14ac:dyDescent="0.2">
      <c r="A815" s="464"/>
      <c r="B815" s="460"/>
      <c r="C815" s="461"/>
      <c r="D815" s="461"/>
      <c r="E815" s="462"/>
      <c r="F815" s="460"/>
      <c r="G815" s="461"/>
      <c r="H815" s="461"/>
      <c r="I815" s="461"/>
      <c r="J815" s="461"/>
      <c r="K815" s="463"/>
      <c r="L815" s="150"/>
      <c r="M815" s="459" t="str">
        <f t="shared" si="12"/>
        <v/>
      </c>
    </row>
    <row r="816" spans="1:13" ht="14.45" customHeight="1" x14ac:dyDescent="0.2">
      <c r="A816" s="464"/>
      <c r="B816" s="460"/>
      <c r="C816" s="461"/>
      <c r="D816" s="461"/>
      <c r="E816" s="462"/>
      <c r="F816" s="460"/>
      <c r="G816" s="461"/>
      <c r="H816" s="461"/>
      <c r="I816" s="461"/>
      <c r="J816" s="461"/>
      <c r="K816" s="463"/>
      <c r="L816" s="150"/>
      <c r="M816" s="459" t="str">
        <f t="shared" si="12"/>
        <v/>
      </c>
    </row>
    <row r="817" spans="1:13" ht="14.45" customHeight="1" x14ac:dyDescent="0.2">
      <c r="A817" s="464"/>
      <c r="B817" s="460"/>
      <c r="C817" s="461"/>
      <c r="D817" s="461"/>
      <c r="E817" s="462"/>
      <c r="F817" s="460"/>
      <c r="G817" s="461"/>
      <c r="H817" s="461"/>
      <c r="I817" s="461"/>
      <c r="J817" s="461"/>
      <c r="K817" s="463"/>
      <c r="L817" s="150"/>
      <c r="M817" s="459" t="str">
        <f t="shared" si="12"/>
        <v/>
      </c>
    </row>
    <row r="818" spans="1:13" ht="14.45" customHeight="1" x14ac:dyDescent="0.2">
      <c r="A818" s="464"/>
      <c r="B818" s="460"/>
      <c r="C818" s="461"/>
      <c r="D818" s="461"/>
      <c r="E818" s="462"/>
      <c r="F818" s="460"/>
      <c r="G818" s="461"/>
      <c r="H818" s="461"/>
      <c r="I818" s="461"/>
      <c r="J818" s="461"/>
      <c r="K818" s="463"/>
      <c r="L818" s="150"/>
      <c r="M818" s="459" t="str">
        <f t="shared" si="12"/>
        <v/>
      </c>
    </row>
  </sheetData>
  <autoFilter ref="A5" xr:uid="{00000000-0009-0000-0000-000006000000}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conditionalFormatting sqref="A23:K818">
    <cfRule type="expression" dxfId="58" priority="3">
      <formula>$M23="HV"</formula>
    </cfRule>
    <cfRule type="expression" dxfId="57" priority="4">
      <formula>$M23="X"</formula>
    </cfRule>
  </conditionalFormatting>
  <conditionalFormatting sqref="A6:K22">
    <cfRule type="expression" dxfId="56" priority="1">
      <formula>$M6="HV"</formula>
    </cfRule>
    <cfRule type="expression" dxfId="55" priority="2">
      <formula>$M6="X"</formula>
    </cfRule>
  </conditionalFormatting>
  <hyperlinks>
    <hyperlink ref="A2" location="Obsah!A1" display="Zpět na Obsah  KL 01  1.-4.měsíc" xr:uid="{00AFB0AB-A9DB-49DF-B42C-7C71CD31E121}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9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ColWidth="8.85546875" defaultRowHeight="14.45" customHeight="1" outlineLevelCol="1" x14ac:dyDescent="0.2"/>
  <cols>
    <col min="1" max="1" width="5.5703125" style="208" customWidth="1"/>
    <col min="2" max="2" width="61.140625" style="208" customWidth="1"/>
    <col min="3" max="3" width="9.5703125" style="129" customWidth="1" outlineLevel="1"/>
    <col min="4" max="4" width="9.5703125" style="209" customWidth="1"/>
    <col min="5" max="5" width="2.28515625" style="209" customWidth="1"/>
    <col min="6" max="6" width="9.5703125" style="210" customWidth="1"/>
    <col min="7" max="7" width="9.5703125" style="207" customWidth="1"/>
    <col min="8" max="9" width="9.5703125" style="129" customWidth="1"/>
    <col min="10" max="10" width="0" style="129" hidden="1" customWidth="1"/>
    <col min="11" max="16384" width="8.85546875" style="129"/>
  </cols>
  <sheetData>
    <row r="1" spans="1:10" ht="18.600000000000001" customHeight="1" thickBot="1" x14ac:dyDescent="0.35">
      <c r="A1" s="359" t="s">
        <v>137</v>
      </c>
      <c r="B1" s="360"/>
      <c r="C1" s="360"/>
      <c r="D1" s="360"/>
      <c r="E1" s="360"/>
      <c r="F1" s="360"/>
      <c r="G1" s="330"/>
      <c r="H1" s="361"/>
      <c r="I1" s="361"/>
    </row>
    <row r="2" spans="1:10" ht="14.45" customHeight="1" thickBot="1" x14ac:dyDescent="0.25">
      <c r="A2" s="232" t="s">
        <v>270</v>
      </c>
      <c r="B2" s="206"/>
      <c r="C2" s="206"/>
      <c r="D2" s="206"/>
      <c r="E2" s="206"/>
      <c r="F2" s="206"/>
    </row>
    <row r="3" spans="1:10" ht="14.45" customHeight="1" thickBot="1" x14ac:dyDescent="0.25">
      <c r="A3" s="232"/>
      <c r="B3" s="271"/>
      <c r="C3" s="270">
        <v>2018</v>
      </c>
      <c r="D3" s="239">
        <v>2019</v>
      </c>
      <c r="E3" s="7"/>
      <c r="F3" s="338">
        <v>2020</v>
      </c>
      <c r="G3" s="356"/>
      <c r="H3" s="356"/>
      <c r="I3" s="339"/>
    </row>
    <row r="4" spans="1:10" ht="14.45" customHeight="1" thickBot="1" x14ac:dyDescent="0.25">
      <c r="A4" s="243" t="s">
        <v>0</v>
      </c>
      <c r="B4" s="244" t="s">
        <v>195</v>
      </c>
      <c r="C4" s="357" t="s">
        <v>72</v>
      </c>
      <c r="D4" s="358"/>
      <c r="E4" s="245"/>
      <c r="F4" s="240" t="s">
        <v>72</v>
      </c>
      <c r="G4" s="241" t="s">
        <v>73</v>
      </c>
      <c r="H4" s="241" t="s">
        <v>67</v>
      </c>
      <c r="I4" s="242" t="s">
        <v>74</v>
      </c>
    </row>
    <row r="5" spans="1:10" ht="14.45" customHeight="1" x14ac:dyDescent="0.2">
      <c r="A5" s="465" t="s">
        <v>477</v>
      </c>
      <c r="B5" s="466" t="s">
        <v>478</v>
      </c>
      <c r="C5" s="467" t="s">
        <v>271</v>
      </c>
      <c r="D5" s="467" t="s">
        <v>271</v>
      </c>
      <c r="E5" s="467"/>
      <c r="F5" s="467" t="s">
        <v>271</v>
      </c>
      <c r="G5" s="467" t="s">
        <v>271</v>
      </c>
      <c r="H5" s="467" t="s">
        <v>271</v>
      </c>
      <c r="I5" s="468" t="s">
        <v>271</v>
      </c>
      <c r="J5" s="469" t="s">
        <v>68</v>
      </c>
    </row>
    <row r="6" spans="1:10" ht="14.45" customHeight="1" x14ac:dyDescent="0.2">
      <c r="A6" s="465" t="s">
        <v>477</v>
      </c>
      <c r="B6" s="466" t="s">
        <v>479</v>
      </c>
      <c r="C6" s="467">
        <v>33.463669999999986</v>
      </c>
      <c r="D6" s="467">
        <v>33.28364999999998</v>
      </c>
      <c r="E6" s="467"/>
      <c r="F6" s="467">
        <v>39.566250000000004</v>
      </c>
      <c r="G6" s="467">
        <v>0</v>
      </c>
      <c r="H6" s="467">
        <v>39.566250000000004</v>
      </c>
      <c r="I6" s="468" t="s">
        <v>271</v>
      </c>
      <c r="J6" s="469" t="s">
        <v>1</v>
      </c>
    </row>
    <row r="7" spans="1:10" ht="14.45" customHeight="1" x14ac:dyDescent="0.2">
      <c r="A7" s="465" t="s">
        <v>477</v>
      </c>
      <c r="B7" s="466" t="s">
        <v>480</v>
      </c>
      <c r="C7" s="467">
        <v>33.463669999999986</v>
      </c>
      <c r="D7" s="467">
        <v>33.28364999999998</v>
      </c>
      <c r="E7" s="467"/>
      <c r="F7" s="467">
        <v>39.566250000000004</v>
      </c>
      <c r="G7" s="467">
        <v>0</v>
      </c>
      <c r="H7" s="467">
        <v>39.566250000000004</v>
      </c>
      <c r="I7" s="468" t="s">
        <v>271</v>
      </c>
      <c r="J7" s="469" t="s">
        <v>481</v>
      </c>
    </row>
    <row r="9" spans="1:10" ht="14.45" customHeight="1" x14ac:dyDescent="0.2">
      <c r="A9" s="465" t="s">
        <v>477</v>
      </c>
      <c r="B9" s="466" t="s">
        <v>478</v>
      </c>
      <c r="C9" s="467" t="s">
        <v>271</v>
      </c>
      <c r="D9" s="467" t="s">
        <v>271</v>
      </c>
      <c r="E9" s="467"/>
      <c r="F9" s="467" t="s">
        <v>271</v>
      </c>
      <c r="G9" s="467" t="s">
        <v>271</v>
      </c>
      <c r="H9" s="467" t="s">
        <v>271</v>
      </c>
      <c r="I9" s="468" t="s">
        <v>271</v>
      </c>
      <c r="J9" s="469" t="s">
        <v>68</v>
      </c>
    </row>
    <row r="10" spans="1:10" ht="14.45" customHeight="1" x14ac:dyDescent="0.2">
      <c r="A10" s="465" t="s">
        <v>482</v>
      </c>
      <c r="B10" s="466" t="s">
        <v>483</v>
      </c>
      <c r="C10" s="467" t="s">
        <v>271</v>
      </c>
      <c r="D10" s="467" t="s">
        <v>271</v>
      </c>
      <c r="E10" s="467"/>
      <c r="F10" s="467" t="s">
        <v>271</v>
      </c>
      <c r="G10" s="467" t="s">
        <v>271</v>
      </c>
      <c r="H10" s="467" t="s">
        <v>271</v>
      </c>
      <c r="I10" s="468" t="s">
        <v>271</v>
      </c>
      <c r="J10" s="469" t="s">
        <v>0</v>
      </c>
    </row>
    <row r="11" spans="1:10" ht="14.45" customHeight="1" x14ac:dyDescent="0.2">
      <c r="A11" s="465" t="s">
        <v>482</v>
      </c>
      <c r="B11" s="466" t="s">
        <v>479</v>
      </c>
      <c r="C11" s="467">
        <v>2.6258199999999996</v>
      </c>
      <c r="D11" s="467">
        <v>0.97471000000000008</v>
      </c>
      <c r="E11" s="467"/>
      <c r="F11" s="467">
        <v>2.6551199999999997</v>
      </c>
      <c r="G11" s="467">
        <v>0</v>
      </c>
      <c r="H11" s="467">
        <v>2.6551199999999997</v>
      </c>
      <c r="I11" s="468" t="s">
        <v>271</v>
      </c>
      <c r="J11" s="469" t="s">
        <v>1</v>
      </c>
    </row>
    <row r="12" spans="1:10" ht="14.45" customHeight="1" x14ac:dyDescent="0.2">
      <c r="A12" s="465" t="s">
        <v>482</v>
      </c>
      <c r="B12" s="466" t="s">
        <v>484</v>
      </c>
      <c r="C12" s="467">
        <v>2.6258199999999996</v>
      </c>
      <c r="D12" s="467">
        <v>0.97471000000000008</v>
      </c>
      <c r="E12" s="467"/>
      <c r="F12" s="467">
        <v>2.6551199999999997</v>
      </c>
      <c r="G12" s="467">
        <v>0</v>
      </c>
      <c r="H12" s="467">
        <v>2.6551199999999997</v>
      </c>
      <c r="I12" s="468" t="s">
        <v>271</v>
      </c>
      <c r="J12" s="469" t="s">
        <v>485</v>
      </c>
    </row>
    <row r="13" spans="1:10" ht="14.45" customHeight="1" x14ac:dyDescent="0.2">
      <c r="A13" s="465" t="s">
        <v>271</v>
      </c>
      <c r="B13" s="466" t="s">
        <v>271</v>
      </c>
      <c r="C13" s="467" t="s">
        <v>271</v>
      </c>
      <c r="D13" s="467" t="s">
        <v>271</v>
      </c>
      <c r="E13" s="467"/>
      <c r="F13" s="467" t="s">
        <v>271</v>
      </c>
      <c r="G13" s="467" t="s">
        <v>271</v>
      </c>
      <c r="H13" s="467" t="s">
        <v>271</v>
      </c>
      <c r="I13" s="468" t="s">
        <v>271</v>
      </c>
      <c r="J13" s="469" t="s">
        <v>486</v>
      </c>
    </row>
    <row r="14" spans="1:10" ht="14.45" customHeight="1" x14ac:dyDescent="0.2">
      <c r="A14" s="465" t="s">
        <v>487</v>
      </c>
      <c r="B14" s="466" t="s">
        <v>488</v>
      </c>
      <c r="C14" s="467" t="s">
        <v>271</v>
      </c>
      <c r="D14" s="467" t="s">
        <v>271</v>
      </c>
      <c r="E14" s="467"/>
      <c r="F14" s="467" t="s">
        <v>271</v>
      </c>
      <c r="G14" s="467" t="s">
        <v>271</v>
      </c>
      <c r="H14" s="467" t="s">
        <v>271</v>
      </c>
      <c r="I14" s="468" t="s">
        <v>271</v>
      </c>
      <c r="J14" s="469" t="s">
        <v>0</v>
      </c>
    </row>
    <row r="15" spans="1:10" ht="14.45" customHeight="1" x14ac:dyDescent="0.2">
      <c r="A15" s="465" t="s">
        <v>487</v>
      </c>
      <c r="B15" s="466" t="s">
        <v>479</v>
      </c>
      <c r="C15" s="467">
        <v>30.837849999999989</v>
      </c>
      <c r="D15" s="467">
        <v>32.308939999999978</v>
      </c>
      <c r="E15" s="467"/>
      <c r="F15" s="467">
        <v>36.911130000000007</v>
      </c>
      <c r="G15" s="467">
        <v>0</v>
      </c>
      <c r="H15" s="467">
        <v>36.911130000000007</v>
      </c>
      <c r="I15" s="468" t="s">
        <v>271</v>
      </c>
      <c r="J15" s="469" t="s">
        <v>1</v>
      </c>
    </row>
    <row r="16" spans="1:10" ht="14.45" customHeight="1" x14ac:dyDescent="0.2">
      <c r="A16" s="465" t="s">
        <v>487</v>
      </c>
      <c r="B16" s="466" t="s">
        <v>489</v>
      </c>
      <c r="C16" s="467">
        <v>30.837849999999989</v>
      </c>
      <c r="D16" s="467">
        <v>32.308939999999978</v>
      </c>
      <c r="E16" s="467"/>
      <c r="F16" s="467">
        <v>36.911130000000007</v>
      </c>
      <c r="G16" s="467">
        <v>0</v>
      </c>
      <c r="H16" s="467">
        <v>36.911130000000007</v>
      </c>
      <c r="I16" s="468" t="s">
        <v>271</v>
      </c>
      <c r="J16" s="469" t="s">
        <v>485</v>
      </c>
    </row>
    <row r="17" spans="1:10" ht="14.45" customHeight="1" x14ac:dyDescent="0.2">
      <c r="A17" s="465" t="s">
        <v>271</v>
      </c>
      <c r="B17" s="466" t="s">
        <v>271</v>
      </c>
      <c r="C17" s="467" t="s">
        <v>271</v>
      </c>
      <c r="D17" s="467" t="s">
        <v>271</v>
      </c>
      <c r="E17" s="467"/>
      <c r="F17" s="467" t="s">
        <v>271</v>
      </c>
      <c r="G17" s="467" t="s">
        <v>271</v>
      </c>
      <c r="H17" s="467" t="s">
        <v>271</v>
      </c>
      <c r="I17" s="468" t="s">
        <v>271</v>
      </c>
      <c r="J17" s="469" t="s">
        <v>486</v>
      </c>
    </row>
    <row r="18" spans="1:10" ht="14.45" customHeight="1" x14ac:dyDescent="0.2">
      <c r="A18" s="465" t="s">
        <v>477</v>
      </c>
      <c r="B18" s="466" t="s">
        <v>480</v>
      </c>
      <c r="C18" s="467">
        <v>33.463669999999986</v>
      </c>
      <c r="D18" s="467">
        <v>33.28364999999998</v>
      </c>
      <c r="E18" s="467"/>
      <c r="F18" s="467">
        <v>39.566250000000004</v>
      </c>
      <c r="G18" s="467">
        <v>0</v>
      </c>
      <c r="H18" s="467">
        <v>39.566250000000004</v>
      </c>
      <c r="I18" s="468" t="s">
        <v>271</v>
      </c>
      <c r="J18" s="469" t="s">
        <v>481</v>
      </c>
    </row>
  </sheetData>
  <mergeCells count="3">
    <mergeCell ref="F3:I3"/>
    <mergeCell ref="C4:D4"/>
    <mergeCell ref="A1:I1"/>
  </mergeCells>
  <conditionalFormatting sqref="F8 F19:F65537">
    <cfRule type="cellIs" dxfId="54" priority="18" stopIfTrue="1" operator="greaterThan">
      <formula>1</formula>
    </cfRule>
  </conditionalFormatting>
  <conditionalFormatting sqref="H5:H7">
    <cfRule type="expression" dxfId="53" priority="14">
      <formula>$H5&gt;0</formula>
    </cfRule>
  </conditionalFormatting>
  <conditionalFormatting sqref="I5:I7">
    <cfRule type="expression" dxfId="52" priority="15">
      <formula>$I5&gt;1</formula>
    </cfRule>
  </conditionalFormatting>
  <conditionalFormatting sqref="B5:B7">
    <cfRule type="expression" dxfId="51" priority="11">
      <formula>OR($J5="NS",$J5="SumaNS",$J5="Účet")</formula>
    </cfRule>
  </conditionalFormatting>
  <conditionalFormatting sqref="B5:D7 F5:I7">
    <cfRule type="expression" dxfId="50" priority="17">
      <formula>AND($J5&lt;&gt;"",$J5&lt;&gt;"mezeraKL")</formula>
    </cfRule>
  </conditionalFormatting>
  <conditionalFormatting sqref="B5:D7 F5:I7">
    <cfRule type="expression" dxfId="49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48" priority="13">
      <formula>OR($J5="SumaNS",$J5="NS")</formula>
    </cfRule>
  </conditionalFormatting>
  <conditionalFormatting sqref="A5:A7">
    <cfRule type="expression" dxfId="47" priority="9">
      <formula>AND($J5&lt;&gt;"mezeraKL",$J5&lt;&gt;"")</formula>
    </cfRule>
  </conditionalFormatting>
  <conditionalFormatting sqref="A5:A7">
    <cfRule type="expression" dxfId="46" priority="10">
      <formula>AND($J5&lt;&gt;"",$J5&lt;&gt;"mezeraKL")</formula>
    </cfRule>
  </conditionalFormatting>
  <conditionalFormatting sqref="H9:H18">
    <cfRule type="expression" dxfId="45" priority="5">
      <formula>$H9&gt;0</formula>
    </cfRule>
  </conditionalFormatting>
  <conditionalFormatting sqref="A9:A18">
    <cfRule type="expression" dxfId="44" priority="2">
      <formula>AND($J9&lt;&gt;"mezeraKL",$J9&lt;&gt;"")</formula>
    </cfRule>
  </conditionalFormatting>
  <conditionalFormatting sqref="I9:I18">
    <cfRule type="expression" dxfId="43" priority="6">
      <formula>$I9&gt;1</formula>
    </cfRule>
  </conditionalFormatting>
  <conditionalFormatting sqref="B9:B18">
    <cfRule type="expression" dxfId="42" priority="1">
      <formula>OR($J9="NS",$J9="SumaNS",$J9="Účet")</formula>
    </cfRule>
  </conditionalFormatting>
  <conditionalFormatting sqref="A9:D18 F9:I18">
    <cfRule type="expression" dxfId="41" priority="8">
      <formula>AND($J9&lt;&gt;"",$J9&lt;&gt;"mezeraKL")</formula>
    </cfRule>
  </conditionalFormatting>
  <conditionalFormatting sqref="B9:D18 F9:I18">
    <cfRule type="expression" dxfId="40" priority="3">
      <formula>OR($J9="KL",$J9="SumaKL")</formula>
    </cfRule>
    <cfRule type="expression" priority="7" stopIfTrue="1">
      <formula>OR($J9="mezeraNS",$J9="mezeraKL")</formula>
    </cfRule>
  </conditionalFormatting>
  <conditionalFormatting sqref="B9:D18 F9:I18">
    <cfRule type="expression" dxfId="39" priority="4">
      <formula>OR($J9="SumaNS",$J9="NS")</formula>
    </cfRule>
  </conditionalFormatting>
  <hyperlinks>
    <hyperlink ref="A2" location="Obsah!A1" display="Zpět na Obsah  KL 01  1.-4.měsíc" xr:uid="{1427004E-0AFC-4BDE-8978-6826813288F8}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10">
    <tabColor theme="0" tint="-0.249977111117893"/>
    <pageSetUpPr fitToPage="1"/>
  </sheetPr>
  <dimension ref="A1:N1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ColWidth="8.85546875" defaultRowHeight="14.45" customHeight="1" outlineLevelCol="1" x14ac:dyDescent="0.2"/>
  <cols>
    <col min="1" max="1" width="6.7109375" style="129" hidden="1" customWidth="1" outlineLevel="1"/>
    <col min="2" max="2" width="28.28515625" style="129" hidden="1" customWidth="1" outlineLevel="1"/>
    <col min="3" max="3" width="5.28515625" style="209" bestFit="1" customWidth="1" collapsed="1"/>
    <col min="4" max="4" width="18.7109375" style="213" customWidth="1"/>
    <col min="5" max="5" width="9" style="275" bestFit="1" customWidth="1"/>
    <col min="6" max="6" width="18.7109375" style="213" customWidth="1"/>
    <col min="7" max="7" width="5" style="209" customWidth="1"/>
    <col min="8" max="8" width="12.42578125" style="209" hidden="1" customWidth="1" outlineLevel="1"/>
    <col min="9" max="9" width="8.5703125" style="209" hidden="1" customWidth="1" outlineLevel="1"/>
    <col min="10" max="10" width="25.7109375" style="209" customWidth="1" collapsed="1"/>
    <col min="11" max="11" width="8.7109375" style="209" customWidth="1"/>
    <col min="12" max="13" width="7.7109375" style="207" customWidth="1"/>
    <col min="14" max="14" width="12.7109375" style="207" customWidth="1"/>
    <col min="15" max="16384" width="8.85546875" style="129"/>
  </cols>
  <sheetData>
    <row r="1" spans="1:14" ht="18.600000000000001" customHeight="1" thickBot="1" x14ac:dyDescent="0.35">
      <c r="A1" s="366" t="s">
        <v>163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</row>
    <row r="2" spans="1:14" ht="14.45" customHeight="1" thickBot="1" x14ac:dyDescent="0.25">
      <c r="A2" s="232" t="s">
        <v>270</v>
      </c>
      <c r="B2" s="62"/>
      <c r="C2" s="211"/>
      <c r="D2" s="211"/>
      <c r="E2" s="274"/>
      <c r="F2" s="211"/>
      <c r="G2" s="211"/>
      <c r="H2" s="211"/>
      <c r="I2" s="211"/>
      <c r="J2" s="211"/>
      <c r="K2" s="211"/>
      <c r="L2" s="212"/>
      <c r="M2" s="212"/>
      <c r="N2" s="212"/>
    </row>
    <row r="3" spans="1:14" ht="14.45" customHeight="1" thickBot="1" x14ac:dyDescent="0.25">
      <c r="A3" s="62"/>
      <c r="B3" s="62"/>
      <c r="C3" s="362"/>
      <c r="D3" s="363"/>
      <c r="E3" s="363"/>
      <c r="F3" s="363"/>
      <c r="G3" s="363"/>
      <c r="H3" s="363"/>
      <c r="I3" s="363"/>
      <c r="J3" s="364" t="s">
        <v>127</v>
      </c>
      <c r="K3" s="365"/>
      <c r="L3" s="98">
        <f>IF(M3&lt;&gt;0,N3/M3,0)</f>
        <v>195.24345329782793</v>
      </c>
      <c r="M3" s="98">
        <f>SUBTOTAL(9,M5:M1048576)</f>
        <v>46.7</v>
      </c>
      <c r="N3" s="99">
        <f>SUBTOTAL(9,N5:N1048576)</f>
        <v>9117.8692690085645</v>
      </c>
    </row>
    <row r="4" spans="1:14" s="208" customFormat="1" ht="14.45" customHeight="1" thickBot="1" x14ac:dyDescent="0.25">
      <c r="A4" s="470" t="s">
        <v>4</v>
      </c>
      <c r="B4" s="471" t="s">
        <v>5</v>
      </c>
      <c r="C4" s="471" t="s">
        <v>0</v>
      </c>
      <c r="D4" s="471" t="s">
        <v>6</v>
      </c>
      <c r="E4" s="472" t="s">
        <v>7</v>
      </c>
      <c r="F4" s="471" t="s">
        <v>1</v>
      </c>
      <c r="G4" s="471" t="s">
        <v>8</v>
      </c>
      <c r="H4" s="471" t="s">
        <v>9</v>
      </c>
      <c r="I4" s="471" t="s">
        <v>10</v>
      </c>
      <c r="J4" s="473" t="s">
        <v>11</v>
      </c>
      <c r="K4" s="473" t="s">
        <v>12</v>
      </c>
      <c r="L4" s="474" t="s">
        <v>142</v>
      </c>
      <c r="M4" s="474" t="s">
        <v>13</v>
      </c>
      <c r="N4" s="475" t="s">
        <v>159</v>
      </c>
    </row>
    <row r="5" spans="1:14" ht="14.45" customHeight="1" x14ac:dyDescent="0.2">
      <c r="A5" s="478" t="s">
        <v>477</v>
      </c>
      <c r="B5" s="479" t="s">
        <v>478</v>
      </c>
      <c r="C5" s="480" t="s">
        <v>482</v>
      </c>
      <c r="D5" s="481" t="s">
        <v>483</v>
      </c>
      <c r="E5" s="482">
        <v>50113001</v>
      </c>
      <c r="F5" s="481" t="s">
        <v>490</v>
      </c>
      <c r="G5" s="480" t="s">
        <v>491</v>
      </c>
      <c r="H5" s="480">
        <v>112894</v>
      </c>
      <c r="I5" s="480">
        <v>12894</v>
      </c>
      <c r="J5" s="480" t="s">
        <v>492</v>
      </c>
      <c r="K5" s="480" t="s">
        <v>493</v>
      </c>
      <c r="L5" s="483">
        <v>60.510000000000005</v>
      </c>
      <c r="M5" s="483">
        <v>2</v>
      </c>
      <c r="N5" s="484">
        <v>121.02000000000001</v>
      </c>
    </row>
    <row r="6" spans="1:14" ht="14.45" customHeight="1" x14ac:dyDescent="0.2">
      <c r="A6" s="485" t="s">
        <v>477</v>
      </c>
      <c r="B6" s="486" t="s">
        <v>478</v>
      </c>
      <c r="C6" s="487" t="s">
        <v>482</v>
      </c>
      <c r="D6" s="488" t="s">
        <v>483</v>
      </c>
      <c r="E6" s="489">
        <v>50113001</v>
      </c>
      <c r="F6" s="488" t="s">
        <v>490</v>
      </c>
      <c r="G6" s="487" t="s">
        <v>491</v>
      </c>
      <c r="H6" s="487">
        <v>841498</v>
      </c>
      <c r="I6" s="487">
        <v>31951</v>
      </c>
      <c r="J6" s="487" t="s">
        <v>494</v>
      </c>
      <c r="K6" s="487" t="s">
        <v>495</v>
      </c>
      <c r="L6" s="490">
        <v>50.660000000000011</v>
      </c>
      <c r="M6" s="490">
        <v>1</v>
      </c>
      <c r="N6" s="491">
        <v>50.660000000000011</v>
      </c>
    </row>
    <row r="7" spans="1:14" ht="14.45" customHeight="1" x14ac:dyDescent="0.2">
      <c r="A7" s="485" t="s">
        <v>477</v>
      </c>
      <c r="B7" s="486" t="s">
        <v>478</v>
      </c>
      <c r="C7" s="487" t="s">
        <v>482</v>
      </c>
      <c r="D7" s="488" t="s">
        <v>483</v>
      </c>
      <c r="E7" s="489">
        <v>50113001</v>
      </c>
      <c r="F7" s="488" t="s">
        <v>490</v>
      </c>
      <c r="G7" s="487" t="s">
        <v>491</v>
      </c>
      <c r="H7" s="487">
        <v>501596</v>
      </c>
      <c r="I7" s="487">
        <v>0</v>
      </c>
      <c r="J7" s="487" t="s">
        <v>496</v>
      </c>
      <c r="K7" s="487" t="s">
        <v>497</v>
      </c>
      <c r="L7" s="490">
        <v>113.26</v>
      </c>
      <c r="M7" s="490">
        <v>1</v>
      </c>
      <c r="N7" s="491">
        <v>113.26</v>
      </c>
    </row>
    <row r="8" spans="1:14" ht="14.45" customHeight="1" x14ac:dyDescent="0.2">
      <c r="A8" s="485" t="s">
        <v>477</v>
      </c>
      <c r="B8" s="486" t="s">
        <v>478</v>
      </c>
      <c r="C8" s="487" t="s">
        <v>482</v>
      </c>
      <c r="D8" s="488" t="s">
        <v>483</v>
      </c>
      <c r="E8" s="489">
        <v>50113001</v>
      </c>
      <c r="F8" s="488" t="s">
        <v>490</v>
      </c>
      <c r="G8" s="487" t="s">
        <v>491</v>
      </c>
      <c r="H8" s="487">
        <v>157607</v>
      </c>
      <c r="I8" s="487">
        <v>57607</v>
      </c>
      <c r="J8" s="487" t="s">
        <v>498</v>
      </c>
      <c r="K8" s="487" t="s">
        <v>499</v>
      </c>
      <c r="L8" s="490">
        <v>44.83</v>
      </c>
      <c r="M8" s="490">
        <v>1</v>
      </c>
      <c r="N8" s="491">
        <v>44.83</v>
      </c>
    </row>
    <row r="9" spans="1:14" ht="14.45" customHeight="1" x14ac:dyDescent="0.2">
      <c r="A9" s="485" t="s">
        <v>477</v>
      </c>
      <c r="B9" s="486" t="s">
        <v>478</v>
      </c>
      <c r="C9" s="487" t="s">
        <v>482</v>
      </c>
      <c r="D9" s="488" t="s">
        <v>483</v>
      </c>
      <c r="E9" s="489">
        <v>50113001</v>
      </c>
      <c r="F9" s="488" t="s">
        <v>490</v>
      </c>
      <c r="G9" s="487" t="s">
        <v>491</v>
      </c>
      <c r="H9" s="487">
        <v>921227</v>
      </c>
      <c r="I9" s="487">
        <v>0</v>
      </c>
      <c r="J9" s="487" t="s">
        <v>500</v>
      </c>
      <c r="K9" s="487" t="s">
        <v>271</v>
      </c>
      <c r="L9" s="490">
        <v>289.60450498658088</v>
      </c>
      <c r="M9" s="490">
        <v>1</v>
      </c>
      <c r="N9" s="491">
        <v>289.60450498658088</v>
      </c>
    </row>
    <row r="10" spans="1:14" ht="14.45" customHeight="1" x14ac:dyDescent="0.2">
      <c r="A10" s="485" t="s">
        <v>477</v>
      </c>
      <c r="B10" s="486" t="s">
        <v>478</v>
      </c>
      <c r="C10" s="487" t="s">
        <v>482</v>
      </c>
      <c r="D10" s="488" t="s">
        <v>483</v>
      </c>
      <c r="E10" s="489">
        <v>50113001</v>
      </c>
      <c r="F10" s="488" t="s">
        <v>490</v>
      </c>
      <c r="G10" s="487" t="s">
        <v>491</v>
      </c>
      <c r="H10" s="487">
        <v>237329</v>
      </c>
      <c r="I10" s="487">
        <v>237329</v>
      </c>
      <c r="J10" s="487" t="s">
        <v>501</v>
      </c>
      <c r="K10" s="487" t="s">
        <v>502</v>
      </c>
      <c r="L10" s="490">
        <v>108.64</v>
      </c>
      <c r="M10" s="490">
        <v>1</v>
      </c>
      <c r="N10" s="491">
        <v>108.64</v>
      </c>
    </row>
    <row r="11" spans="1:14" ht="14.45" customHeight="1" x14ac:dyDescent="0.2">
      <c r="A11" s="485" t="s">
        <v>477</v>
      </c>
      <c r="B11" s="486" t="s">
        <v>478</v>
      </c>
      <c r="C11" s="487" t="s">
        <v>482</v>
      </c>
      <c r="D11" s="488" t="s">
        <v>483</v>
      </c>
      <c r="E11" s="489">
        <v>50113001</v>
      </c>
      <c r="F11" s="488" t="s">
        <v>490</v>
      </c>
      <c r="G11" s="487" t="s">
        <v>491</v>
      </c>
      <c r="H11" s="487">
        <v>237330</v>
      </c>
      <c r="I11" s="487">
        <v>237330</v>
      </c>
      <c r="J11" s="487" t="s">
        <v>503</v>
      </c>
      <c r="K11" s="487" t="s">
        <v>504</v>
      </c>
      <c r="L11" s="490">
        <v>101.71250000000001</v>
      </c>
      <c r="M11" s="490">
        <v>4</v>
      </c>
      <c r="N11" s="491">
        <v>406.85</v>
      </c>
    </row>
    <row r="12" spans="1:14" ht="14.45" customHeight="1" x14ac:dyDescent="0.2">
      <c r="A12" s="485" t="s">
        <v>477</v>
      </c>
      <c r="B12" s="486" t="s">
        <v>478</v>
      </c>
      <c r="C12" s="487" t="s">
        <v>487</v>
      </c>
      <c r="D12" s="488" t="s">
        <v>488</v>
      </c>
      <c r="E12" s="489">
        <v>50113001</v>
      </c>
      <c r="F12" s="488" t="s">
        <v>490</v>
      </c>
      <c r="G12" s="487" t="s">
        <v>491</v>
      </c>
      <c r="H12" s="487">
        <v>990585</v>
      </c>
      <c r="I12" s="487">
        <v>0</v>
      </c>
      <c r="J12" s="487" t="s">
        <v>505</v>
      </c>
      <c r="K12" s="487" t="s">
        <v>271</v>
      </c>
      <c r="L12" s="490">
        <v>52.950000000000017</v>
      </c>
      <c r="M12" s="490">
        <v>1</v>
      </c>
      <c r="N12" s="491">
        <v>52.950000000000017</v>
      </c>
    </row>
    <row r="13" spans="1:14" ht="14.45" customHeight="1" x14ac:dyDescent="0.2">
      <c r="A13" s="485" t="s">
        <v>477</v>
      </c>
      <c r="B13" s="486" t="s">
        <v>478</v>
      </c>
      <c r="C13" s="487" t="s">
        <v>487</v>
      </c>
      <c r="D13" s="488" t="s">
        <v>488</v>
      </c>
      <c r="E13" s="489">
        <v>50113001</v>
      </c>
      <c r="F13" s="488" t="s">
        <v>490</v>
      </c>
      <c r="G13" s="487" t="s">
        <v>491</v>
      </c>
      <c r="H13" s="487">
        <v>51366</v>
      </c>
      <c r="I13" s="487">
        <v>51366</v>
      </c>
      <c r="J13" s="487" t="s">
        <v>506</v>
      </c>
      <c r="K13" s="487" t="s">
        <v>507</v>
      </c>
      <c r="L13" s="490">
        <v>171.60000000000002</v>
      </c>
      <c r="M13" s="490">
        <v>1.7</v>
      </c>
      <c r="N13" s="491">
        <v>291.72000000000003</v>
      </c>
    </row>
    <row r="14" spans="1:14" ht="14.45" customHeight="1" x14ac:dyDescent="0.2">
      <c r="A14" s="485" t="s">
        <v>477</v>
      </c>
      <c r="B14" s="486" t="s">
        <v>478</v>
      </c>
      <c r="C14" s="487" t="s">
        <v>487</v>
      </c>
      <c r="D14" s="488" t="s">
        <v>488</v>
      </c>
      <c r="E14" s="489">
        <v>50113001</v>
      </c>
      <c r="F14" s="488" t="s">
        <v>490</v>
      </c>
      <c r="G14" s="487" t="s">
        <v>491</v>
      </c>
      <c r="H14" s="487">
        <v>102981</v>
      </c>
      <c r="I14" s="487">
        <v>25269</v>
      </c>
      <c r="J14" s="487" t="s">
        <v>508</v>
      </c>
      <c r="K14" s="487" t="s">
        <v>509</v>
      </c>
      <c r="L14" s="490">
        <v>45.674999999999997</v>
      </c>
      <c r="M14" s="490">
        <v>2</v>
      </c>
      <c r="N14" s="491">
        <v>91.35</v>
      </c>
    </row>
    <row r="15" spans="1:14" ht="14.45" customHeight="1" x14ac:dyDescent="0.2">
      <c r="A15" s="485" t="s">
        <v>477</v>
      </c>
      <c r="B15" s="486" t="s">
        <v>478</v>
      </c>
      <c r="C15" s="487" t="s">
        <v>487</v>
      </c>
      <c r="D15" s="488" t="s">
        <v>488</v>
      </c>
      <c r="E15" s="489">
        <v>50113001</v>
      </c>
      <c r="F15" s="488" t="s">
        <v>490</v>
      </c>
      <c r="G15" s="487" t="s">
        <v>491</v>
      </c>
      <c r="H15" s="487">
        <v>930589</v>
      </c>
      <c r="I15" s="487">
        <v>0</v>
      </c>
      <c r="J15" s="487" t="s">
        <v>510</v>
      </c>
      <c r="K15" s="487" t="s">
        <v>271</v>
      </c>
      <c r="L15" s="490">
        <v>170.42655808877311</v>
      </c>
      <c r="M15" s="490">
        <v>2</v>
      </c>
      <c r="N15" s="491">
        <v>340.85311617754621</v>
      </c>
    </row>
    <row r="16" spans="1:14" ht="14.45" customHeight="1" x14ac:dyDescent="0.2">
      <c r="A16" s="485" t="s">
        <v>477</v>
      </c>
      <c r="B16" s="486" t="s">
        <v>478</v>
      </c>
      <c r="C16" s="487" t="s">
        <v>487</v>
      </c>
      <c r="D16" s="488" t="s">
        <v>488</v>
      </c>
      <c r="E16" s="489">
        <v>50113001</v>
      </c>
      <c r="F16" s="488" t="s">
        <v>490</v>
      </c>
      <c r="G16" s="487" t="s">
        <v>491</v>
      </c>
      <c r="H16" s="487">
        <v>900321</v>
      </c>
      <c r="I16" s="487">
        <v>0</v>
      </c>
      <c r="J16" s="487" t="s">
        <v>511</v>
      </c>
      <c r="K16" s="487" t="s">
        <v>271</v>
      </c>
      <c r="L16" s="490">
        <v>226.8</v>
      </c>
      <c r="M16" s="490">
        <v>10</v>
      </c>
      <c r="N16" s="491">
        <v>2268</v>
      </c>
    </row>
    <row r="17" spans="1:14" ht="14.45" customHeight="1" thickBot="1" x14ac:dyDescent="0.25">
      <c r="A17" s="492" t="s">
        <v>477</v>
      </c>
      <c r="B17" s="493" t="s">
        <v>478</v>
      </c>
      <c r="C17" s="494" t="s">
        <v>487</v>
      </c>
      <c r="D17" s="495" t="s">
        <v>488</v>
      </c>
      <c r="E17" s="496">
        <v>50113001</v>
      </c>
      <c r="F17" s="495" t="s">
        <v>490</v>
      </c>
      <c r="G17" s="494" t="s">
        <v>491</v>
      </c>
      <c r="H17" s="494">
        <v>921227</v>
      </c>
      <c r="I17" s="494">
        <v>0</v>
      </c>
      <c r="J17" s="494" t="s">
        <v>500</v>
      </c>
      <c r="K17" s="494" t="s">
        <v>271</v>
      </c>
      <c r="L17" s="497">
        <v>259.90166567602301</v>
      </c>
      <c r="M17" s="497">
        <v>19</v>
      </c>
      <c r="N17" s="498">
        <v>4938.1316478444369</v>
      </c>
    </row>
  </sheetData>
  <autoFilter ref="A4:N4" xr:uid="{00000000-0009-0000-0000-000009000000}"/>
  <mergeCells count="3">
    <mergeCell ref="C3:I3"/>
    <mergeCell ref="J3:K3"/>
    <mergeCell ref="A1:N1"/>
  </mergeCells>
  <hyperlinks>
    <hyperlink ref="A2" location="Obsah!A1" display="Zpět na Obsah  KL 01  1.-4.měsíc" xr:uid="{84364887-F77E-4674-A781-9D5E813BF505}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8">
    <tabColor theme="0" tint="-0.249977111117893"/>
    <pageSetUpPr fitToPage="1"/>
  </sheetPr>
  <dimension ref="A1:F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ColWidth="8.85546875" defaultRowHeight="14.45" customHeight="1" x14ac:dyDescent="0.2"/>
  <cols>
    <col min="1" max="1" width="46.7109375" style="129" customWidth="1"/>
    <col min="2" max="2" width="10" style="207" customWidth="1"/>
    <col min="3" max="3" width="5.5703125" style="210" customWidth="1"/>
    <col min="4" max="4" width="10.85546875" style="207" customWidth="1"/>
    <col min="5" max="5" width="5.5703125" style="210" customWidth="1"/>
    <col min="6" max="6" width="10.85546875" style="207" customWidth="1"/>
    <col min="7" max="16384" width="8.85546875" style="129"/>
  </cols>
  <sheetData>
    <row r="1" spans="1:6" ht="37.15" customHeight="1" thickBot="1" x14ac:dyDescent="0.35">
      <c r="A1" s="367" t="s">
        <v>164</v>
      </c>
      <c r="B1" s="368"/>
      <c r="C1" s="368"/>
      <c r="D1" s="368"/>
      <c r="E1" s="368"/>
      <c r="F1" s="368"/>
    </row>
    <row r="2" spans="1:6" ht="14.45" customHeight="1" thickBot="1" x14ac:dyDescent="0.25">
      <c r="A2" s="232" t="s">
        <v>270</v>
      </c>
      <c r="B2" s="63"/>
      <c r="C2" s="64"/>
      <c r="D2" s="65"/>
      <c r="E2" s="64"/>
      <c r="F2" s="65"/>
    </row>
    <row r="3" spans="1:6" ht="14.45" customHeight="1" thickBot="1" x14ac:dyDescent="0.25">
      <c r="A3" s="100"/>
      <c r="B3" s="369" t="s">
        <v>129</v>
      </c>
      <c r="C3" s="370"/>
      <c r="D3" s="371" t="s">
        <v>128</v>
      </c>
      <c r="E3" s="370"/>
      <c r="F3" s="80" t="s">
        <v>3</v>
      </c>
    </row>
    <row r="4" spans="1:6" ht="14.45" customHeight="1" thickBot="1" x14ac:dyDescent="0.25">
      <c r="A4" s="499" t="s">
        <v>143</v>
      </c>
      <c r="B4" s="500" t="s">
        <v>14</v>
      </c>
      <c r="C4" s="501" t="s">
        <v>2</v>
      </c>
      <c r="D4" s="500" t="s">
        <v>14</v>
      </c>
      <c r="E4" s="501" t="s">
        <v>2</v>
      </c>
      <c r="F4" s="502" t="s">
        <v>14</v>
      </c>
    </row>
    <row r="5" spans="1:6" ht="14.45" customHeight="1" thickBot="1" x14ac:dyDescent="0.25">
      <c r="A5" s="513" t="s">
        <v>512</v>
      </c>
      <c r="B5" s="476">
        <v>491.93999999999994</v>
      </c>
      <c r="C5" s="503">
        <v>1</v>
      </c>
      <c r="D5" s="476"/>
      <c r="E5" s="503">
        <v>0</v>
      </c>
      <c r="F5" s="477">
        <v>491.93999999999994</v>
      </c>
    </row>
    <row r="6" spans="1:6" ht="14.45" customHeight="1" thickBot="1" x14ac:dyDescent="0.25">
      <c r="A6" s="509" t="s">
        <v>3</v>
      </c>
      <c r="B6" s="510">
        <v>491.93999999999994</v>
      </c>
      <c r="C6" s="511">
        <v>1</v>
      </c>
      <c r="D6" s="510"/>
      <c r="E6" s="511">
        <v>0</v>
      </c>
      <c r="F6" s="512">
        <v>491.93999999999994</v>
      </c>
    </row>
    <row r="7" spans="1:6" ht="14.45" customHeight="1" thickBot="1" x14ac:dyDescent="0.25"/>
    <row r="8" spans="1:6" ht="14.45" customHeight="1" thickBot="1" x14ac:dyDescent="0.25">
      <c r="A8" s="513" t="s">
        <v>513</v>
      </c>
      <c r="B8" s="476">
        <v>491.93999999999994</v>
      </c>
      <c r="C8" s="503">
        <v>1</v>
      </c>
      <c r="D8" s="476"/>
      <c r="E8" s="503">
        <v>0</v>
      </c>
      <c r="F8" s="477">
        <v>491.93999999999994</v>
      </c>
    </row>
    <row r="9" spans="1:6" ht="14.45" customHeight="1" thickBot="1" x14ac:dyDescent="0.25">
      <c r="A9" s="509" t="s">
        <v>3</v>
      </c>
      <c r="B9" s="510">
        <v>491.93999999999994</v>
      </c>
      <c r="C9" s="511">
        <v>1</v>
      </c>
      <c r="D9" s="510"/>
      <c r="E9" s="511">
        <v>0</v>
      </c>
      <c r="F9" s="512">
        <v>491.93999999999994</v>
      </c>
    </row>
  </sheetData>
  <mergeCells count="3">
    <mergeCell ref="A1:F1"/>
    <mergeCell ref="B3:C3"/>
    <mergeCell ref="D3:E3"/>
  </mergeCells>
  <conditionalFormatting sqref="C5:C1048576">
    <cfRule type="cellIs" dxfId="38" priority="8" stopIfTrue="1" operator="greaterThan">
      <formula>0.1</formula>
    </cfRule>
  </conditionalFormatting>
  <hyperlinks>
    <hyperlink ref="A2" location="Obsah!A1" display="Zpět na Obsah  KL 01  1.-4.měsíc" xr:uid="{F5F9EF39-48A8-47EB-A820-EC4953E1FA3B}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26</vt:i4>
      </vt:variant>
      <vt:variant>
        <vt:lpstr>Pojmenované oblasti</vt:lpstr>
      </vt:variant>
      <vt:variant>
        <vt:i4>3</vt:i4>
      </vt:variant>
    </vt:vector>
  </HeadingPairs>
  <TitlesOfParts>
    <vt:vector size="29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Vykáz.-A Det.Lék.</vt:lpstr>
      <vt:lpstr>ZV Vykáz.-H</vt:lpstr>
      <vt:lpstr>ZV Vykáz.-H Detail</vt:lpstr>
      <vt:lpstr>doměsíce</vt:lpstr>
      <vt:lpstr>'ON Data'!Obdobi</vt:lpstr>
      <vt:lpstr>'Osobní náklady'!Obdobi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Uživatel systému Windows</cp:lastModifiedBy>
  <cp:lastPrinted>2017-05-31T07:11:02Z</cp:lastPrinted>
  <dcterms:created xsi:type="dcterms:W3CDTF">2013-04-17T20:15:29Z</dcterms:created>
  <dcterms:modified xsi:type="dcterms:W3CDTF">2021-02-08T10:43:09Z</dcterms:modified>
</cp:coreProperties>
</file>