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éky Recepty" sheetId="346" r:id="rId9"/>
    <sheet name="LRp Lékaři" sheetId="415" r:id="rId10"/>
    <sheet name="LRp Detail" sheetId="347" r:id="rId11"/>
    <sheet name="LRp PL" sheetId="388" r:id="rId12"/>
    <sheet name="LRp PL Detail" sheetId="390" r:id="rId13"/>
    <sheet name="Materiál Žádanky" sheetId="402" r:id="rId14"/>
    <sheet name="MŽ Detail" sheetId="403" r:id="rId15"/>
    <sheet name="Osobní náklady" sheetId="419" r:id="rId16"/>
    <sheet name="ON Data" sheetId="418" state="hidden" r:id="rId17"/>
    <sheet name="ZV Vykáz.-A" sheetId="344" r:id="rId18"/>
    <sheet name="ZV Vykáz.-A Detail" sheetId="345" r:id="rId19"/>
    <sheet name="ZV Vykáz.-H" sheetId="410" r:id="rId20"/>
    <sheet name="ZV Vykáz.-H Detail" sheetId="377" r:id="rId21"/>
    <sheet name="ZV Vyžád." sheetId="342" r:id="rId22"/>
    <sheet name="ZV Vyžád. Detail" sheetId="343" r:id="rId23"/>
  </sheets>
  <definedNames>
    <definedName name="_xlnm._FilterDatabase" localSheetId="5" hidden="1">HV!$A$5:$A$5</definedName>
    <definedName name="_xlnm._FilterDatabase" localSheetId="8" hidden="1">'Léky Recepty'!$A$4:$M$4</definedName>
    <definedName name="_xlnm._FilterDatabase" localSheetId="6" hidden="1">'Léky Žádanky'!$A$3:$G$3</definedName>
    <definedName name="_xlnm._FilterDatabase" localSheetId="10" hidden="1">'LRp Detail'!$A$6:$U$6</definedName>
    <definedName name="_xlnm._FilterDatabase" localSheetId="9" hidden="1">'LRp Lékaři'!$A$4:$N$4</definedName>
    <definedName name="_xlnm._FilterDatabase" localSheetId="11" hidden="1">'LRp PL'!$A$3:$F$50</definedName>
    <definedName name="_xlnm._FilterDatabase" localSheetId="12" hidden="1">'LRp PL Detail'!$A$5:$M$1005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13" hidden="1">'Materiál Žádanky'!$A$3:$G$3</definedName>
    <definedName name="_xlnm._FilterDatabase" localSheetId="14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_xlnm._FilterDatabase" localSheetId="21" hidden="1">'ZV Vyžád.'!$A$5:$M$5</definedName>
    <definedName name="_xlnm._FilterDatabase" localSheetId="22" hidden="1">'ZV Vyžád.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7" i="339" l="1"/>
  <c r="B3" i="418" l="1"/>
  <c r="L6" i="419" l="1"/>
  <c r="H6" i="419"/>
  <c r="K6" i="419"/>
  <c r="G6" i="419"/>
  <c r="D6" i="419"/>
  <c r="J6" i="419"/>
  <c r="F6" i="419"/>
  <c r="C6" i="419"/>
  <c r="I6" i="419"/>
  <c r="E6" i="419"/>
  <c r="B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1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1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9" i="414"/>
  <c r="A7" i="414"/>
  <c r="A14" i="414"/>
  <c r="A4" i="414"/>
  <c r="A6" i="339" l="1"/>
  <c r="A5" i="339"/>
  <c r="D17" i="414"/>
  <c r="C17" i="414"/>
  <c r="D4" i="414"/>
  <c r="D14" i="414"/>
  <c r="D10" i="414" l="1"/>
  <c r="C13" i="414" l="1"/>
  <c r="C7" i="414"/>
  <c r="D9" i="414" l="1"/>
  <c r="E9" i="414" s="1"/>
  <c r="E19" i="414"/>
  <c r="E18" i="414"/>
  <c r="E13" i="414"/>
  <c r="E7" i="414"/>
  <c r="E10" i="414"/>
  <c r="A14" i="383" l="1"/>
  <c r="A17" i="383" l="1"/>
  <c r="C11" i="340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N3" i="220"/>
  <c r="L3" i="220" s="1"/>
  <c r="C20" i="414"/>
  <c r="D20" i="414"/>
  <c r="U3" i="347" l="1"/>
  <c r="Q3" i="347"/>
  <c r="C21" i="414"/>
  <c r="E21" i="414" s="1"/>
  <c r="F13" i="339"/>
  <c r="E13" i="339"/>
  <c r="E15" i="339" s="1"/>
  <c r="H12" i="339"/>
  <c r="G12" i="339"/>
  <c r="K3" i="390"/>
  <c r="A11" i="383"/>
  <c r="A4" i="383"/>
  <c r="A28" i="383"/>
  <c r="A27" i="383"/>
  <c r="A26" i="383"/>
  <c r="A25" i="383"/>
  <c r="A24" i="383"/>
  <c r="A23" i="383"/>
  <c r="A20" i="383"/>
  <c r="A19" i="383"/>
  <c r="A18" i="383"/>
  <c r="A16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Q3" i="343"/>
  <c r="P3" i="343"/>
  <c r="C13" i="339"/>
  <c r="C15" i="339" s="1"/>
  <c r="B13" i="339"/>
  <c r="B15" i="339" s="1"/>
  <c r="C14" i="414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<sst xmlns="http://schemas.openxmlformats.org/spreadsheetml/2006/main" count="5883" uniqueCount="1732">
  <si>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</si>
  <si>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</si>
  <si>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</si>
  <si>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</si>
  <si>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</si>
  <si>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</si>
  <si>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</si>
  <si>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</si>
  <si>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</si>
  <si>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</si>
  <si>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</si>
  <si>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</si>
  <si>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</si>
  <si>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</si>
  <si>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</si>
  <si>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</si>
  <si>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</si>
  <si>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</si>
  <si>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</si>
  <si>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</si>
  <si>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</si>
  <si>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</si>
  <si>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</si>
  <si>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</si>
  <si>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</si>
  <si>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</si>
  <si>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</si>
  <si>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</si>
  <si>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</si>
  <si>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</si>
  <si>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</si>
  <si>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</si>
  <si>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</si>
  <si>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</si>
  <si>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</si>
  <si>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</si>
  <si>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</si>
  <si>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</si>
  <si>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</si>
  <si>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</si>
  <si>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</si>
  <si>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</si>
  <si>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</si>
  <si>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</si>
  <si>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</si>
  <si>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</si>
  <si>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</si>
  <si>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</si>
  <si>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</si>
  <si>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</si>
  <si>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</si>
  <si>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</si>
  <si>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</si>
  <si>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</si>
  <si>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</si>
  <si>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</si>
  <si>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</si>
  <si>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</si>
  <si>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</si>
  <si>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</si>
  <si>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</si>
  <si>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</si>
  <si>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</si>
  <si>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</si>
  <si>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</si>
  <si>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</si>
  <si>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</si>
  <si>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</si>
  <si>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</si>
  <si>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</si>
  <si>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</si>
  <si>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</si>
  <si>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</si>
  <si>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</si>
  <si>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</si>
  <si>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</si>
  <si>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</si>
  <si>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</si>
  <si>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</si>
  <si>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</si>
  <si>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</si>
  <si>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</si>
  <si>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</si>
  <si>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</si>
  <si>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</si>
  <si>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</si>
  <si>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</si>
  <si>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</si>
  <si>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</si>
  <si>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</si>
  <si>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</si>
  <si>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</si>
  <si>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</si>
  <si>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</si>
  <si>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</si>
  <si>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</si>
  <si>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</si>
  <si>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</si>
  <si>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</si>
  <si>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</si>
  <si>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</si>
  <si>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</si>
  <si>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</si>
  <si>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</si>
  <si>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</si>
  <si>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</si>
  <si>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</si>
  <si>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</si>
  <si>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</si>
  <si>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</si>
  <si>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</si>
  <si>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</si>
  <si>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</si>
  <si>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</si>
  <si>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</si>
  <si>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</si>
  <si>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</si>
  <si>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</si>
  <si>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</si>
  <si>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</si>
  <si>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</si>
  <si>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</si>
  <si>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</si>
  <si>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</si>
  <si>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</si>
  <si>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</si>
  <si>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</si>
  <si>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</si>
  <si>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</si>
  <si>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</si>
  <si>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</si>
  <si>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</si>
  <si>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</si>
  <si>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</si>
  <si>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</si>
  <si>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</si>
  <si>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</si>
  <si>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</si>
  <si>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</si>
  <si>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</si>
  <si>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</si>
  <si>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</si>
  <si>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</si>
  <si>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</si>
  <si>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</si>
  <si>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</si>
  <si>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</si>
  <si>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</si>
  <si>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</si>
  <si>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</si>
  <si>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Přečerpáno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</si>
  <si>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</si>
  <si>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</si>
  <si>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</si>
  <si>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</si>
  <si>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</si>
  <si>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</si>
  <si>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</si>
  <si>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</si>
  <si>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</si>
  <si>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</si>
  <si>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</si>
  <si>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</si>
  <si>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</si>
  <si>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</si>
  <si>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</si>
  <si>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</si>
  <si>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</si>
  <si>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</si>
  <si>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</si>
  <si>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</si>
  <si>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</si>
  <si>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</si>
  <si>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</si>
  <si>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</si>
  <si>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</si>
  <si>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</si>
  <si>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</si>
  <si>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</si>
  <si>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</si>
  <si>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</si>
  <si>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</si>
  <si>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</si>
  <si>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</si>
  <si>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</si>
  <si>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</si>
  <si>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</si>
  <si>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</si>
  <si>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</si>
  <si>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</si>
  <si>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</si>
  <si>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</si>
  <si>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</si>
  <si>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* Legenda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</si>
  <si>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</si>
  <si>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</si>
  <si>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</si>
  <si>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</si>
  <si>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</si>
  <si>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</si>
  <si>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</si>
  <si>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</si>
  <si>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</si>
  <si>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</si>
  <si>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</si>
  <si>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</si>
  <si>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</si>
  <si>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</si>
  <si>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</si>
  <si>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</si>
  <si>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</si>
  <si>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</si>
  <si>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</si>
  <si>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</si>
  <si>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</si>
  <si>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</si>
  <si>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</si>
  <si>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</si>
  <si>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</si>
  <si>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</si>
  <si>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</si>
  <si>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</si>
  <si>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</si>
  <si>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</si>
  <si>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</si>
  <si>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</si>
  <si>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</si>
  <si>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</si>
  <si>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</si>
  <si>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</si>
  <si>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</si>
  <si>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</si>
  <si>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</si>
  <si>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</si>
  <si>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</si>
  <si>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</si>
  <si>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</si>
  <si>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</si>
  <si>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</si>
  <si>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</si>
  <si>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</si>
  <si>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</si>
  <si>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</si>
  <si>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</si>
  <si>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</si>
  <si>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</si>
  <si>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</si>
  <si>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</si>
  <si>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</si>
  <si>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plastické a estetické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</si>
  <si>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</si>
  <si>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</si>
  <si>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</si>
  <si>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</si>
  <si>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</si>
  <si>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</si>
  <si>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</si>
  <si>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</si>
  <si>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</si>
  <si>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</si>
  <si>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</si>
  <si>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50115     Zdravotnické prostředky</t>
  </si>
  <si>
    <t>50115004     implant.umělé těl.náhr.-kovové (s.Z_506)</t>
  </si>
  <si>
    <t>50115008     implant.-plastická, estetická chirurgie (sk.Z_521)</t>
  </si>
  <si>
    <t>50115011     implant.umělé těl.náhr.-ostat.nákl.PZT(s.Z_515)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</si>
  <si>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</si>
  <si>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</si>
  <si>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</si>
  <si>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</si>
  <si>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</si>
  <si>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</si>
  <si>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</si>
  <si>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</si>
  <si>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</si>
  <si>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</si>
  <si>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</si>
  <si>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</si>
  <si>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</si>
  <si>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</si>
  <si>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</si>
  <si>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</si>
  <si>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</si>
  <si>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</si>
  <si>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</si>
  <si>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</si>
  <si>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</si>
  <si>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</si>
  <si>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</si>
  <si>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</si>
  <si>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</si>
  <si>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</si>
  <si>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</si>
  <si>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</si>
  <si>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</si>
  <si>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</si>
  <si>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</si>
  <si>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</si>
  <si>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</si>
  <si>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</si>
  <si>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</si>
  <si>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</si>
  <si>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</si>
  <si>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</si>
  <si>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</si>
  <si>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</si>
  <si>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</si>
  <si>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</si>
  <si>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</si>
  <si>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</si>
  <si>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</si>
  <si>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</si>
  <si>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</si>
  <si>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</si>
  <si>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</si>
  <si>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</si>
  <si>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</si>
  <si>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</si>
  <si>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</si>
  <si>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</si>
  <si>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</si>
  <si>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</si>
  <si>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</si>
  <si>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</si>
  <si>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</si>
  <si>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</si>
  <si>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</si>
  <si>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</si>
  <si>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</si>
  <si>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</si>
  <si>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</si>
  <si>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</si>
  <si>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</si>
  <si>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</si>
  <si>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</si>
  <si>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</si>
  <si>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</si>
  <si>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</si>
  <si>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</si>
  <si>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</si>
  <si>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</si>
  <si>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</si>
  <si>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</si>
  <si>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</si>
  <si>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</si>
  <si>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</si>
  <si>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</si>
  <si>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</si>
  <si>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</si>
  <si>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</si>
  <si>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</si>
  <si>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</si>
  <si>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</si>
  <si>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</si>
  <si>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</si>
  <si>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54972     Školení, kongres.popl.tuzemské - lékaři (pouze OPMČ)</t>
  </si>
  <si>
    <t>54972000     školení, kongres.popl.tuzemské - lékaři (pouze OPMČ)</t>
  </si>
  <si>
    <t>54999     Přípěvky a poplatky(daň.neúčinné)</t>
  </si>
  <si>
    <t>54999001     zaměstnanecký benefit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</si>
  <si>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</si>
  <si>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</si>
  <si>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</si>
  <si>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</si>
  <si>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</si>
  <si>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</si>
  <si>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</si>
  <si>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</si>
  <si>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</si>
  <si>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</si>
  <si>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</si>
  <si>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55801081     DDHM - zdravotnický a laboratorní (finanční dary)</t>
  </si>
  <si>
    <t>55802     DDHM - provozní</t>
  </si>
  <si>
    <t>55802003     DDHM - kacelářská technika (sk.V_37)</t>
  </si>
  <si>
    <t>55806     DDHM ostatní</t>
  </si>
  <si>
    <t>55806081     DDHM ostatní (finanční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</si>
  <si>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</si>
  <si>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</si>
  <si>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</si>
  <si>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</si>
  <si>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</si>
  <si>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</si>
  <si>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</si>
  <si>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</si>
  <si>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</si>
  <si>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</si>
  <si>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</si>
  <si>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</si>
  <si>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</si>
  <si>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</si>
  <si>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</si>
  <si>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</si>
  <si>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</si>
  <si>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</si>
  <si>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</si>
  <si>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</si>
  <si>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</si>
  <si>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</si>
  <si>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</si>
  <si>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</si>
  <si>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</si>
  <si>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</si>
  <si>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</si>
  <si>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</si>
  <si>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</si>
  <si>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</si>
  <si>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</si>
  <si>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</si>
  <si>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</si>
  <si>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</si>
  <si>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</si>
  <si>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</si>
  <si>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</si>
  <si>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</si>
  <si>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64924439     klinické hodnocení - tuzemci (81xx)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</si>
  <si>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</si>
  <si>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</si>
  <si>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</si>
  <si>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</si>
  <si>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</si>
  <si>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</si>
  <si>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</si>
  <si>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</si>
  <si>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</si>
  <si>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</si>
  <si>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</si>
  <si>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</si>
  <si>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</si>
  <si>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</si>
  <si>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</si>
  <si>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</si>
  <si>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</si>
  <si>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</si>
  <si>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</si>
  <si>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</si>
  <si>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</si>
  <si>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</si>
  <si>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</si>
  <si>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</si>
  <si>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29</t>
  </si>
  <si>
    <t/>
  </si>
  <si>
    <t>Oddělení plastické a estetické chirurgie</t>
  </si>
  <si>
    <t>50113001</t>
  </si>
  <si>
    <t>Lékárna - léčiva</t>
  </si>
  <si>
    <t>50113013</t>
  </si>
  <si>
    <t>Lékárna - antibiotika</t>
  </si>
  <si>
    <t>SumaKL</t>
  </si>
  <si>
    <t>2921</t>
  </si>
  <si>
    <t>PCHIR - ambulance</t>
  </si>
  <si>
    <t>SumaNS</t>
  </si>
  <si>
    <t>mezeraNS</t>
  </si>
  <si>
    <t>2962</t>
  </si>
  <si>
    <t>PCHIR - operační sál lokální</t>
  </si>
  <si>
    <t>2964</t>
  </si>
  <si>
    <t>PCHIR, pracoviště COS</t>
  </si>
  <si>
    <t>O</t>
  </si>
  <si>
    <t>104270</t>
  </si>
  <si>
    <t>4270</t>
  </si>
  <si>
    <t>IRUXOL MONO</t>
  </si>
  <si>
    <t>DRM UNG 1X30GM</t>
  </si>
  <si>
    <t>107981</t>
  </si>
  <si>
    <t>7981</t>
  </si>
  <si>
    <t>NOVALGIN</t>
  </si>
  <si>
    <t>INJ 10X2ML/1000MG</t>
  </si>
  <si>
    <t>930065</t>
  </si>
  <si>
    <t>DZ PRONTOSAN ROZTOK 350ml</t>
  </si>
  <si>
    <t>905022</t>
  </si>
  <si>
    <t>DZ Prontosan wound gel 30ml</t>
  </si>
  <si>
    <t>803169</t>
  </si>
  <si>
    <t>KL BENZINUM 300g</t>
  </si>
  <si>
    <t>113803</t>
  </si>
  <si>
    <t>13803</t>
  </si>
  <si>
    <t>PANTHENOL SPRAY</t>
  </si>
  <si>
    <t>DRM SPR SUS 1X130GM</t>
  </si>
  <si>
    <t>847559</t>
  </si>
  <si>
    <t>Calcium pantothenicum 100g</t>
  </si>
  <si>
    <t>16321</t>
  </si>
  <si>
    <t>BRAUNOVIDON MAST</t>
  </si>
  <si>
    <t>DRM UNG 1X250GM</t>
  </si>
  <si>
    <t>900511</t>
  </si>
  <si>
    <t>KL SOL.ACIDI BORICI 3%,200G</t>
  </si>
  <si>
    <t>189869</t>
  </si>
  <si>
    <t>89869</t>
  </si>
  <si>
    <t>DIPROPHOS</t>
  </si>
  <si>
    <t>INJ 5X1ML</t>
  </si>
  <si>
    <t>154815</t>
  </si>
  <si>
    <t>TETANOL PUR</t>
  </si>
  <si>
    <t>INJ SUS 1X0.5ML</t>
  </si>
  <si>
    <t>920060</t>
  </si>
  <si>
    <t>KL SOL.ARG.NITR.20% 10G</t>
  </si>
  <si>
    <t>920378</t>
  </si>
  <si>
    <t>KL SOL.HYD.PEROX.3% 250G v sirokohrdle lahvi</t>
  </si>
  <si>
    <t>900012</t>
  </si>
  <si>
    <t>KL SOL.HYD.PEROX.3% 200G</t>
  </si>
  <si>
    <t>395585</t>
  </si>
  <si>
    <t>Panthenol Forte 9% pěna Aloe Vera</t>
  </si>
  <si>
    <t>150ml - Altermed</t>
  </si>
  <si>
    <t>921409</t>
  </si>
  <si>
    <t>KL SOL.ARG.NITR.20% 20G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</si>
  <si>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</si>
  <si>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</si>
  <si>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</si>
  <si>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</si>
  <si>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</si>
  <si>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</si>
  <si>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</si>
  <si>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</si>
  <si>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190778</t>
  </si>
  <si>
    <t>90778</t>
  </si>
  <si>
    <t>BACTROBAN</t>
  </si>
  <si>
    <t>DRM UNG 1X15GM</t>
  </si>
  <si>
    <t>114877</t>
  </si>
  <si>
    <t>14877</t>
  </si>
  <si>
    <t>IALUGEN PLUS</t>
  </si>
  <si>
    <t>CRM 1X60GM</t>
  </si>
  <si>
    <t>101077</t>
  </si>
  <si>
    <t>1077</t>
  </si>
  <si>
    <t>OPHTHALMO-FRAMYKOIN COMPOSITUM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</si>
  <si>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</si>
  <si>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</si>
  <si>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</si>
  <si>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</si>
  <si>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</si>
  <si>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</si>
  <si>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</si>
  <si>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</si>
  <si>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</si>
  <si>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</si>
  <si>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</si>
  <si>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</si>
  <si>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196610</t>
  </si>
  <si>
    <t>96610</t>
  </si>
  <si>
    <t>APAURIN</t>
  </si>
  <si>
    <t>INJ 10X2ML/10MG</t>
  </si>
  <si>
    <t>193109</t>
  </si>
  <si>
    <t>93109</t>
  </si>
  <si>
    <t>SUPRACAIN 4%</t>
  </si>
  <si>
    <t>INJ 10X2ML</t>
  </si>
  <si>
    <t>101681</t>
  </si>
  <si>
    <t>1681</t>
  </si>
  <si>
    <t>EMLA KREM 5%</t>
  </si>
  <si>
    <t>CRM 1X30GM</t>
  </si>
  <si>
    <t>198880</t>
  </si>
  <si>
    <t>98880</t>
  </si>
  <si>
    <t>FYZIOLOGICKÝ ROZTOK VIAFLO</t>
  </si>
  <si>
    <t>INF SOL 10X1000ML</t>
  </si>
  <si>
    <t>900552</t>
  </si>
  <si>
    <t>KL SOL.ACIDI BORICI 3%,250G</t>
  </si>
  <si>
    <t>921048</t>
  </si>
  <si>
    <t>KL SOL.HYD.PEROX.3% 250G</t>
  </si>
  <si>
    <t>900427</t>
  </si>
  <si>
    <t>KL SOL.METHYLROS.CHL.1% 20 G</t>
  </si>
  <si>
    <t>117011</t>
  </si>
  <si>
    <t>17011</t>
  </si>
  <si>
    <t>DICYNONE 250</t>
  </si>
  <si>
    <t>INJ SOL 4X2ML/250MG</t>
  </si>
  <si>
    <t>100477</t>
  </si>
  <si>
    <t>477</t>
  </si>
  <si>
    <t>HEPARIN FORTE LECIVA</t>
  </si>
  <si>
    <t>INJ 5X1ML/25KU</t>
  </si>
  <si>
    <t>HVLP</t>
  </si>
  <si>
    <t>PZT</t>
  </si>
  <si>
    <t>89301292</t>
  </si>
  <si>
    <t>Všeobecná ambulance Celkem</t>
  </si>
  <si>
    <t>Oddělení plastické a estetické chirurgie Celkem</t>
  </si>
  <si>
    <t>Christodoulou Petros</t>
  </si>
  <si>
    <t>Lysák Radek</t>
  </si>
  <si>
    <t>Menšík Ivo</t>
  </si>
  <si>
    <t>Stehlík Daniel</t>
  </si>
  <si>
    <t>Šilhánková Jiřina</t>
  </si>
  <si>
    <t>Zálešák Bohumil</t>
  </si>
  <si>
    <t>Vaněčková Lucie</t>
  </si>
  <si>
    <t>Podkalská Sommerová Kamila</t>
  </si>
  <si>
    <t>Amoxicilin a enzymový inhibitor</t>
  </si>
  <si>
    <t>5951</t>
  </si>
  <si>
    <t>AMOKSIKLAV 1 G</t>
  </si>
  <si>
    <t>POR TBL FLM 14X1GM</t>
  </si>
  <si>
    <t>Butamirát</t>
  </si>
  <si>
    <t>14725</t>
  </si>
  <si>
    <t>TUSSIN</t>
  </si>
  <si>
    <t>POR GTT SOL 1X25ML</t>
  </si>
  <si>
    <t>Cefuroxim</t>
  </si>
  <si>
    <t>47727</t>
  </si>
  <si>
    <t>ZINNAT 500 MG</t>
  </si>
  <si>
    <t>POR TBL FLM 10X500MG</t>
  </si>
  <si>
    <t>Jiná antibiotika pro lokální aplikaci</t>
  </si>
  <si>
    <t>DRM UNG 1X10GM</t>
  </si>
  <si>
    <t>Jodovaný povidon</t>
  </si>
  <si>
    <t>62320</t>
  </si>
  <si>
    <t>BETADINE</t>
  </si>
  <si>
    <t>DRM UNG 1X20GM 10%</t>
  </si>
  <si>
    <t>Kodein</t>
  </si>
  <si>
    <t>56993</t>
  </si>
  <si>
    <t>CODEIN SLOVAKOFARMA 30 MG</t>
  </si>
  <si>
    <t>POR TBL NOB 10X30MG</t>
  </si>
  <si>
    <t>Kombinace různých antibiotik</t>
  </si>
  <si>
    <t>OPH UNG 1X5GM</t>
  </si>
  <si>
    <t>Levocetirizin</t>
  </si>
  <si>
    <t>124343</t>
  </si>
  <si>
    <t>CEZERA 5 MG</t>
  </si>
  <si>
    <t>POR TBL FLM 30X5MG</t>
  </si>
  <si>
    <t>Mupirocin</t>
  </si>
  <si>
    <t>Nadroparin</t>
  </si>
  <si>
    <t>32058</t>
  </si>
  <si>
    <t>FRAXIPARINE</t>
  </si>
  <si>
    <t>INJ SOL 10X0.3ML</t>
  </si>
  <si>
    <t>32059</t>
  </si>
  <si>
    <t>INJ SOL 10X0.4ML</t>
  </si>
  <si>
    <t>32063</t>
  </si>
  <si>
    <t>INJ SOL 10X0.8ML</t>
  </si>
  <si>
    <t>Organo-heparinoid</t>
  </si>
  <si>
    <t>3575</t>
  </si>
  <si>
    <t>HEPAROID LÉČIVA</t>
  </si>
  <si>
    <t>DRM CRM 1X30GM</t>
  </si>
  <si>
    <t>Pseudoefedrin, kombinace</t>
  </si>
  <si>
    <t>83059</t>
  </si>
  <si>
    <t>CLARINASE REPETABS</t>
  </si>
  <si>
    <t>POR TBL RET 14</t>
  </si>
  <si>
    <t>Sodná sůl metamizolu</t>
  </si>
  <si>
    <t>55823</t>
  </si>
  <si>
    <t>NOVALGIN TABLETY</t>
  </si>
  <si>
    <t>POR TBL FLM 20X500MG</t>
  </si>
  <si>
    <t>Sulfadiazin, stříbrná sůl, kombinace</t>
  </si>
  <si>
    <t>DRM CRM 1X60GM</t>
  </si>
  <si>
    <t>Peroxid vodíku</t>
  </si>
  <si>
    <t>55911</t>
  </si>
  <si>
    <t>PEROXID VODÍKU 3% COO</t>
  </si>
  <si>
    <t>DRM SOL 1X100ML 3%</t>
  </si>
  <si>
    <t>Různá jiná krční antiseptika</t>
  </si>
  <si>
    <t>3128</t>
  </si>
  <si>
    <t>STOPANGIN</t>
  </si>
  <si>
    <t>ORM SPR 1X30ML</t>
  </si>
  <si>
    <t>Kompresivní punčochy a návleky</t>
  </si>
  <si>
    <t>45797</t>
  </si>
  <si>
    <t>PUNČOCHY KOMPRESNÍ LÝTKOVÉ               II.K.T.</t>
  </si>
  <si>
    <t>MAXIS COMFORT  COTTON A-D</t>
  </si>
  <si>
    <t>Obvazový materiál</t>
  </si>
  <si>
    <t>80171</t>
  </si>
  <si>
    <t>GÁZA SKLÁDANÁ KOMPRESY STERILNÍ STERILUX</t>
  </si>
  <si>
    <t>5X5CM,8 VRSTEV,25X2KS</t>
  </si>
  <si>
    <t>80173</t>
  </si>
  <si>
    <t>10X10CM,8 VRSTEV,25X2KS</t>
  </si>
  <si>
    <t>81096</t>
  </si>
  <si>
    <t>KRYTÍ TENDERWET 24 ACTIVE</t>
  </si>
  <si>
    <t>4CM PRŮMĚR PŘEDAKTIVOVANÉ KRYTÍ 10KS</t>
  </si>
  <si>
    <t>80990</t>
  </si>
  <si>
    <t>OBINADLO ELASTICKÉ FIXA CREP</t>
  </si>
  <si>
    <t>6CMX4M,TAŽNOST 160%,1KS</t>
  </si>
  <si>
    <t>Pomůcky  kompenzační pro tělesně postižené</t>
  </si>
  <si>
    <t>15764</t>
  </si>
  <si>
    <t>BERLE PŘEDLOKETNÍ FRANCOUZSKÁ DURALOVÁ FD 93</t>
  </si>
  <si>
    <t>NOSNOST 150KG</t>
  </si>
  <si>
    <t>Pomůcky ortopedickoprotetické</t>
  </si>
  <si>
    <t>140310</t>
  </si>
  <si>
    <t>BANDÁŽ HLEZNA S OSMIČKOU</t>
  </si>
  <si>
    <t>MALLEOTRAIN S</t>
  </si>
  <si>
    <t>5113</t>
  </si>
  <si>
    <t>PÁS BŘIŠNÍ VERBA 932 520 5</t>
  </si>
  <si>
    <t>OBDVOD TRUPU 95-105CM,VEL.4</t>
  </si>
  <si>
    <t>Ciprofloxacin</t>
  </si>
  <si>
    <t>53202</t>
  </si>
  <si>
    <t>CIPHIN 500</t>
  </si>
  <si>
    <t>Jiná kapiláry stabilizující látky</t>
  </si>
  <si>
    <t>107806</t>
  </si>
  <si>
    <t>AESCIN-TEVA</t>
  </si>
  <si>
    <t>POR TBL ENT 30X20MG</t>
  </si>
  <si>
    <t>202700</t>
  </si>
  <si>
    <t>POR TBL ENT 60X20MG</t>
  </si>
  <si>
    <t>Klarithromycin</t>
  </si>
  <si>
    <t>32546</t>
  </si>
  <si>
    <t>KLACID SR</t>
  </si>
  <si>
    <t>POR TBL RET 14X500MG-DOUBLE BL</t>
  </si>
  <si>
    <t>88</t>
  </si>
  <si>
    <t>CODEIN SLOVAKOFARMA 15 MG</t>
  </si>
  <si>
    <t>POR TBL NOB 10X15MG</t>
  </si>
  <si>
    <t>Methylprednisolon</t>
  </si>
  <si>
    <t>90044</t>
  </si>
  <si>
    <t>DEPO-MEDROL 40 MG/ML</t>
  </si>
  <si>
    <t>INJ SUS 1X1ML/40MG</t>
  </si>
  <si>
    <t>Tramadol</t>
  </si>
  <si>
    <t>59671</t>
  </si>
  <si>
    <t>TRALGIT SR 100</t>
  </si>
  <si>
    <t>POR TBL PRO 10X100MG</t>
  </si>
  <si>
    <t>80987</t>
  </si>
  <si>
    <t>10CMX4M,TAŽNOST 160%,20KS</t>
  </si>
  <si>
    <t>62318</t>
  </si>
  <si>
    <t>LIQ CHIR 1X120ML</t>
  </si>
  <si>
    <t>Kolagenáza, kombinace</t>
  </si>
  <si>
    <t>14875</t>
  </si>
  <si>
    <t>DRM CRM 1X20GM</t>
  </si>
  <si>
    <t>80172</t>
  </si>
  <si>
    <t>7,5X7,5CM,8 VRSTEV,25X2KS</t>
  </si>
  <si>
    <t>81104</t>
  </si>
  <si>
    <t>10X10CM PŘEDAKTIVOVANÉ KRYTÍ 10KS</t>
  </si>
  <si>
    <t>39960</t>
  </si>
  <si>
    <t>ORTÉZA ZÁPĚSTÍ PEVNÁ</t>
  </si>
  <si>
    <t>TYP 011B</t>
  </si>
  <si>
    <t>Pomůcky ortopedickoprotetické  individuálně zhotovované</t>
  </si>
  <si>
    <t>328</t>
  </si>
  <si>
    <t>EPITÉZA INDIVIDUÁLNĚ ZHOTOVENÁ</t>
  </si>
  <si>
    <t>Diosmektit</t>
  </si>
  <si>
    <t>132663</t>
  </si>
  <si>
    <t>SMECTA</t>
  </si>
  <si>
    <t>POR PLV SUS 30X3GM</t>
  </si>
  <si>
    <t>Diosmin, kombinace</t>
  </si>
  <si>
    <t>14075</t>
  </si>
  <si>
    <t>DETRALEX</t>
  </si>
  <si>
    <t>POR TBL FLM 60X500MG</t>
  </si>
  <si>
    <t>Hydrokortison a antibiotika</t>
  </si>
  <si>
    <t>41515</t>
  </si>
  <si>
    <t>PIMAFUCORT</t>
  </si>
  <si>
    <t>DRM CRM 1X15GM</t>
  </si>
  <si>
    <t>57352</t>
  </si>
  <si>
    <t>REPARIL- DRAGÉES</t>
  </si>
  <si>
    <t>POR TBL OBD 40X20MG</t>
  </si>
  <si>
    <t>Organismy produkující kyselinu mléčnou</t>
  </si>
  <si>
    <t>9159</t>
  </si>
  <si>
    <t>HYLAK FORTE</t>
  </si>
  <si>
    <t>POR SOL 1X100ML</t>
  </si>
  <si>
    <t>Pitofenon a analgetika</t>
  </si>
  <si>
    <t>50335</t>
  </si>
  <si>
    <t>ALGIFEN NEO</t>
  </si>
  <si>
    <t>Saccharomyces Boulardii</t>
  </si>
  <si>
    <t>10504</t>
  </si>
  <si>
    <t>ENTEROL</t>
  </si>
  <si>
    <t>POR PLV SUS 10X250MG</t>
  </si>
  <si>
    <t>Síran železnatý a kyselina listová</t>
  </si>
  <si>
    <t>92160</t>
  </si>
  <si>
    <t>TARDYFERON-FOL</t>
  </si>
  <si>
    <t>POR TBL RET 30</t>
  </si>
  <si>
    <t>Tramadol, kombinace</t>
  </si>
  <si>
    <t>17924</t>
  </si>
  <si>
    <t>ZALDIAR</t>
  </si>
  <si>
    <t>POR TBL FLM 10</t>
  </si>
  <si>
    <t>17926</t>
  </si>
  <si>
    <t>POR TBL FLM 30</t>
  </si>
  <si>
    <t>Obuv ortopedická</t>
  </si>
  <si>
    <t>962</t>
  </si>
  <si>
    <t>OBUV ORTOPEDICKÁ-JEDNODUCHÁ-INDIV.ZHOTOVOVANÁ</t>
  </si>
  <si>
    <t>50%</t>
  </si>
  <si>
    <t>81098</t>
  </si>
  <si>
    <t>4X7CM PŘEDAKTIVOVANÉ KRYTÍ 10KS</t>
  </si>
  <si>
    <t>81960</t>
  </si>
  <si>
    <t>KRYTÍ ALGINÁTOVÉ MELGISORB AG</t>
  </si>
  <si>
    <t>10X10CM,10KS</t>
  </si>
  <si>
    <t>39710</t>
  </si>
  <si>
    <t>DLAHA PRO FIXACI PRSTŮ RUKY TYP A</t>
  </si>
  <si>
    <t>VELIKOST A3</t>
  </si>
  <si>
    <t>39709</t>
  </si>
  <si>
    <t>VELIKOST A2</t>
  </si>
  <si>
    <t>85525</t>
  </si>
  <si>
    <t>AMOKSIKLAV 625 MG</t>
  </si>
  <si>
    <t>POR TBL FLM 21X625MG</t>
  </si>
  <si>
    <t>Ibuprofen, kombinace</t>
  </si>
  <si>
    <t>87179</t>
  </si>
  <si>
    <t>NUROFEN STOPGRIP</t>
  </si>
  <si>
    <t>POR TBL FLM 24</t>
  </si>
  <si>
    <t>48261</t>
  </si>
  <si>
    <t>PLV ADS 1X20GM</t>
  </si>
  <si>
    <t>Nimesulid</t>
  </si>
  <si>
    <t>12895</t>
  </si>
  <si>
    <t>AULIN</t>
  </si>
  <si>
    <t>POR GRA SUS 30SÁČ I</t>
  </si>
  <si>
    <t>Promethazin</t>
  </si>
  <si>
    <t>122197</t>
  </si>
  <si>
    <t>PROTHAZIN</t>
  </si>
  <si>
    <t>POR TBL FLM 20X25MG</t>
  </si>
  <si>
    <t>Salbutamol</t>
  </si>
  <si>
    <t>31934</t>
  </si>
  <si>
    <t>VENTOLIN INHALER N</t>
  </si>
  <si>
    <t>INH SUS PSS 200X100RG</t>
  </si>
  <si>
    <t>19681</t>
  </si>
  <si>
    <t>GÁZA SKLÁDANÁ KOMPRESY NESTERILNÍ STERILUX ES</t>
  </si>
  <si>
    <t>10X10CM,8 VRSTEV,100KS</t>
  </si>
  <si>
    <t>80985</t>
  </si>
  <si>
    <t>6CMX4M,TAŽNOST 160%,20KS</t>
  </si>
  <si>
    <t>78914</t>
  </si>
  <si>
    <t>ORTÉZA PALCE S VÝZTUHOU - TYP 305</t>
  </si>
  <si>
    <t>PRODYŠNÝ MATERIÁL,VÝZTUHA,ZAPÍNÁNÍ NA VELCRO</t>
  </si>
  <si>
    <t>11870</t>
  </si>
  <si>
    <t>ORTÉZA ZÁPĚSTÍ MODEL 410</t>
  </si>
  <si>
    <t>DVĚ HLINÍKOVÉ DLAHY</t>
  </si>
  <si>
    <t>Amidy</t>
  </si>
  <si>
    <t>2684</t>
  </si>
  <si>
    <t>URT GEL 1X20GM/200MG</t>
  </si>
  <si>
    <t>85524</t>
  </si>
  <si>
    <t>AMOKSIKLAV 375 MG</t>
  </si>
  <si>
    <t>POR TBL FLM 21X375MG</t>
  </si>
  <si>
    <t>Betamethason</t>
  </si>
  <si>
    <t>89870</t>
  </si>
  <si>
    <t>INJ SUS 1X1ML/7MG</t>
  </si>
  <si>
    <t>Doxycyklin</t>
  </si>
  <si>
    <t>4013</t>
  </si>
  <si>
    <t>DOXYBENE 200 MG TABLETY</t>
  </si>
  <si>
    <t>POR TBL NOB 10X200MG</t>
  </si>
  <si>
    <t>Elektrolyty</t>
  </si>
  <si>
    <t>516</t>
  </si>
  <si>
    <t>NATRIUM CHLORATUM BIOTIKA SOLUTIO ISOTONICA</t>
  </si>
  <si>
    <t>INJ SOL 10X10ML</t>
  </si>
  <si>
    <t>Hořčík (různé sole v kombinaci)</t>
  </si>
  <si>
    <t>66555</t>
  </si>
  <si>
    <t>MAGNOSOLV</t>
  </si>
  <si>
    <t>POR GRA SOL 30</t>
  </si>
  <si>
    <t>16320</t>
  </si>
  <si>
    <t>DRM UNG 1X100GM</t>
  </si>
  <si>
    <t>Mebendazol</t>
  </si>
  <si>
    <t>122198</t>
  </si>
  <si>
    <t>VERMOX</t>
  </si>
  <si>
    <t>POR TBL NOB 6X100MG</t>
  </si>
  <si>
    <t>Omeprazol</t>
  </si>
  <si>
    <t>25366</t>
  </si>
  <si>
    <t>HELICID 20 ZENTIVA</t>
  </si>
  <si>
    <t>POR CPS ETD 90X20MG SKLO</t>
  </si>
  <si>
    <t>Perindopril a diuretika</t>
  </si>
  <si>
    <t>122690</t>
  </si>
  <si>
    <t>PRESTARIUM NEO COMBI 5 MG/1,25 MG</t>
  </si>
  <si>
    <t>POR TBL FLM 90</t>
  </si>
  <si>
    <t>Sultamicilin</t>
  </si>
  <si>
    <t>17149</t>
  </si>
  <si>
    <t>UNASYN</t>
  </si>
  <si>
    <t>POR TBL FLM 12X375MG</t>
  </si>
  <si>
    <t>169380</t>
  </si>
  <si>
    <t>KOMPRESY Z NETKANÉHO TEXTILU STERILNÍ</t>
  </si>
  <si>
    <t>10X10CM, 4 VRSTVY, 5 KS</t>
  </si>
  <si>
    <t>39708</t>
  </si>
  <si>
    <t>VELIKOST A1</t>
  </si>
  <si>
    <t>93899</t>
  </si>
  <si>
    <t>ORTÉZA ZÁPĚSTÍ RIGIDUX PAN 5.07</t>
  </si>
  <si>
    <t>S VOLÁRNÍ A DORZÁLNÍ DLAHOU, PROVEDENÍ PRAVÁ A LEVÁ</t>
  </si>
  <si>
    <t>176954</t>
  </si>
  <si>
    <t>POR GTT SOL 1X50ML</t>
  </si>
  <si>
    <t>14876</t>
  </si>
  <si>
    <t>DRM CRM 1X25GM</t>
  </si>
  <si>
    <t>138839</t>
  </si>
  <si>
    <t>DORETA 37,5 MG/325 MG</t>
  </si>
  <si>
    <t>Triamcinolon a antiseptika</t>
  </si>
  <si>
    <t>4178</t>
  </si>
  <si>
    <t>TRIAMCINOLON E LÉČIVA</t>
  </si>
  <si>
    <t>DRM UNG 1X20GM</t>
  </si>
  <si>
    <t>Zolpidem</t>
  </si>
  <si>
    <t>132619</t>
  </si>
  <si>
    <t>STILNOX</t>
  </si>
  <si>
    <t>POR TBL FLM 20X10MG</t>
  </si>
  <si>
    <t>81100</t>
  </si>
  <si>
    <t>5,5CM PRŮMĚR PŘEDAKTIVOVANÉ KRYTÍ 10KS</t>
  </si>
  <si>
    <t>11871</t>
  </si>
  <si>
    <t>ORTÉZA ZÁPĚSTÍ DLOUHÁ MODEL 420</t>
  </si>
  <si>
    <t>HLINÍKOVÁ DLAHA, DVA TAPOVÁCÍ PÁSKY</t>
  </si>
  <si>
    <t>5115</t>
  </si>
  <si>
    <t>PÁS BŘIŠNÍ VERBA 932 518 9</t>
  </si>
  <si>
    <t>OBDVOD TRUPU 75-85CM,VEL.2</t>
  </si>
  <si>
    <t>39963</t>
  </si>
  <si>
    <t>ORTÉZA PRSTOVÁ</t>
  </si>
  <si>
    <t>TYP 012C</t>
  </si>
  <si>
    <t>Azithromycin</t>
  </si>
  <si>
    <t>45010</t>
  </si>
  <si>
    <t>AZITROMYCIN SANDOZ 500 MG</t>
  </si>
  <si>
    <t>POR TBL FLM 3X500MG</t>
  </si>
  <si>
    <t>Diklofenak</t>
  </si>
  <si>
    <t>119672</t>
  </si>
  <si>
    <t>DICLOFENAC DUO PHARMASWISS 75 MG</t>
  </si>
  <si>
    <t>POR CPS RDR 30X75MG</t>
  </si>
  <si>
    <t>132634</t>
  </si>
  <si>
    <t>Guajazulen</t>
  </si>
  <si>
    <t>874</t>
  </si>
  <si>
    <t>OPHTHALMO-AZULEN</t>
  </si>
  <si>
    <t>OPH UNG 1X5GM/7.5MG</t>
  </si>
  <si>
    <t>Klindamycin</t>
  </si>
  <si>
    <t>100339</t>
  </si>
  <si>
    <t>DALACIN C 300 MG</t>
  </si>
  <si>
    <t>POR CPS DUR 16X300MG</t>
  </si>
  <si>
    <t>Kyselina acetylsalicylová</t>
  </si>
  <si>
    <t>155781</t>
  </si>
  <si>
    <t>GODASAL 100</t>
  </si>
  <si>
    <t>POR TBL NOB 50</t>
  </si>
  <si>
    <t>12892</t>
  </si>
  <si>
    <t>POR TBL NOB 30X100MG</t>
  </si>
  <si>
    <t>Nystatin, kombinace</t>
  </si>
  <si>
    <t>92490</t>
  </si>
  <si>
    <t>MACMIROR COMPLEX 500</t>
  </si>
  <si>
    <t>VAG GLB 8</t>
  </si>
  <si>
    <t>32086</t>
  </si>
  <si>
    <t>TRALGIT</t>
  </si>
  <si>
    <t>POR CPS DUR 20X50MG</t>
  </si>
  <si>
    <t>59672</t>
  </si>
  <si>
    <t>POR TBL PRO 30X100MG</t>
  </si>
  <si>
    <t>Vápník, kombinace s vitaminem D a/nebo jinými léčivy</t>
  </si>
  <si>
    <t>169675</t>
  </si>
  <si>
    <t>CALTRATE PLUS</t>
  </si>
  <si>
    <t>POR TBL FLM 60</t>
  </si>
  <si>
    <t>45800</t>
  </si>
  <si>
    <t>PUNČOCHY KOMPRESNÍ STEHENNÍ              II.K.T.</t>
  </si>
  <si>
    <t>MAXIS COMFORT  COTTON A-G SE SAMODRŽÍCÍM LEMEM</t>
  </si>
  <si>
    <t>78952</t>
  </si>
  <si>
    <t>ORTÉZA PRSTOVÁ - TYP 309</t>
  </si>
  <si>
    <t>11875</t>
  </si>
  <si>
    <t>ORTÉZA ZÁPĚSTÍ MODEL 470</t>
  </si>
  <si>
    <t>S DORSÁLNÍ DLAHOU A VOLÁRNÍ DLAHOU POD PRSTY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</si>
  <si>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</si>
  <si>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</si>
  <si>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</si>
  <si>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</si>
  <si>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J01MA02 - Ciprofloxacin</t>
  </si>
  <si>
    <t>R06AE09 - Levocetirizin</t>
  </si>
  <si>
    <t>N02AX02 - Tramadol</t>
  </si>
  <si>
    <t>H02AB04 - Methylprednisolon</t>
  </si>
  <si>
    <t>J01FF01 - Klindamycin</t>
  </si>
  <si>
    <t>J01CR02 - Amoxicilin a enzymový inhibitor</t>
  </si>
  <si>
    <t>M01AX17 - Nimesulid</t>
  </si>
  <si>
    <t>J01DC02 - Cefuroxim</t>
  </si>
  <si>
    <t>R03AC02 - Salbutamol</t>
  </si>
  <si>
    <t>J01FA09 - Klarithromycin</t>
  </si>
  <si>
    <t>B01AB06 - Nadroparin</t>
  </si>
  <si>
    <t>J01FA10 - Azithromycin</t>
  </si>
  <si>
    <t>B01AB06</t>
  </si>
  <si>
    <t>J01CR02</t>
  </si>
  <si>
    <t>J01DC02</t>
  </si>
  <si>
    <t>R06AE09</t>
  </si>
  <si>
    <t>H02AB04</t>
  </si>
  <si>
    <t>J01FA09</t>
  </si>
  <si>
    <t>J01MA02</t>
  </si>
  <si>
    <t>N02AX02</t>
  </si>
  <si>
    <t>J01FA10</t>
  </si>
  <si>
    <t>J01FF01</t>
  </si>
  <si>
    <t>M01AX17</t>
  </si>
  <si>
    <t>R03AC02</t>
  </si>
  <si>
    <t>Přehled plnění PL - Preskripce léčivých přípravků - orientační přehled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</si>
  <si>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</si>
  <si>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</si>
  <si>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</si>
  <si>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</si>
  <si>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</si>
  <si>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kovové (112 02 030)</t>
  </si>
  <si>
    <t>50115011</t>
  </si>
  <si>
    <t>515 SZM umělé tělní náhrady ostatní (112 02 030)</t>
  </si>
  <si>
    <t>50115008</t>
  </si>
  <si>
    <t>521 SZM samoplátci implantáty OPECH (112 02 034)</t>
  </si>
  <si>
    <t>50115080</t>
  </si>
  <si>
    <t>523 SZM staplery, endosk., optika, extraktory (112 02 102)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</si>
  <si>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</si>
  <si>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</si>
  <si>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</si>
  <si>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</si>
  <si>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</si>
  <si>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</si>
  <si>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ZA444</t>
  </si>
  <si>
    <t>Tampon 20 x 19 cm nesterilní stáčený 1320300404</t>
  </si>
  <si>
    <t>ZA790</t>
  </si>
  <si>
    <t>Stříkačka injekční   5 ml 4606051V</t>
  </si>
  <si>
    <t>ZB780</t>
  </si>
  <si>
    <t>Kontejner 120 ml sterilní 331690250350</t>
  </si>
  <si>
    <t>ZB893</t>
  </si>
  <si>
    <t>Stříkačka inzulinová omnican 0,5 ml 100j s jehlou 30 G 9151125S</t>
  </si>
  <si>
    <t>ZC751</t>
  </si>
  <si>
    <t>Čepelka skalpelová 11 BB511</t>
  </si>
  <si>
    <t>ZC752</t>
  </si>
  <si>
    <t>Čepelka skalpelová 15 BB515</t>
  </si>
  <si>
    <t>ZC768</t>
  </si>
  <si>
    <t>Zkumavka 10 ml sterilní bal. á 1250 ks 1009/TE/SG</t>
  </si>
  <si>
    <t>ZC840</t>
  </si>
  <si>
    <t>Elektroda neutrální zpětná MF3.05.5005</t>
  </si>
  <si>
    <t>ZE159</t>
  </si>
  <si>
    <t>Nádoba na kontaminovaný odpad 2 l 15-0003</t>
  </si>
  <si>
    <t>ZL886</t>
  </si>
  <si>
    <t>Rukojeť aktivní resterizovatelná kabel 3 m MBR-600</t>
  </si>
  <si>
    <t>ZF918</t>
  </si>
  <si>
    <t>Implantát mammární 245cc rekonstrukční mentor CPG321 354-1158</t>
  </si>
  <si>
    <t>ZF916</t>
  </si>
  <si>
    <t>Implantát mammární 375cc rekonstrukční mentor anatomický CPG322 334-1255</t>
  </si>
  <si>
    <t>ZB187</t>
  </si>
  <si>
    <t>Šití vicryl plus 4/0 bal. á 36 ks VCP392ZH</t>
  </si>
  <si>
    <t>ZD188</t>
  </si>
  <si>
    <t>Šití monocryl 5/0 bal. á 12 ks W3221</t>
  </si>
  <si>
    <t>ZB156</t>
  </si>
  <si>
    <t>Šití premilene 3/0 bal. á 36 ks C2090014</t>
  </si>
  <si>
    <t>ZA975</t>
  </si>
  <si>
    <t>Šití safil fialový 4/0 bal. á 36 ks C1048220</t>
  </si>
  <si>
    <t>ZB154</t>
  </si>
  <si>
    <t>Šití premilene 5/0 bal. á 36 ks C2090012</t>
  </si>
  <si>
    <t>ZD189</t>
  </si>
  <si>
    <t>Šití monocryl 4/0 bal. á 12 ks W3201</t>
  </si>
  <si>
    <t>ZE992</t>
  </si>
  <si>
    <t>Rukavice operační ansell sensi - touch vel. 6,0 bal. á 40 párů 8050151</t>
  </si>
  <si>
    <t>ZI759</t>
  </si>
  <si>
    <t>Rukavice vinyl bez p. L á 100 ks EFEKTVR04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</si>
  <si>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</si>
  <si>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</si>
  <si>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</si>
  <si>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</si>
  <si>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</si>
  <si>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</si>
  <si>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</si>
  <si>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</si>
  <si>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</si>
  <si>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</si>
  <si>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ZL498</t>
  </si>
  <si>
    <t>Expander tkáňový mentor 550cc elipsa 350-4307M</t>
  </si>
  <si>
    <t>ZJ302</t>
  </si>
  <si>
    <t>Implantát mammární anatomický GS-AN-390-T</t>
  </si>
  <si>
    <t>ZG345</t>
  </si>
  <si>
    <t>Expander tkáňový mentor   50cc oválný 350-5302M</t>
  </si>
  <si>
    <t>ZD224</t>
  </si>
  <si>
    <t>Implantát mammární kulatý 260 g CUI-MHP-260</t>
  </si>
  <si>
    <t>ZJ636</t>
  </si>
  <si>
    <t>Expander tkáňový mentor 75cc oválný 350-5303M</t>
  </si>
  <si>
    <t>ZA031</t>
  </si>
  <si>
    <t>Vata obvazová 1000 g nest.vinutá 110710</t>
  </si>
  <si>
    <t>ZA423</t>
  </si>
  <si>
    <t>Obinadlo elastické idealtex 12 cm x 5 m 9310633</t>
  </si>
  <si>
    <t>ZC352</t>
  </si>
  <si>
    <t>Obinadlo elastické universalbinde 12 cm x 10 m bal. á 12 ks 1320200207</t>
  </si>
  <si>
    <t>ZD332</t>
  </si>
  <si>
    <t>Náplast microfoam 2,50 cm x 5,00 m bal. á 12 ks 1528-1</t>
  </si>
  <si>
    <t>ZA016</t>
  </si>
  <si>
    <t>Šroub kortikální 1.5 mm 200.812</t>
  </si>
  <si>
    <t>ZC207</t>
  </si>
  <si>
    <t>Šroub kortikální 1.5 mm 200.813</t>
  </si>
  <si>
    <t>ZC270</t>
  </si>
  <si>
    <t>Šroub kortikální 1.5 mm 200.814</t>
  </si>
  <si>
    <t>KH904</t>
  </si>
  <si>
    <t>stapler kožní PMR35-X</t>
  </si>
  <si>
    <t>ZB178</t>
  </si>
  <si>
    <t>Šití etlon bk 9/0 bal. á 12 ks W2813</t>
  </si>
  <si>
    <t>ZB196</t>
  </si>
  <si>
    <t>Šití prolen 4/0 bal. á 36 ks EH7151H</t>
  </si>
  <si>
    <t>ZB181</t>
  </si>
  <si>
    <t>Šití prolen 5/0 bal. á 36 ks EH7176H</t>
  </si>
  <si>
    <t>ZB185</t>
  </si>
  <si>
    <t>Šití vicryl un 4/0 bal. á 12 ks W9951</t>
  </si>
  <si>
    <t>ZD143</t>
  </si>
  <si>
    <t>Šití prolen 3/0 bal. á 24 ks W8021T</t>
  </si>
  <si>
    <t>ZB183</t>
  </si>
  <si>
    <t>Šití vicryl un 2/0 bal. á 24 ks W9532T</t>
  </si>
  <si>
    <t>ZB201</t>
  </si>
  <si>
    <t>Šití etlon bk 8/0 bal. á 12 ks W2812</t>
  </si>
  <si>
    <t>ZB184</t>
  </si>
  <si>
    <t>Šití vicryl un 3/0 bal. á 12 ks W9890</t>
  </si>
  <si>
    <t>ZA463</t>
  </si>
  <si>
    <t>Kompresa NT 10 x 20 cm / 2 ks sterilní 26620</t>
  </si>
  <si>
    <t>ZA604</t>
  </si>
  <si>
    <t>Tyčinka vatová sterilní á 1000 ks 5100/SG/CS</t>
  </si>
  <si>
    <t>ZA646</t>
  </si>
  <si>
    <t>Přířez sterilní rolo.12x120 cm/4 vr.á 2 ks, bal.200 ks 1230116032</t>
  </si>
  <si>
    <t>ZI558</t>
  </si>
  <si>
    <t>Náplast curapor   7 x   5 cm 22 120 ( náhrada za cosmopor )</t>
  </si>
  <si>
    <t>ZI522</t>
  </si>
  <si>
    <t xml:space="preserve">Krytí askina derm - sterilní folie 10 x 12 cm bal. á 10 ks F72035 </t>
  </si>
  <si>
    <t>ZL663</t>
  </si>
  <si>
    <t>Krytí mastný tyl pharmatull 10 x 10 cm bal. á 10 ks P-Tull1010</t>
  </si>
  <si>
    <t>ZL664</t>
  </si>
  <si>
    <t>Krytí mastný tyl pharmatull 10 x 20 cm bal. á 10 ks P-Tull1020</t>
  </si>
  <si>
    <t>ZL662</t>
  </si>
  <si>
    <t>Krytí mastný tyl pharmatull   5 x   5 cm bal. á 10 ks P-Tull5050</t>
  </si>
  <si>
    <t>ZA965</t>
  </si>
  <si>
    <t>Stříkačka inzulínová omnican 1 ml 100j bal. á 100 ks 9151141S</t>
  </si>
  <si>
    <t>ZB453</t>
  </si>
  <si>
    <t>Lopatka dřevěná ústní sterilní bal. á 100 ks 4700096</t>
  </si>
  <si>
    <t>ZB615</t>
  </si>
  <si>
    <t>Stříkačka omnifix injekční 3 ml bal. á 100 ks 4617022V</t>
  </si>
  <si>
    <t>ZB756</t>
  </si>
  <si>
    <t>Zkumavka 3 ml K3 edta fialová 454086</t>
  </si>
  <si>
    <t>ZB775</t>
  </si>
  <si>
    <t>Zkumavka koagulace 4 ml modrá 454328</t>
  </si>
  <si>
    <t>ZB777</t>
  </si>
  <si>
    <t>Zkumavka červená 4 ml gel 454071</t>
  </si>
  <si>
    <t>ZC769</t>
  </si>
  <si>
    <t>Hadička spojovací HS 1,8 x 450LL 606301</t>
  </si>
  <si>
    <t>ZI179</t>
  </si>
  <si>
    <t>Zkumavka s mediem+ flovakovaný tampon eSwab růžový 490CE.A</t>
  </si>
  <si>
    <t>ZM060</t>
  </si>
  <si>
    <t>Pinzeta anatomická rovná semken 12,5 cm B397114910128</t>
  </si>
  <si>
    <t>ZM056</t>
  </si>
  <si>
    <t>Pinzeta chirurgická rovná semken 1 x 2 zuby 12,5 cm B397114910132</t>
  </si>
  <si>
    <t>ZM058</t>
  </si>
  <si>
    <t>Nůžky preparační s oboustraným ostřím zahnuté 12 cm 397113120020</t>
  </si>
  <si>
    <t>ZA835</t>
  </si>
  <si>
    <t>Jehla injekční 0,6 x   25 mm modrá 4657667</t>
  </si>
  <si>
    <t>ZB556</t>
  </si>
  <si>
    <t>Jehla injekční 1,2 x   40 mm růžová 4665120</t>
  </si>
  <si>
    <t>ZI758</t>
  </si>
  <si>
    <t>Rukavice vinyl bez p. M á 100 ks EFEKTVR03</t>
  </si>
  <si>
    <t>ZL949</t>
  </si>
  <si>
    <t>Rukavice nitril promedica bez p. L bílé 6N á 100 ks 9399W4</t>
  </si>
  <si>
    <t>ZL948</t>
  </si>
  <si>
    <t>Rukavice nitril promedica bez p. M bílé 6N á 100 ks 9399W3</t>
  </si>
  <si>
    <t>Spotřeba zdravotnického materiálu - orientační přehled</t>
  </si>
  <si>
    <t>ON Data</t>
  </si>
  <si>
    <t>601 - Pracoviště plastické chirurgie</t>
  </si>
  <si>
    <t>606 - Pracoviště ortopedie</t>
  </si>
  <si>
    <t>708 - Pracoviště anesteziologicko - resuscitační</t>
  </si>
  <si>
    <t xml:space="preserve"> </t>
  </si>
  <si>
    <t>Ambulantní péče znamená, že pacient v den poskytnutí zdravotní péče není hospitalizován ve FNOL</t>
  </si>
  <si>
    <t>Zdravotní výkony vykázané na pracovišti v rámci ambulantní péče *</t>
  </si>
  <si>
    <t>601</t>
  </si>
  <si>
    <t>1</t>
  </si>
  <si>
    <t>0000362</t>
  </si>
  <si>
    <t>ADRENALIN LÉČIVA</t>
  </si>
  <si>
    <t>0000502</t>
  </si>
  <si>
    <t>MESOCAIN 1%</t>
  </si>
  <si>
    <t>0002439</t>
  </si>
  <si>
    <t>MARCAINE 0,5%</t>
  </si>
  <si>
    <t>0007981</t>
  </si>
  <si>
    <t>NOVALGIN INJEKCE</t>
  </si>
  <si>
    <t>0058092</t>
  </si>
  <si>
    <t>CEFAZOLIN SANDOZ 1 G</t>
  </si>
  <si>
    <t>0093109</t>
  </si>
  <si>
    <t>0154815</t>
  </si>
  <si>
    <t>3</t>
  </si>
  <si>
    <t>0017751</t>
  </si>
  <si>
    <t>DRÁT KIRSCHNERŮV OCEL</t>
  </si>
  <si>
    <t>0082077</t>
  </si>
  <si>
    <t>KRYTÍ COM 30 OBVAZOVÁ TEXTÍLIE KOMBINOVANÁ</t>
  </si>
  <si>
    <t>0082509</t>
  </si>
  <si>
    <t>DLAHA FIXAČNÍ - RUKA,PŘEDLOKTÍ - SÁDRA</t>
  </si>
  <si>
    <t>V</t>
  </si>
  <si>
    <t>04400</t>
  </si>
  <si>
    <t>SVODNÁ ANESTEZIE</t>
  </si>
  <si>
    <t>09216</t>
  </si>
  <si>
    <t>INJEKCE DO MĚKKÝCH TKÁNÍ NEBO INTRADERMÁLNÍ PUPENY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</si>
  <si>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</si>
  <si>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</si>
  <si>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</si>
  <si>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</si>
  <si>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</si>
  <si>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</si>
  <si>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</si>
  <si>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</si>
  <si>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</si>
  <si>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</si>
  <si>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</si>
  <si>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</si>
  <si>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44215</t>
  </si>
  <si>
    <t>DESTRUKTIVNÍ TERAPIE KOŽNÍCH LÉZÍ LASEREM S VYSOKÝ</t>
  </si>
  <si>
    <t>44229</t>
  </si>
  <si>
    <t>INFILTRACE KOŽNÍCH LÉZÍ (1-5)</t>
  </si>
  <si>
    <t>51818</t>
  </si>
  <si>
    <t>51859</t>
  </si>
  <si>
    <t>FIXAČNÍ SÁDROVÁ DLAHA - NOHA, BÉREC</t>
  </si>
  <si>
    <t>61022</t>
  </si>
  <si>
    <t>CÍLENÉ VYŠETŘENÍ PLASTICKÝM CHIRURGEM</t>
  </si>
  <si>
    <t>61023</t>
  </si>
  <si>
    <t>KONTROLNÍ VYŠETŘENÍ PLASTICKÝM CHIRURGEM</t>
  </si>
  <si>
    <t>61113</t>
  </si>
  <si>
    <t xml:space="preserve">REVIZE, EXCIZE A SUTURA PORANĚNÍ KŮŽE A PODKOŽÍ A </t>
  </si>
  <si>
    <t>61117</t>
  </si>
  <si>
    <t>SUTURA DIGITÁLNÍHO NEBO KOMUNÁLNÍHO DIGITÁLNÍHO NE</t>
  </si>
  <si>
    <t>61123</t>
  </si>
  <si>
    <t>EXCIZE KOŽNÍ LÉZE OD 2 DO 10 CM^2, BEZ UZAVŘENÍ VZ</t>
  </si>
  <si>
    <t>61129</t>
  </si>
  <si>
    <t>EXCIZE KOŽNÍ LÉZE, SUTURA OD 2 DO 10 CM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</si>
  <si>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</si>
  <si>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</si>
  <si>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</si>
  <si>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</si>
  <si>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61209</t>
  </si>
  <si>
    <t>TENOLÝZA FLEXORU</t>
  </si>
  <si>
    <t>61219</t>
  </si>
  <si>
    <t>TENOLÝZA EXTENZORU</t>
  </si>
  <si>
    <t>61247</t>
  </si>
  <si>
    <t>OPERACE KARPÁLNÍHO TUNELU</t>
  </si>
  <si>
    <t>61253</t>
  </si>
  <si>
    <t xml:space="preserve">PALM. APONEUREKTOMIE U DLAŇOVÉ FORMY DUPUYTRENOVY </t>
  </si>
  <si>
    <t>61409</t>
  </si>
  <si>
    <t>MODELACE A PŘITAŽENÍ ODSTÁLÉHO BOLTCE</t>
  </si>
  <si>
    <t>66413</t>
  </si>
  <si>
    <t>AMPUTACE PRSTU RUKY NEBO ČLÁNKU PRSTU - ZA KAŽDÝ D</t>
  </si>
  <si>
    <t>66679</t>
  </si>
  <si>
    <t>EXARTIKULACE (AMPUTACE METATARZÁLNÍ) FALANGEÁLNÍ -</t>
  </si>
  <si>
    <t>66823</t>
  </si>
  <si>
    <t>ODSTRANĚNÍ ZEVNÍHO FIXATÉRU</t>
  </si>
  <si>
    <t>66853</t>
  </si>
  <si>
    <t>OTEVŘENÁ BIOPSIE MĚKKÝCH TKÁNÍ</t>
  </si>
  <si>
    <t>66949</t>
  </si>
  <si>
    <t>PUNKCE KLOUBNÍ S APLIKACÍ LÉČIVA</t>
  </si>
  <si>
    <t>09547</t>
  </si>
  <si>
    <t>REGULAČNÍ POPLATEK -- POJIŠTĚNEC OD ÚHRADY POPLATK</t>
  </si>
  <si>
    <t>61021</t>
  </si>
  <si>
    <t>KOMPLEXNÍ VYŠETŘENÍ PLASTICKÝM CHIRURGEM</t>
  </si>
  <si>
    <t>09543</t>
  </si>
  <si>
    <t>REGULAČNÍ POPLATEK ZA NÁVŠTĚVU -- POPLATEK UHRAZEN</t>
  </si>
  <si>
    <t>09544</t>
  </si>
  <si>
    <t>REGULAČNÍ POPLATEK ZA KAŽDÝ DEN LŮŽKOVÉ PÉČE -- PO</t>
  </si>
  <si>
    <t>09555</t>
  </si>
  <si>
    <t>OŠETŘENÍ DÍTĚTE DO 6 LET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</si>
  <si>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</si>
  <si>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</si>
  <si>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</si>
  <si>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</si>
  <si>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</si>
  <si>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</si>
  <si>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62150</t>
  </si>
  <si>
    <t>POPÁLENINY - OŠETŘENÍ A PŘEVAZ, OSTATNÍ DO 5%</t>
  </si>
  <si>
    <t>09563</t>
  </si>
  <si>
    <t>VÝKON ÚSTAVNÍ POHOTOVOSTNÍ SLUŽBY</t>
  </si>
  <si>
    <t>09513</t>
  </si>
  <si>
    <t>TELEFONICKÁ KONZULTACE OŠETŘUJÍCÍHO LÉKAŘE PACIENT</t>
  </si>
  <si>
    <t>51851</t>
  </si>
  <si>
    <t>FIXAČNÍ SÁDROVÁ DLAHA - RUKA, PŘEDLOKTÍ</t>
  </si>
  <si>
    <t>51825</t>
  </si>
  <si>
    <t>SEKUNDÁRNÍ SUTURA RÁNY</t>
  </si>
  <si>
    <t>61245</t>
  </si>
  <si>
    <t>FENESTRACE ŠLACHOVÉ POCHVY</t>
  </si>
  <si>
    <t>51111</t>
  </si>
  <si>
    <t>OPERACE CYSTY NEBO HEMANGIOMU NEBO LIPOMU NEBO PIL</t>
  </si>
  <si>
    <t>09239</t>
  </si>
  <si>
    <t>SUTURA RÁNY A PODKOŽÍ DO 5 CM</t>
  </si>
  <si>
    <t>61125</t>
  </si>
  <si>
    <t>EXCIZE KOŽNÍ LÉZE NAD 10 CM^2, BEZ UZAVŘENÍ VZNIKL</t>
  </si>
  <si>
    <t>61411</t>
  </si>
  <si>
    <t>XANTHELASMA - XANTOMY VÍČKA, EXCIZE XANTOMU VÍČKA</t>
  </si>
  <si>
    <t>09235</t>
  </si>
  <si>
    <t>ODSTRANĚNÍ MALÝCH LÉZÍ KŮŽE</t>
  </si>
  <si>
    <t>51811</t>
  </si>
  <si>
    <t>ABSCES NEBO HEMATOM SUBKUTANNÍ, PILONIDÁLNÍ, INTRA</t>
  </si>
  <si>
    <t>62100</t>
  </si>
  <si>
    <t>PŘEVAZ POPÁLENINY V ROZSAHU DO 1 %</t>
  </si>
  <si>
    <t>62310</t>
  </si>
  <si>
    <t>NEKREKTOMIE DO 1% POVRCHU TĚLA</t>
  </si>
  <si>
    <t>66837</t>
  </si>
  <si>
    <t>EXSTIRPACE BURZY NEBO GANGLIA - POVRCHOVÁ</t>
  </si>
  <si>
    <t>62410</t>
  </si>
  <si>
    <t>ŠTĚP PŘI POPÁLENÍ - DLAŇ, DORSUM RUKY, NOHY NEBO D</t>
  </si>
  <si>
    <t>61225</t>
  </si>
  <si>
    <t>NEUROLÝZA</t>
  </si>
  <si>
    <t>51817</t>
  </si>
  <si>
    <t>OŠETŘENÍ NEHTU NA RUCE, NOZE (FENESTRACE, PARCIÁLN</t>
  </si>
  <si>
    <t>62140</t>
  </si>
  <si>
    <t>POPÁLENINY - OŠETŘENÍ A PŘEVAZ DORSA RUKY NEBO NOH</t>
  </si>
  <si>
    <t>62610</t>
  </si>
  <si>
    <t>ODBĚR DERMOEPIDERMÁLNÍHO ŠTĚPU DO 1 % POVRCHU TĚLA</t>
  </si>
  <si>
    <t>61255</t>
  </si>
  <si>
    <t>ROZŠÍŘENÁ APONEUREKTOMIE U FORMY DUPUYTRENOVY KONT</t>
  </si>
  <si>
    <t>61165</t>
  </si>
  <si>
    <t>ROZPROSTŘENÍ NEBO MODELACE LALOKU</t>
  </si>
  <si>
    <t>62430</t>
  </si>
  <si>
    <t>ŠTĚP PŘI POPÁLENÍ (A OSTATNÍCH KOŽNÍCH ZTRÁTÁCH) -</t>
  </si>
  <si>
    <t>53515</t>
  </si>
  <si>
    <t>SUTURA ŠLACHY EXTENSORU RUKY A ZÁPĚSTÍ</t>
  </si>
  <si>
    <t>66811</t>
  </si>
  <si>
    <t>INJEKCE DO BURZY, GANGLIA, POCHVY ŠLACHOVÉ</t>
  </si>
  <si>
    <t>62510</t>
  </si>
  <si>
    <t>XENOTRANSPLANTACE DO 1% POVRCHU TĚLA</t>
  </si>
  <si>
    <t>66821</t>
  </si>
  <si>
    <t>PERKUTÁNNÍ FIXACE K-DRÁTEM</t>
  </si>
  <si>
    <t>66411</t>
  </si>
  <si>
    <t>AMPUTACE PRSTU RUKY NEBO ČLÁNKU PRSTU - ZA PRVNÍ P</t>
  </si>
  <si>
    <t>61135</t>
  </si>
  <si>
    <t>AUTOTRANSPLANTACE KOŽNÍM ŠTĚPEM V PLNÉ TLOUŠTCE DO</t>
  </si>
  <si>
    <t>62110</t>
  </si>
  <si>
    <t xml:space="preserve">PŘEVAZ POPÁLENINY V ROZSAHU OD 1 % DO 10 %  A EV. </t>
  </si>
  <si>
    <t>61131</t>
  </si>
  <si>
    <t>EXCIZE KOŽNÍ LÉZE, SUTURA VÍCE NEŽ 10 CM</t>
  </si>
  <si>
    <t>62440</t>
  </si>
  <si>
    <t>ŠTĚP PŘI POPÁLENÍ (A OSTATNÍCH KOŽNÍCH ZTRÁTÁCH) D</t>
  </si>
  <si>
    <t>62130</t>
  </si>
  <si>
    <t>POPÁLENINY - OŠETŘENÍ A PŘEVAZ PRSTU RUKY, NOHY NE</t>
  </si>
  <si>
    <t>62420</t>
  </si>
  <si>
    <t>62160</t>
  </si>
  <si>
    <t>POPÁLENI - OŠETŘENÍ A PŘEVAZ, 5 - 10 % POVRCHU</t>
  </si>
  <si>
    <t>66425</t>
  </si>
  <si>
    <t xml:space="preserve">SYNOVEKTOMIE KLOUBU PRSTU RUKY ČI NOHY - ZA PRVNÍ </t>
  </si>
  <si>
    <t>61401</t>
  </si>
  <si>
    <t>KOREKCE MALÉ VROZENÉ ANOMÁLIE BOLTCE A OKOLÍ (VÝRŮ</t>
  </si>
  <si>
    <t>61111</t>
  </si>
  <si>
    <t>PRIMÁRNÍ OŠETŘENÍ TRAUMATICKÉ TETOVÁŽE Á 20 MIN.</t>
  </si>
  <si>
    <t>61425</t>
  </si>
  <si>
    <t>OPERACE RINOFYMY</t>
  </si>
  <si>
    <t>606</t>
  </si>
  <si>
    <t>66839</t>
  </si>
  <si>
    <t>EXSTIRPACE NÁDORU MĚKKÝCH TKÁNÍ - POVRCHOVĚ ULOŽEN</t>
  </si>
  <si>
    <t>708</t>
  </si>
  <si>
    <t>78022</t>
  </si>
  <si>
    <t>CÍLENÉ VYŠETŘENÍ ANESTEZIOLOGEM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</si>
  <si>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</si>
  <si>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</si>
  <si>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</si>
  <si>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</si>
  <si>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</si>
  <si>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</si>
  <si>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07 - KLINIKA ANESTEZIOLOGIE A RESUSCITACE</t>
  </si>
  <si>
    <t>10 - DĚTSKÁ KLINIKA</t>
  </si>
  <si>
    <t>11 - ORTOPEDICKÁ KLINIKA</t>
  </si>
  <si>
    <t>13 - OTOLARYNGOLOGICKÁ KLINIKA</t>
  </si>
  <si>
    <t>14 - OČNÍ KLINIKA</t>
  </si>
  <si>
    <t>16 - KLINIKA PLICNÍCH NEMOCÍ A TUBERKULÓZY</t>
  </si>
  <si>
    <t>18 - KLINIKA PSYCHIATRIE</t>
  </si>
  <si>
    <t>19 - KLINIKA PRACOVNÍHO LÉKAŘSTVÍ</t>
  </si>
  <si>
    <t>20 - KLINIKA CHOROB KOŽNÍCH A POHLAVNÍCH</t>
  </si>
  <si>
    <t>21 - ONKOLOGICKÁ KLINIKA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</si>
  <si>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</si>
  <si>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</si>
  <si>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</si>
  <si>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</si>
  <si>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</si>
  <si>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</si>
  <si>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</si>
  <si>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</si>
  <si>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</si>
  <si>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</si>
  <si>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</si>
  <si>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</si>
  <si>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07</t>
  </si>
  <si>
    <t>10</t>
  </si>
  <si>
    <t>62120</t>
  </si>
  <si>
    <t>POPÁLENINY - OŠETŘENÍ A PŘEVAZ (NOS, TVÁŘ, RET, UC</t>
  </si>
  <si>
    <t>6F1</t>
  </si>
  <si>
    <t>61473</t>
  </si>
  <si>
    <t>IMPLANTACE TKÁŇOVÉHO EXPANDERU</t>
  </si>
  <si>
    <t>11</t>
  </si>
  <si>
    <t>13</t>
  </si>
  <si>
    <t>14</t>
  </si>
  <si>
    <t>16</t>
  </si>
  <si>
    <t>18</t>
  </si>
  <si>
    <t>19</t>
  </si>
  <si>
    <t>20</t>
  </si>
  <si>
    <t>21</t>
  </si>
  <si>
    <t>25</t>
  </si>
  <si>
    <t>26</t>
  </si>
  <si>
    <t>305</t>
  </si>
  <si>
    <t>35023</t>
  </si>
  <si>
    <t>KONTROLNÍ VYŠETŘENÍ PSYCHIATREM</t>
  </si>
  <si>
    <t>5F5</t>
  </si>
  <si>
    <t>09227</t>
  </si>
  <si>
    <t>I. V. APLIKACE KRVE NEBO KREVNÍCH DERIVÁTŮ</t>
  </si>
  <si>
    <t>78023</t>
  </si>
  <si>
    <t>KONTROLNÍ VYŠETŘENÍ ANESTEZIOLOGEM</t>
  </si>
  <si>
    <t>78113</t>
  </si>
  <si>
    <t>KOMBINOVANÁ I. V. A INHALAČNÍ ANESTÉZIE Á 20 MIN.</t>
  </si>
  <si>
    <t>78121</t>
  </si>
  <si>
    <t>KAPNOMETRIE PŘI ANESTEZII Á 20 MINUT</t>
  </si>
  <si>
    <t>78820</t>
  </si>
  <si>
    <t>ZAJIŠTĚNÍ DÝCHACÍCH CEST PŘI ANESTEZII</t>
  </si>
  <si>
    <t>78116</t>
  </si>
  <si>
    <t>ANESTÉZIE S ŘÍZENOU VENTILACÍ Á 20 MIN.</t>
  </si>
  <si>
    <t>0002723</t>
  </si>
  <si>
    <t>PENDEPON COMPOSITUM</t>
  </si>
  <si>
    <t>0008807</t>
  </si>
  <si>
    <t>DALACIN C</t>
  </si>
  <si>
    <t>0008808</t>
  </si>
  <si>
    <t>0016600</t>
  </si>
  <si>
    <t>0017810</t>
  </si>
  <si>
    <t>0072972</t>
  </si>
  <si>
    <t>AMOKSIKLAV 1,2 G</t>
  </si>
  <si>
    <t>0076360</t>
  </si>
  <si>
    <t>ZINACEF 1,5 G</t>
  </si>
  <si>
    <t>0092207</t>
  </si>
  <si>
    <t>AUGMENTIN 1,2 G</t>
  </si>
  <si>
    <t>0094155</t>
  </si>
  <si>
    <t>ABAKTAL 400 MG/5 ML</t>
  </si>
  <si>
    <t>0096414</t>
  </si>
  <si>
    <t>GENTAMICIN LEK 80 MG/2 ML</t>
  </si>
  <si>
    <t>2</t>
  </si>
  <si>
    <t>0007917</t>
  </si>
  <si>
    <t>Erytrocyty bez buffy coatu</t>
  </si>
  <si>
    <t>0107936</t>
  </si>
  <si>
    <t>Trombocyty z buffy coatu směsné, deleukotizované</t>
  </si>
  <si>
    <t>0207921</t>
  </si>
  <si>
    <t>Plazma čerstvá zmrazená</t>
  </si>
  <si>
    <t>0001018</t>
  </si>
  <si>
    <t>ŠROUB SAMOŘEZNÝ KORTIKÁLNÍ MALÝ FRAGMENTY OCEL</t>
  </si>
  <si>
    <t>0002968</t>
  </si>
  <si>
    <t>DLAHA ROVNÁ REKONSTRUKČNÍ PÁNEV MALÝ FRAGMENT OCEL</t>
  </si>
  <si>
    <t>0013020</t>
  </si>
  <si>
    <t>APLIKÁTOR KLIPŮ MCA, 20 MALÝCH KLIPŮ   (MCS 20)</t>
  </si>
  <si>
    <t>0013022</t>
  </si>
  <si>
    <t>APLIKÁTOR KLIPŮ MCA, 20 STŘEDNÍCH KLIPŮ(MCM 20)</t>
  </si>
  <si>
    <t>0030617</t>
  </si>
  <si>
    <t>STAPLER KOŽNÍ ROYAL - 35W</t>
  </si>
  <si>
    <t>0059979</t>
  </si>
  <si>
    <t>KLIPY EXTRA TITAN LT300,LT400</t>
  </si>
  <si>
    <t>0062228</t>
  </si>
  <si>
    <t>SÍŤKA PROLENOVÁ PML1</t>
  </si>
  <si>
    <t>0068059</t>
  </si>
  <si>
    <t>IMPLANTÁT MAMMÁRNÍ EXPANDER TKÁŇOVÝ</t>
  </si>
  <si>
    <t>0070251</t>
  </si>
  <si>
    <t>DRÁT CERKLÁŽ  - OSTEOFIX 0.6 - 5M</t>
  </si>
  <si>
    <t>0081998</t>
  </si>
  <si>
    <t>V.A.C.FREEDOM SBĚRNÁ NÁDOBA S GELEM</t>
  </si>
  <si>
    <t>0082000</t>
  </si>
  <si>
    <t>V.A.C.GRANUFOAM(PU PĚNA) VELIKOST M</t>
  </si>
  <si>
    <t>0082042</t>
  </si>
  <si>
    <t>KRYTÍ MŘÍŽKA SILIKONOVÁ ASKINA SILNET</t>
  </si>
  <si>
    <t>0082511</t>
  </si>
  <si>
    <t>OBVAZ CIRKULÁRNÍ - PRSTY,RUKA,PŘEDLOKTÍ - SÁDRA</t>
  </si>
  <si>
    <t>0082517</t>
  </si>
  <si>
    <t>DLAHA FIXAČNÍ - NOHA,BÉREC - SÁDRA</t>
  </si>
  <si>
    <t>0107459</t>
  </si>
  <si>
    <t>SET PRO APLIKACI LAREV - DÁVKA CCA 150 LAREV</t>
  </si>
  <si>
    <t>0110664</t>
  </si>
  <si>
    <t>KOLÍK ODLAMOVACÍ K-SNAP</t>
  </si>
  <si>
    <t>0166175</t>
  </si>
  <si>
    <t>IMPLANTÁT MAMMÁRNÍ MONOBLOC SOFT ONE PLNĚNÝ KOHEZI</t>
  </si>
  <si>
    <t>0059978</t>
  </si>
  <si>
    <t>KLIPY EXTRA TITAN LT100,LT200</t>
  </si>
  <si>
    <t>0109204</t>
  </si>
  <si>
    <t>ŠROUB KORTIKÁLNÍ 2.0, TI</t>
  </si>
  <si>
    <t>00631</t>
  </si>
  <si>
    <t>OD TYPU 31 - PRO NEMOCNICE TYPU 3, (KATEGORIE 6)</t>
  </si>
  <si>
    <t>51233</t>
  </si>
  <si>
    <t>EXCIZE TUMORU MAMMY NEBO ODBĚR TKÁNĚ PRO BIOPSII</t>
  </si>
  <si>
    <t>51239</t>
  </si>
  <si>
    <t xml:space="preserve">RADIKÁLNÍ EXSTIRPACE AXILÁRNÍCH NEBO INQUINÁLNÍCH </t>
  </si>
  <si>
    <t>51853</t>
  </si>
  <si>
    <t>CIRKULÁRNÍ SÁDROVÝ OBVAZ - PRSTY, RUKA, PŘEDLOKTÍ</t>
  </si>
  <si>
    <t>53152</t>
  </si>
  <si>
    <t>OTEVŘENÁ REPOZICE A OSTEOSYNTÉZA ZLOMENINY NEBO LU</t>
  </si>
  <si>
    <t>56419</t>
  </si>
  <si>
    <t>POUŽITÍ OPERAČNÍHO MIKROSKOPU Á 15 MINUT</t>
  </si>
  <si>
    <t>61119</t>
  </si>
  <si>
    <t>SUTURA PERIFERNÍHO NERVU MIKROCHIRURGICKOU TECHNIK</t>
  </si>
  <si>
    <t>61127</t>
  </si>
  <si>
    <t>EXSTIRPACE PSEUDOCYSTY DEKUBITU</t>
  </si>
  <si>
    <t>61133</t>
  </si>
  <si>
    <t>RADIKÁLNÍ EXCIZE MALIGNÍHO MELANOBLASTOMU</t>
  </si>
  <si>
    <t>61143</t>
  </si>
  <si>
    <t>ODBĚR CÉVNÍHO ŠTĚPU MALÉHO KALIBRU (PRO MIKROCHIRU</t>
  </si>
  <si>
    <t>61153</t>
  </si>
  <si>
    <t xml:space="preserve">UZAVŘENÍ DEFEKTU NA KONČETINÁCH NEBO TRUPU KOŽNÍM </t>
  </si>
  <si>
    <t>61163</t>
  </si>
  <si>
    <t>PŘENOS NEBO ODPOJENÍ STOPKY KOŽNÍHO LALOKU</t>
  </si>
  <si>
    <t>61167</t>
  </si>
  <si>
    <t>TRANSPOZICE FASCIOKUTÁNNÍHO LALOKU</t>
  </si>
  <si>
    <t>61173</t>
  </si>
  <si>
    <t>VOLNÝ PŘENOS SVALOVÉHO A SVALOVĚ KOŽNÍHO LALOKU MI</t>
  </si>
  <si>
    <t>61233</t>
  </si>
  <si>
    <t>KAPSULOTOMIE MP NEBO IP KLOUBU</t>
  </si>
  <si>
    <t>61443</t>
  </si>
  <si>
    <t>REKONSTRUKCE PRSU SYNTETICKOU VLOŽKOU</t>
  </si>
  <si>
    <t>61449</t>
  </si>
  <si>
    <t>ABLACE PRSU SE ZACHOVÁNÍM DVORCE (SUBKUTÁNNÍ MASTE</t>
  </si>
  <si>
    <t>66423</t>
  </si>
  <si>
    <t>ODSTRANĚNÍ EXOSTÓZY DORZA RUKY</t>
  </si>
  <si>
    <t>66819</t>
  </si>
  <si>
    <t>APLIKACE ZEVNÍHO FIXATÉRU</t>
  </si>
  <si>
    <t>66919</t>
  </si>
  <si>
    <t>SEKVESTROTOMIE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</si>
  <si>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</si>
  <si>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</si>
  <si>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</si>
  <si>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</si>
  <si>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</si>
  <si>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</si>
  <si>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</si>
  <si>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>OD TYPU 02 - PRO NEMOCNICE TYPU 3, (KATEGORIE 6)</t>
  </si>
  <si>
    <t>66841</t>
  </si>
  <si>
    <t>EXSTIRPACE NÁDORU MĚKKÝCH TKÁNÍ - HLUBOKO ULOŽENÝC</t>
  </si>
  <si>
    <t>61115</t>
  </si>
  <si>
    <t>99999</t>
  </si>
  <si>
    <t>Nespecifikovany vykon</t>
  </si>
  <si>
    <t>51850</t>
  </si>
  <si>
    <t>PŘEVAZ RÁNY METODOU V. A. C. (VACUUM ASISTED CLOSU</t>
  </si>
  <si>
    <t>61445</t>
  </si>
  <si>
    <t>OPERACE GIGANTOMASTIE</t>
  </si>
  <si>
    <t>66437</t>
  </si>
  <si>
    <t>REKONSTRUKCE VAZŮ ZÁPĚSTÍ A RUKY</t>
  </si>
  <si>
    <t>51821</t>
  </si>
  <si>
    <t>CHIRURGICKÉ ODSTRANĚNÍ CIZÍHO TĚLESA</t>
  </si>
  <si>
    <t>62710</t>
  </si>
  <si>
    <t>SÍŤOVÁNÍ (MESHOVÁNÍ) ŠTĚPU DO ROZSAHU 5 % Z POVRCH</t>
  </si>
  <si>
    <t>31130</t>
  </si>
  <si>
    <t>PŘIJETÍ DOPROVODU DÍTĚTE</t>
  </si>
  <si>
    <t>61461</t>
  </si>
  <si>
    <t>VENTER PENDULUS S DIASTÁZOU</t>
  </si>
  <si>
    <t>61151</t>
  </si>
  <si>
    <t>UZAVŘENÍ DEFEKTU KOŽNÍM LALOKEM MÍSTNÍM NAD 20 CM^</t>
  </si>
  <si>
    <t>00698</t>
  </si>
  <si>
    <t>OD TYPU 98 - PRO NEMOCNICE TYPU 3, (KATEGORIE 6) -</t>
  </si>
  <si>
    <t>61421</t>
  </si>
  <si>
    <t>OPERACE TVRDÉHO A MĚKKÉHO NOSU PRO FUNKČNÍ PORUCHU</t>
  </si>
  <si>
    <t>61121</t>
  </si>
  <si>
    <t>CÉVNÍ ANASTOMOSA MIKROCHIRURGICKOU TECHNIKOU</t>
  </si>
  <si>
    <t>NEKREKTOMIE DO 5 % POVRCHU TĚLA - TANGENCIÁLNÍ NEB</t>
  </si>
  <si>
    <t>61431</t>
  </si>
  <si>
    <t>STATICKODYNAMICKÝ FASC. ZÁVĚS U PARÉZY N. FACIALIS</t>
  </si>
  <si>
    <t>62840</t>
  </si>
  <si>
    <t>SPECIALIZOVANÁ PÉČE O ROZSÁHLOU DEKUBITÁLNÍ PLOCHU</t>
  </si>
  <si>
    <t>47277</t>
  </si>
  <si>
    <t>RADIAČNĚ NAVIGOVANÝ CHIRURGICKÝ VÝKON (PŘIČTI K CH</t>
  </si>
  <si>
    <t>51515</t>
  </si>
  <si>
    <t>OPERACE KÝLY UMBILIKÁLNÍ NEBO EPIGASTRICKÁ - DOSPĚ</t>
  </si>
  <si>
    <t>62640</t>
  </si>
  <si>
    <t>ODBĚR DERMOEPIDERMÁLNÍHO ŠTĚPU: 1 - 5 % Z PLOCHY P</t>
  </si>
  <si>
    <t>66847</t>
  </si>
  <si>
    <t>TRANSPOZICE / TRANSPLANTACE ŠLACHY</t>
  </si>
  <si>
    <t>66417</t>
  </si>
  <si>
    <t>ARTRODÉZA MALÝCH KLOUBŮ RUKY A NOHY - JEDNOHO</t>
  </si>
  <si>
    <t>51235</t>
  </si>
  <si>
    <t>PARCIÁLNÍ NEBO KLÍNOVITÁ RESEKCE MAMMY S BIOPIÍ NE</t>
  </si>
  <si>
    <t>61221</t>
  </si>
  <si>
    <t>REKONSTRUKCE EXTENZOROVÉHO APARÁTU PRSTU RUKY</t>
  </si>
  <si>
    <t>53151</t>
  </si>
  <si>
    <t>OTEVĚNÁ REPOZICE A OSTEOSYNTÉZA ZLOMENINY NEBO LUX</t>
  </si>
  <si>
    <t>61171</t>
  </si>
  <si>
    <t>VOLNÝ PŘENOS KOŽNÍHO A FASCIOKUTÁNNÍHO LALOKU MIKR</t>
  </si>
  <si>
    <t>61211</t>
  </si>
  <si>
    <t>REKONSTRUKCE ŠLACHOVÉHO POUTKA</t>
  </si>
  <si>
    <t>61141</t>
  </si>
  <si>
    <t>ODBĚR NERVOVÉHO ŠTĚPU PRO MIKROCHIRURGICKÉ VÝKONY</t>
  </si>
  <si>
    <t>61441</t>
  </si>
  <si>
    <t>AUGMENTACE PRSU Z MÍSTNÍHO MATERIÁLU U HYPOPLAZIE</t>
  </si>
  <si>
    <t>62810</t>
  </si>
  <si>
    <t xml:space="preserve">ODBĚR KOŽNÍHO ŠTĚPU V PLNÉ TLOUŠŤCE DO ROZSAHU 20 </t>
  </si>
  <si>
    <t>53511</t>
  </si>
  <si>
    <t>SUTURA ŠLACHY EXTENZORU - MIMO RUKU A ZÁPĚSTÍ A KO</t>
  </si>
  <si>
    <t>66431</t>
  </si>
  <si>
    <t>REKONSTRUKCE / OSTEOTOMIE FALANGY, METAKARPU - PRV</t>
  </si>
  <si>
    <t>65321</t>
  </si>
  <si>
    <t xml:space="preserve">KOREKCE BRADY - OSTEOTOMIE (VČETNĚ ZVĚTŠENÍ BRADY </t>
  </si>
  <si>
    <t>13071</t>
  </si>
  <si>
    <t>LARVÁLNÍ LÉČBA RAN</t>
  </si>
  <si>
    <t>61391</t>
  </si>
  <si>
    <t>VYTVOŘENÍ NOVÉ PRSNÍ BRADAVKY A PRSNÍHO DVORCE</t>
  </si>
  <si>
    <t>61161</t>
  </si>
  <si>
    <t>ZHOTOVENÍ DVOUSTOPKOVÉHO TUBULOVANÉHO LALOKU</t>
  </si>
  <si>
    <t>30</t>
  </si>
  <si>
    <t>31</t>
  </si>
  <si>
    <t>50</t>
  </si>
  <si>
    <t>59</t>
  </si>
  <si>
    <t>Zdravotní výkony vykázané na pracovišti pro pacienty hospitalizované ve FNOL - orientační přehled</t>
  </si>
  <si>
    <t>22 - KLINIKA NUKLEÁRNÍ MEDICÍNY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</si>
  <si>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</si>
  <si>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</si>
  <si>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</si>
  <si>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</si>
  <si>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</si>
  <si>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</si>
  <si>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</si>
  <si>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22</t>
  </si>
  <si>
    <t>407</t>
  </si>
  <si>
    <t>0002095</t>
  </si>
  <si>
    <t>99mTc-nanokoloid alb.inj.</t>
  </si>
  <si>
    <t>0002100</t>
  </si>
  <si>
    <t>47269</t>
  </si>
  <si>
    <t>TOMOGRAFICKÁ SCINTIGRAFIE - SPECT</t>
  </si>
  <si>
    <t>47275</t>
  </si>
  <si>
    <t>SCINTIGRAFIE SENTINELOVÉ UZLINY</t>
  </si>
  <si>
    <t>47267</t>
  </si>
  <si>
    <t>SCINTIGRAFIE  NÁDORU</t>
  </si>
  <si>
    <t>32</t>
  </si>
  <si>
    <t>818</t>
  </si>
  <si>
    <t>96167</t>
  </si>
  <si>
    <t>KREVNÍ OBRAZ S PĚTI POPULAČNÍM DIFERENCIÁLNÍM POČT</t>
  </si>
  <si>
    <t>96617</t>
  </si>
  <si>
    <t>TROMBINOVÝ ČAS</t>
  </si>
  <si>
    <t>96621</t>
  </si>
  <si>
    <t>AKTIVOVANÝ PARTIALNÍ TROMBOPLASTINOVÝ TEST (APTT)</t>
  </si>
  <si>
    <t>96813</t>
  </si>
  <si>
    <t>ANTITROMBIN III, CHROMOGENNÍ METODOU (SÉRIE)</t>
  </si>
  <si>
    <t>96325</t>
  </si>
  <si>
    <t>FIBRINOGEN (SÉRIE)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</si>
  <si>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</si>
  <si>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</si>
  <si>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</si>
  <si>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</si>
  <si>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</si>
  <si>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</si>
  <si>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</si>
  <si>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</si>
  <si>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</si>
  <si>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</si>
  <si>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</si>
  <si>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</si>
  <si>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</si>
  <si>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</si>
  <si>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</si>
  <si>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</si>
  <si>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</si>
  <si>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</si>
  <si>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</si>
  <si>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</si>
  <si>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</si>
  <si>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</si>
  <si>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</si>
  <si>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</si>
  <si>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81451</t>
  </si>
  <si>
    <t>HEMOGLOBIN VOLNÝ V PLAZMĚ</t>
  </si>
  <si>
    <t>81527</t>
  </si>
  <si>
    <t>CHOLESTEROL LDL</t>
  </si>
  <si>
    <t>81731</t>
  </si>
  <si>
    <t>STANOVENÍ NATRIURETICKÝCH PEPTIDŮ V SÉRU A V PLAZM</t>
  </si>
  <si>
    <t>81135</t>
  </si>
  <si>
    <t>SODÍK STATIM</t>
  </si>
  <si>
    <t>81473</t>
  </si>
  <si>
    <t>CHOLESTEROL HDL</t>
  </si>
  <si>
    <t>81563</t>
  </si>
  <si>
    <t>OSMOLALITA (SÉRUM, MOČ)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</si>
  <si>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</si>
  <si>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</si>
  <si>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</si>
  <si>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</si>
  <si>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</si>
  <si>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</si>
  <si>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</si>
  <si>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</si>
  <si>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</si>
  <si>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</si>
  <si>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</si>
  <si>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</si>
  <si>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81143</t>
  </si>
  <si>
    <t>LAKTÁTDEHYDROGENÁZA STATIM</t>
  </si>
  <si>
    <t>81149</t>
  </si>
  <si>
    <t>FOSFOR ANORGANICKÝ STATIM</t>
  </si>
  <si>
    <t>81329</t>
  </si>
  <si>
    <t>ALBUMIN (SÉRUM)</t>
  </si>
  <si>
    <t>81115</t>
  </si>
  <si>
    <t>ALBUMIN SÉRUM (STATIM)</t>
  </si>
  <si>
    <t>81155</t>
  </si>
  <si>
    <t>GLUKÓZA KVANTITATIVNÍ STANOVENÍ STATIM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</si>
  <si>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</si>
  <si>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</si>
  <si>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</si>
  <si>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</si>
  <si>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</si>
  <si>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</si>
  <si>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</si>
  <si>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</si>
  <si>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81125</t>
  </si>
  <si>
    <t>BÍLKOVINY CELKOVÉ (SÉRUM) STATIM</t>
  </si>
  <si>
    <t>91145</t>
  </si>
  <si>
    <t>STANOVENÍ HAPTOGLOBINU</t>
  </si>
  <si>
    <t>81675</t>
  </si>
  <si>
    <t>MIKROALBUMINURIE</t>
  </si>
  <si>
    <t>81123</t>
  </si>
  <si>
    <t>BILIRUBIN KONJUGOVANÝ STATIM</t>
  </si>
  <si>
    <t>81165</t>
  </si>
  <si>
    <t>KREATINKINÁZA (CK) STATIM</t>
  </si>
  <si>
    <t>34</t>
  </si>
  <si>
    <t>809</t>
  </si>
  <si>
    <t>0077019</t>
  </si>
  <si>
    <t>ULTRAVIST 370</t>
  </si>
  <si>
    <t>89127</t>
  </si>
  <si>
    <t>RTG KOSTÍ A KLOUBŮ KONČETIN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</si>
  <si>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</si>
  <si>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</si>
  <si>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</si>
  <si>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</si>
  <si>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</si>
  <si>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</si>
  <si>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</si>
  <si>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</si>
  <si>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89201</t>
  </si>
  <si>
    <t>SKIASKOPIE NA OPERAČNÍM ČI ZÁKROKOVÉM SÁLE MOBILNÍ</t>
  </si>
  <si>
    <t>89611</t>
  </si>
  <si>
    <t>CT VYŠETŘENÍ HLAVY NEBO TĚLA NATIVNÍ A KONTRASTNÍ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</si>
  <si>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</si>
  <si>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</si>
  <si>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</si>
  <si>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</si>
  <si>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</si>
  <si>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</si>
  <si>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</si>
  <si>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</si>
  <si>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</si>
  <si>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</si>
  <si>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</si>
  <si>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</si>
  <si>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</si>
  <si>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</si>
  <si>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</si>
  <si>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</si>
  <si>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</si>
  <si>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</si>
  <si>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</si>
  <si>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</si>
  <si>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</si>
  <si>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</si>
  <si>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</si>
  <si>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</si>
  <si>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</si>
  <si>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</si>
  <si>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</si>
  <si>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</si>
  <si>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</si>
  <si>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</si>
  <si>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</si>
  <si>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</si>
  <si>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</si>
  <si>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</si>
  <si>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</si>
  <si>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</si>
  <si>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</si>
  <si>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</si>
  <si>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</si>
  <si>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</si>
  <si>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87231</t>
  </si>
  <si>
    <t>IMUNOHISTOCHEMIE (ZA KAŽDÝ MARKER Z 1 BLOKU)</t>
  </si>
  <si>
    <t>87427</t>
  </si>
  <si>
    <t>CYTOLOGICKÉ NÁTĚRY  NECENTRIFUGOVANÉ TEKUTINY - 4-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</si>
  <si>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</si>
  <si>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</si>
  <si>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</si>
  <si>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</si>
  <si>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</si>
  <si>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</si>
  <si>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</si>
  <si>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</si>
  <si>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</si>
  <si>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</si>
  <si>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</si>
  <si>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</si>
  <si>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</si>
  <si>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</si>
  <si>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</si>
  <si>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</si>
  <si>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</si>
  <si>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</si>
  <si>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</si>
  <si>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</si>
  <si>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</si>
  <si>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</si>
  <si>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40</t>
  </si>
  <si>
    <t>82001</t>
  </si>
  <si>
    <t>KONSULTACE K MIKROBIOLOGICKÉMU, PARAZITOLOGICKÉMU,</t>
  </si>
  <si>
    <t>82057</t>
  </si>
  <si>
    <t>IDENTIFIKACE KMENE ORIENTAČNÍ JEDNODUCHÝM TESTEM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</si>
  <si>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</si>
  <si>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</si>
  <si>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</si>
  <si>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</si>
  <si>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</si>
  <si>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</si>
  <si>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</si>
  <si>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</si>
  <si>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</si>
  <si>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</si>
  <si>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</si>
  <si>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</si>
  <si>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</si>
  <si>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</si>
  <si>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41</t>
  </si>
  <si>
    <t>813</t>
  </si>
  <si>
    <t>22217</t>
  </si>
  <si>
    <t xml:space="preserve">SCREENINGOVÉ VYŠETŘENÍ TROMBOCYTÁRNÍCH PROTILÁTEK 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</si>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</sst>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48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2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2" fontId="29" fillId="3" borderId="26" xfId="81" applyNumberFormat="1" applyFont="1" applyFill="1" applyBorder="1"/>
    <xf numFmtId="172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5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9" fontId="3" fillId="0" borderId="67" xfId="53" applyNumberFormat="1" applyFont="1" applyFill="1" applyBorder="1"/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170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5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8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0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0" fontId="46" fillId="2" borderId="33" xfId="1" applyFont="1" applyFill="1" applyBorder="1" applyAlignment="1">
      <alignment horizontal="left" indent="4"/>
    </xf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0" fillId="4" borderId="56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wrapText="1" indent="2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70" fontId="40" fillId="0" borderId="18" xfId="0" applyNumberFormat="1" applyFont="1" applyFill="1" applyBorder="1" applyAlignment="1"/>
    <xf numFmtId="170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0" fontId="40" fillId="2" borderId="80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55" fillId="2" borderId="83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4" fontId="40" fillId="4" borderId="85" xfId="0" applyNumberFormat="1" applyFont="1" applyFill="1" applyBorder="1" applyAlignment="1"/>
    <xf numFmtId="174" fontId="40" fillId="4" borderId="78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4" borderId="80" xfId="0" applyNumberFormat="1" applyFont="1" applyFill="1" applyBorder="1" applyAlignment="1"/>
    <xf numFmtId="174" fontId="40" fillId="0" borderId="87" xfId="0" applyNumberFormat="1" applyFont="1" applyBorder="1"/>
    <xf numFmtId="174" fontId="33" fillId="0" borderId="91" xfId="0" applyNumberFormat="1" applyFont="1" applyBorder="1"/>
    <xf numFmtId="174" fontId="33" fillId="0" borderId="89" xfId="0" applyNumberFormat="1" applyFont="1" applyBorder="1"/>
    <xf numFmtId="174" fontId="33" fillId="0" borderId="90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82" xfId="0" applyNumberFormat="1" applyFont="1" applyBorder="1"/>
    <xf numFmtId="174" fontId="33" fillId="0" borderId="83" xfId="0" applyNumberFormat="1" applyFont="1" applyBorder="1"/>
    <xf numFmtId="174" fontId="40" fillId="2" borderId="100" xfId="0" applyNumberFormat="1" applyFont="1" applyFill="1" applyBorder="1" applyAlignment="1"/>
    <xf numFmtId="174" fontId="40" fillId="2" borderId="78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2" borderId="80" xfId="0" applyNumberFormat="1" applyFont="1" applyFill="1" applyBorder="1" applyAlignment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174" fontId="33" fillId="0" borderId="96" xfId="0" applyNumberFormat="1" applyFont="1" applyBorder="1"/>
    <xf numFmtId="174" fontId="40" fillId="0" borderId="85" xfId="0" applyNumberFormat="1" applyFont="1" applyBorder="1"/>
    <xf numFmtId="174" fontId="33" fillId="0" borderId="101" xfId="0" applyNumberFormat="1" applyFont="1" applyBorder="1"/>
    <xf numFmtId="174" fontId="33" fillId="0" borderId="79" xfId="0" applyNumberFormat="1" applyFont="1" applyBorder="1"/>
    <xf numFmtId="174" fontId="33" fillId="0" borderId="80" xfId="0" applyNumberFormat="1" applyFont="1" applyBorder="1"/>
    <xf numFmtId="174" fontId="33" fillId="0" borderId="88" xfId="0" applyNumberFormat="1" applyFont="1" applyBorder="1"/>
    <xf numFmtId="174" fontId="33" fillId="0" borderId="81" xfId="0" applyNumberFormat="1" applyFont="1" applyBorder="1"/>
    <xf numFmtId="175" fontId="40" fillId="2" borderId="85" xfId="0" applyNumberFormat="1" applyFont="1" applyFill="1" applyBorder="1" applyAlignment="1"/>
    <xf numFmtId="175" fontId="33" fillId="2" borderId="78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33" fillId="2" borderId="80" xfId="0" applyNumberFormat="1" applyFont="1" applyFill="1" applyBorder="1" applyAlignment="1"/>
    <xf numFmtId="175" fontId="40" fillId="0" borderId="87" xfId="0" applyNumberFormat="1" applyFont="1" applyBorder="1"/>
    <xf numFmtId="175" fontId="33" fillId="0" borderId="88" xfId="0" applyNumberFormat="1" applyFont="1" applyBorder="1"/>
    <xf numFmtId="175" fontId="33" fillId="0" borderId="89" xfId="0" applyNumberFormat="1" applyFont="1" applyBorder="1"/>
    <xf numFmtId="175" fontId="33" fillId="0" borderId="90" xfId="0" applyNumberFormat="1" applyFont="1" applyBorder="1"/>
    <xf numFmtId="175" fontId="33" fillId="0" borderId="91" xfId="0" applyNumberFormat="1" applyFont="1" applyBorder="1"/>
    <xf numFmtId="175" fontId="40" fillId="0" borderId="93" xfId="0" applyNumberFormat="1" applyFont="1" applyBorder="1"/>
    <xf numFmtId="175" fontId="33" fillId="0" borderId="94" xfId="0" applyNumberFormat="1" applyFont="1" applyBorder="1"/>
    <xf numFmtId="175" fontId="33" fillId="0" borderId="95" xfId="0" applyNumberFormat="1" applyFont="1" applyBorder="1"/>
    <xf numFmtId="175" fontId="33" fillId="0" borderId="96" xfId="0" applyNumberFormat="1" applyFont="1" applyBorder="1"/>
    <xf numFmtId="0" fontId="26" fillId="2" borderId="16" xfId="1" applyFill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174" fontId="33" fillId="0" borderId="82" xfId="0" applyNumberFormat="1" applyFont="1" applyBorder="1" applyAlignment="1"/>
    <xf numFmtId="174" fontId="33" fillId="0" borderId="89" xfId="0" applyNumberFormat="1" applyFont="1" applyBorder="1" applyAlignment="1"/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3" xfId="53" applyNumberFormat="1" applyFont="1" applyFill="1" applyBorder="1" applyAlignment="1">
      <alignment horizontal="right"/>
    </xf>
    <xf numFmtId="165" fontId="30" fillId="2" borderId="28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74" fontId="33" fillId="0" borderId="82" xfId="0" applyNumberFormat="1" applyFont="1" applyBorder="1" applyAlignment="1"/>
    <xf numFmtId="0" fontId="2" fillId="0" borderId="1" xfId="26" applyFont="1" applyFill="1" applyBorder="1" applyAlignment="1"/>
    <xf numFmtId="0" fontId="0" fillId="0" borderId="1" xfId="0" applyBorder="1" applyAlignment="1"/>
    <xf numFmtId="167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74" fontId="33" fillId="0" borderId="89" xfId="0" applyNumberFormat="1" applyFont="1" applyBorder="1" applyAlignment="1"/>
    <xf numFmtId="174" fontId="40" fillId="4" borderId="79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49" fontId="32" fillId="2" borderId="2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4" fillId="2" borderId="49" xfId="0" applyNumberFormat="1" applyFont="1" applyFill="1" applyBorder="1" applyAlignment="1">
      <alignment horizontal="center" vertical="top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0" fontId="44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vertical="center" wrapText="1"/>
    </xf>
    <xf numFmtId="3" fontId="34" fillId="9" borderId="107" xfId="0" applyNumberFormat="1" applyFont="1" applyFill="1" applyBorder="1" applyAlignment="1">
      <alignment horizontal="right" vertical="top"/>
    </xf>
    <xf numFmtId="3" fontId="34" fillId="9" borderId="108" xfId="0" applyNumberFormat="1" applyFont="1" applyFill="1" applyBorder="1" applyAlignment="1">
      <alignment horizontal="right" vertical="top"/>
    </xf>
    <xf numFmtId="176" fontId="34" fillId="9" borderId="109" xfId="0" applyNumberFormat="1" applyFont="1" applyFill="1" applyBorder="1" applyAlignment="1">
      <alignment horizontal="right" vertical="top"/>
    </xf>
    <xf numFmtId="3" fontId="34" fillId="0" borderId="107" xfId="0" applyNumberFormat="1" applyFont="1" applyBorder="1" applyAlignment="1">
      <alignment horizontal="right" vertical="top"/>
    </xf>
    <xf numFmtId="176" fontId="34" fillId="9" borderId="110" xfId="0" applyNumberFormat="1" applyFont="1" applyFill="1" applyBorder="1" applyAlignment="1">
      <alignment horizontal="right" vertical="top"/>
    </xf>
    <xf numFmtId="3" fontId="36" fillId="9" borderId="112" xfId="0" applyNumberFormat="1" applyFont="1" applyFill="1" applyBorder="1" applyAlignment="1">
      <alignment horizontal="right" vertical="top"/>
    </xf>
    <xf numFmtId="3" fontId="36" fillId="9" borderId="113" xfId="0" applyNumberFormat="1" applyFont="1" applyFill="1" applyBorder="1" applyAlignment="1">
      <alignment horizontal="right" vertical="top"/>
    </xf>
    <xf numFmtId="0" fontId="36" fillId="9" borderId="114" xfId="0" applyFont="1" applyFill="1" applyBorder="1" applyAlignment="1">
      <alignment horizontal="right" vertical="top"/>
    </xf>
    <xf numFmtId="3" fontId="36" fillId="0" borderId="112" xfId="0" applyNumberFormat="1" applyFont="1" applyBorder="1" applyAlignment="1">
      <alignment horizontal="right" vertical="top"/>
    </xf>
    <xf numFmtId="0" fontId="36" fillId="9" borderId="115" xfId="0" applyFont="1" applyFill="1" applyBorder="1" applyAlignment="1">
      <alignment horizontal="right" vertical="top"/>
    </xf>
    <xf numFmtId="0" fontId="34" fillId="9" borderId="109" xfId="0" applyFont="1" applyFill="1" applyBorder="1" applyAlignment="1">
      <alignment horizontal="right" vertical="top"/>
    </xf>
    <xf numFmtId="0" fontId="34" fillId="9" borderId="110" xfId="0" applyFont="1" applyFill="1" applyBorder="1" applyAlignment="1">
      <alignment horizontal="right" vertical="top"/>
    </xf>
    <xf numFmtId="176" fontId="36" fillId="9" borderId="114" xfId="0" applyNumberFormat="1" applyFont="1" applyFill="1" applyBorder="1" applyAlignment="1">
      <alignment horizontal="right" vertical="top"/>
    </xf>
    <xf numFmtId="176" fontId="36" fillId="9" borderId="115" xfId="0" applyNumberFormat="1" applyFont="1" applyFill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3" fontId="36" fillId="0" borderId="117" xfId="0" applyNumberFormat="1" applyFont="1" applyBorder="1" applyAlignment="1">
      <alignment horizontal="right" vertical="top"/>
    </xf>
    <xf numFmtId="0" fontId="36" fillId="0" borderId="118" xfId="0" applyFont="1" applyBorder="1" applyAlignment="1">
      <alignment horizontal="right" vertical="top"/>
    </xf>
    <xf numFmtId="176" fontId="36" fillId="9" borderId="119" xfId="0" applyNumberFormat="1" applyFont="1" applyFill="1" applyBorder="1" applyAlignment="1">
      <alignment horizontal="right" vertical="top"/>
    </xf>
    <xf numFmtId="0" fontId="38" fillId="10" borderId="106" xfId="0" applyFont="1" applyFill="1" applyBorder="1" applyAlignment="1">
      <alignment vertical="top"/>
    </xf>
    <xf numFmtId="0" fontId="38" fillId="10" borderId="106" xfId="0" applyFont="1" applyFill="1" applyBorder="1" applyAlignment="1">
      <alignment vertical="top" indent="2"/>
    </xf>
    <xf numFmtId="0" fontId="38" fillId="10" borderId="106" xfId="0" applyFont="1" applyFill="1" applyBorder="1" applyAlignment="1">
      <alignment vertical="top" indent="4"/>
    </xf>
    <xf numFmtId="0" fontId="39" fillId="10" borderId="111" xfId="0" applyFont="1" applyFill="1" applyBorder="1" applyAlignment="1">
      <alignment vertical="top" indent="6"/>
    </xf>
    <xf numFmtId="0" fontId="38" fillId="10" borderId="106" xfId="0" applyFont="1" applyFill="1" applyBorder="1" applyAlignment="1">
      <alignment vertical="top" indent="8"/>
    </xf>
    <xf numFmtId="0" fontId="39" fillId="10" borderId="111" xfId="0" applyFont="1" applyFill="1" applyBorder="1" applyAlignment="1">
      <alignment vertical="top" indent="2"/>
    </xf>
    <xf numFmtId="0" fontId="38" fillId="10" borderId="106" xfId="0" applyFont="1" applyFill="1" applyBorder="1" applyAlignment="1">
      <alignment vertical="top" indent="6"/>
    </xf>
    <xf numFmtId="0" fontId="39" fillId="10" borderId="111" xfId="0" applyFont="1" applyFill="1" applyBorder="1" applyAlignment="1">
      <alignment vertical="top" indent="4"/>
    </xf>
    <xf numFmtId="0" fontId="39" fillId="10" borderId="111" xfId="0" applyFont="1" applyFill="1" applyBorder="1" applyAlignment="1">
      <alignment vertical="top"/>
    </xf>
    <xf numFmtId="0" fontId="33" fillId="10" borderId="106" xfId="0" applyFont="1" applyFill="1" applyBorder="1"/>
    <xf numFmtId="0" fontId="39" fillId="10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165" fontId="32" fillId="2" borderId="120" xfId="53" applyNumberFormat="1" applyFont="1" applyFill="1" applyBorder="1" applyAlignment="1">
      <alignment horizontal="left"/>
    </xf>
    <xf numFmtId="165" fontId="32" fillId="2" borderId="121" xfId="53" applyNumberFormat="1" applyFont="1" applyFill="1" applyBorder="1" applyAlignment="1">
      <alignment horizontal="left"/>
    </xf>
    <xf numFmtId="165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5" fontId="33" fillId="0" borderId="79" xfId="0" applyNumberFormat="1" applyFont="1" applyFill="1" applyBorder="1"/>
    <xf numFmtId="165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5" fontId="33" fillId="0" borderId="89" xfId="0" applyNumberFormat="1" applyFont="1" applyFill="1" applyBorder="1"/>
    <xf numFmtId="165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5" fontId="33" fillId="0" borderId="82" xfId="0" applyNumberFormat="1" applyFont="1" applyFill="1" applyBorder="1"/>
    <xf numFmtId="165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20" xfId="79" applyFont="1" applyFill="1" applyBorder="1" applyAlignment="1">
      <alignment horizontal="left"/>
    </xf>
    <xf numFmtId="0" fontId="40" fillId="10" borderId="123" xfId="0" applyFont="1" applyFill="1" applyBorder="1"/>
    <xf numFmtId="0" fontId="40" fillId="10" borderId="124" xfId="0" applyFont="1" applyFill="1" applyBorder="1"/>
    <xf numFmtId="0" fontId="40" fillId="10" borderId="125" xfId="0" applyFont="1" applyFill="1" applyBorder="1"/>
    <xf numFmtId="3" fontId="3" fillId="2" borderId="95" xfId="80" applyNumberFormat="1" applyFont="1" applyFill="1" applyBorder="1"/>
    <xf numFmtId="0" fontId="3" fillId="2" borderId="95" xfId="80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33" fillId="0" borderId="123" xfId="0" applyFont="1" applyFill="1" applyBorder="1"/>
    <xf numFmtId="0" fontId="33" fillId="0" borderId="124" xfId="0" applyFont="1" applyFill="1" applyBorder="1"/>
    <xf numFmtId="0" fontId="33" fillId="0" borderId="125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23" xfId="0" applyFont="1" applyFill="1" applyBorder="1"/>
    <xf numFmtId="0" fontId="33" fillId="0" borderId="28" xfId="0" applyFont="1" applyFill="1" applyBorder="1"/>
    <xf numFmtId="0" fontId="33" fillId="0" borderId="28" xfId="0" applyFont="1" applyFill="1" applyBorder="1" applyAlignment="1">
      <alignment horizontal="right"/>
    </xf>
    <xf numFmtId="0" fontId="33" fillId="0" borderId="28" xfId="0" applyFont="1" applyFill="1" applyBorder="1" applyAlignment="1">
      <alignment horizontal="left"/>
    </xf>
    <xf numFmtId="165" fontId="33" fillId="0" borderId="28" xfId="0" applyNumberFormat="1" applyFont="1" applyFill="1" applyBorder="1"/>
    <xf numFmtId="166" fontId="33" fillId="0" borderId="28" xfId="0" applyNumberFormat="1" applyFont="1" applyFill="1" applyBorder="1"/>
    <xf numFmtId="9" fontId="33" fillId="0" borderId="28" xfId="0" applyNumberFormat="1" applyFont="1" applyFill="1" applyBorder="1"/>
    <xf numFmtId="0" fontId="33" fillId="0" borderId="89" xfId="0" applyFont="1" applyFill="1" applyBorder="1" applyAlignment="1">
      <alignment horizontal="right"/>
    </xf>
    <xf numFmtId="0" fontId="33" fillId="0" borderId="89" xfId="0" applyFont="1" applyFill="1" applyBorder="1" applyAlignment="1">
      <alignment horizontal="left"/>
    </xf>
    <xf numFmtId="166" fontId="33" fillId="0" borderId="89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6" fontId="33" fillId="0" borderId="82" xfId="0" applyNumberFormat="1" applyFont="1" applyFill="1" applyBorder="1"/>
    <xf numFmtId="0" fontId="40" fillId="2" borderId="51" xfId="0" applyFont="1" applyFill="1" applyBorder="1"/>
    <xf numFmtId="3" fontId="40" fillId="2" borderId="122" xfId="0" applyNumberFormat="1" applyFont="1" applyFill="1" applyBorder="1"/>
    <xf numFmtId="9" fontId="40" fillId="2" borderId="73" xfId="0" applyNumberFormat="1" applyFont="1" applyFill="1" applyBorder="1"/>
    <xf numFmtId="3" fontId="40" fillId="2" borderId="65" xfId="0" applyNumberFormat="1" applyFont="1" applyFill="1" applyBorder="1"/>
    <xf numFmtId="3" fontId="33" fillId="0" borderId="24" xfId="0" applyNumberFormat="1" applyFont="1" applyFill="1" applyBorder="1"/>
    <xf numFmtId="3" fontId="33" fillId="0" borderId="95" xfId="0" applyNumberFormat="1" applyFont="1" applyFill="1" applyBorder="1"/>
    <xf numFmtId="9" fontId="33" fillId="0" borderId="95" xfId="0" applyNumberFormat="1" applyFont="1" applyFill="1" applyBorder="1"/>
    <xf numFmtId="3" fontId="33" fillId="0" borderId="96" xfId="0" applyNumberFormat="1" applyFont="1" applyFill="1" applyBorder="1"/>
    <xf numFmtId="0" fontId="40" fillId="10" borderId="18" xfId="0" applyFont="1" applyFill="1" applyBorder="1"/>
    <xf numFmtId="3" fontId="40" fillId="10" borderId="26" xfId="0" applyNumberFormat="1" applyFont="1" applyFill="1" applyBorder="1"/>
    <xf numFmtId="9" fontId="40" fillId="10" borderId="26" xfId="0" applyNumberFormat="1" applyFont="1" applyFill="1" applyBorder="1"/>
    <xf numFmtId="3" fontId="40" fillId="10" borderId="19" xfId="0" applyNumberFormat="1" applyFont="1" applyFill="1" applyBorder="1"/>
    <xf numFmtId="0" fontId="40" fillId="0" borderId="23" xfId="0" applyFont="1" applyFill="1" applyBorder="1"/>
    <xf numFmtId="0" fontId="40" fillId="0" borderId="88" xfId="0" applyFont="1" applyFill="1" applyBorder="1"/>
    <xf numFmtId="0" fontId="40" fillId="0" borderId="130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165" fontId="32" fillId="2" borderId="51" xfId="53" applyNumberFormat="1" applyFont="1" applyFill="1" applyBorder="1" applyAlignment="1">
      <alignment horizontal="left"/>
    </xf>
    <xf numFmtId="165" fontId="32" fillId="2" borderId="53" xfId="53" applyNumberFormat="1" applyFont="1" applyFill="1" applyBorder="1" applyAlignment="1">
      <alignment horizontal="left"/>
    </xf>
    <xf numFmtId="165" fontId="33" fillId="0" borderId="28" xfId="0" applyNumberFormat="1" applyFont="1" applyFill="1" applyBorder="1" applyAlignment="1">
      <alignment horizontal="right"/>
    </xf>
    <xf numFmtId="174" fontId="40" fillId="4" borderId="28" xfId="0" applyNumberFormat="1" applyFont="1" applyFill="1" applyBorder="1" applyAlignment="1">
      <alignment horizontal="center"/>
    </xf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70" fontId="33" fillId="0" borderId="28" xfId="0" applyNumberFormat="1" applyFont="1" applyFill="1" applyBorder="1"/>
    <xf numFmtId="170" fontId="33" fillId="0" borderId="89" xfId="0" applyNumberFormat="1" applyFont="1" applyFill="1" applyBorder="1"/>
    <xf numFmtId="170" fontId="33" fillId="0" borderId="82" xfId="0" applyNumberFormat="1" applyFont="1" applyFill="1" applyBorder="1"/>
    <xf numFmtId="0" fontId="40" fillId="0" borderId="81" xfId="0" applyFont="1" applyFill="1" applyBorder="1"/>
    <xf numFmtId="0" fontId="58" fillId="0" borderId="0" xfId="0" applyFont="1" applyFill="1"/>
    <xf numFmtId="0" fontId="59" fillId="0" borderId="0" xfId="0" applyFont="1" applyFill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  <xf numFmtId="0" fontId="30" fillId="2" borderId="30" xfId="0" applyFont="1" applyFill="1" applyBorder="1" applyAlignment="1">
      <alignment vertical="center" wrapText="1"/>
    </xf>
    <xf numFmtId="0" fontId="32" fillId="2" borderId="14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9"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0.27279214444703614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223552"/>
        <c:axId val="8973680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0.23131354939476767</c:v>
                </c:pt>
                <c:pt idx="1">
                  <c:v>0.23131354939476767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370752"/>
        <c:axId val="907166848"/>
      </c:scatterChart>
      <c:catAx>
        <c:axId val="88122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736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7368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81223552"/>
        <c:crosses val="autoZero"/>
        <c:crossBetween val="between"/>
      </c:valAx>
      <c:valAx>
        <c:axId val="8973707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07166848"/>
        <c:crosses val="max"/>
        <c:crossBetween val="midCat"/>
      </c:valAx>
      <c:valAx>
        <c:axId val="9071668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973707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6" bestFit="1" customWidth="1"/>
    <col min="2" max="2" width="98.6640625" style="136" customWidth="1"/>
    <col min="3" max="3" width="16.109375" style="47" hidden="1" customWidth="1"/>
    <col min="4" max="16384" width="8.88671875" style="136"/>
  </cols>
  <sheetData>
    <row r="1" spans="1:3" ht="18.600000000000001" customHeight="1" thickBot="1" x14ac:dyDescent="0.4">
      <c r="A1" s="318" t="s">
        <v>113</v>
      </c>
      <c r="B1" s="318"/>
    </row>
    <row r="2" spans="1:3" ht="14.4" customHeight="1" thickBot="1" x14ac:dyDescent="0.35">
      <c r="A2" s="243" t="s">
        <v>249</v>
      </c>
      <c r="B2" s="46"/>
    </row>
    <row r="3" spans="1:3" ht="14.4" customHeight="1" thickBot="1" x14ac:dyDescent="0.35">
      <c r="A3" s="314" t="s">
        <v>148</v>
      </c>
      <c r="B3" s="315"/>
    </row>
    <row r="4" spans="1:3" ht="14.4" customHeight="1" x14ac:dyDescent="0.3">
      <c r="A4" s="151" t="str">
        <f t="shared" ref="A4:A8" si="0">HYPERLINK("#'"&amp;C4&amp;"'!A1",C4)</f>
        <v>Motivace</v>
      </c>
      <c r="B4" s="89" t="s">
        <v>128</v>
      </c>
      <c r="C4" s="47" t="s">
        <v>129</v>
      </c>
    </row>
    <row r="5" spans="1:3" ht="14.4" customHeight="1" x14ac:dyDescent="0.3">
      <c r="A5" s="152" t="str">
        <f t="shared" si="0"/>
        <v>HI</v>
      </c>
      <c r="B5" s="90" t="s">
        <v>144</v>
      </c>
      <c r="C5" s="47" t="s">
        <v>116</v>
      </c>
    </row>
    <row r="6" spans="1:3" ht="14.4" customHeight="1" x14ac:dyDescent="0.3">
      <c r="A6" s="153" t="str">
        <f t="shared" si="0"/>
        <v>HI Graf</v>
      </c>
      <c r="B6" s="91" t="s">
        <v>109</v>
      </c>
      <c r="C6" s="47" t="s">
        <v>117</v>
      </c>
    </row>
    <row r="7" spans="1:3" ht="14.4" customHeight="1" x14ac:dyDescent="0.3">
      <c r="A7" s="153" t="str">
        <f t="shared" si="0"/>
        <v>Man Tab</v>
      </c>
      <c r="B7" s="91" t="s">
        <v>251</v>
      </c>
      <c r="C7" s="47" t="s">
        <v>118</v>
      </c>
    </row>
    <row r="8" spans="1:3" ht="14.4" customHeight="1" thickBot="1" x14ac:dyDescent="0.35">
      <c r="A8" s="154" t="str">
        <f t="shared" si="0"/>
        <v>HV</v>
      </c>
      <c r="B8" s="92" t="s">
        <v>64</v>
      </c>
      <c r="C8" s="47" t="s">
        <v>69</v>
      </c>
    </row>
    <row r="9" spans="1:3" ht="14.4" customHeight="1" thickBot="1" x14ac:dyDescent="0.35">
      <c r="A9" s="93"/>
      <c r="B9" s="93"/>
    </row>
    <row r="10" spans="1:3" ht="14.4" customHeight="1" thickBot="1" x14ac:dyDescent="0.35">
      <c r="A10" s="316" t="s">
        <v>114</v>
      </c>
      <c r="B10" s="315"/>
    </row>
    <row r="11" spans="1:3" ht="14.4" customHeight="1" x14ac:dyDescent="0.3">
      <c r="A11" s="155" t="str">
        <f t="shared" ref="A11:A20" si="1">HYPERLINK("#'"&amp;C11&amp;"'!A1",C11)</f>
        <v>Léky Žádanky</v>
      </c>
      <c r="B11" s="90" t="s">
        <v>145</v>
      </c>
      <c r="C11" s="47" t="s">
        <v>119</v>
      </c>
    </row>
    <row r="12" spans="1:3" ht="14.4" customHeight="1" x14ac:dyDescent="0.3">
      <c r="A12" s="153" t="str">
        <f t="shared" si="1"/>
        <v>LŽ Detail</v>
      </c>
      <c r="B12" s="91" t="s">
        <v>171</v>
      </c>
      <c r="C12" s="47" t="s">
        <v>120</v>
      </c>
    </row>
    <row r="13" spans="1:3" ht="14.4" customHeight="1" x14ac:dyDescent="0.3">
      <c r="A13" s="153" t="str">
        <f t="shared" si="1"/>
        <v>Léky Recepty</v>
      </c>
      <c r="B13" s="91" t="s">
        <v>146</v>
      </c>
      <c r="C13" s="47" t="s">
        <v>121</v>
      </c>
    </row>
    <row r="14" spans="1:3" ht="14.4" customHeight="1" x14ac:dyDescent="0.3">
      <c r="A14" s="153" t="str">
        <f t="shared" si="1"/>
        <v>LRp Lékaři</v>
      </c>
      <c r="B14" s="91" t="s">
        <v>155</v>
      </c>
      <c r="C14" s="47" t="s">
        <v>156</v>
      </c>
    </row>
    <row r="15" spans="1:3" ht="14.4" customHeight="1" x14ac:dyDescent="0.3">
      <c r="A15" s="153" t="str">
        <f t="shared" si="1"/>
        <v>LRp Detail</v>
      </c>
      <c r="B15" s="91" t="s">
        <v>898</v>
      </c>
      <c r="C15" s="47" t="s">
        <v>122</v>
      </c>
    </row>
    <row r="16" spans="1:3" ht="28.8" customHeight="1" x14ac:dyDescent="0.3">
      <c r="A16" s="153" t="str">
        <f t="shared" si="1"/>
        <v>LRp PL</v>
      </c>
      <c r="B16" s="514" t="s">
        <v>899</v>
      </c>
      <c r="C16" s="47" t="s">
        <v>152</v>
      </c>
    </row>
    <row r="17" spans="1:3" ht="14.4" customHeight="1" x14ac:dyDescent="0.3">
      <c r="A17" s="153" t="str">
        <f>HYPERLINK("#'"&amp;C17&amp;"'!A1",C17)</f>
        <v>LRp PL Detail</v>
      </c>
      <c r="B17" s="91" t="s">
        <v>924</v>
      </c>
      <c r="C17" s="47" t="s">
        <v>153</v>
      </c>
    </row>
    <row r="18" spans="1:3" ht="14.4" customHeight="1" x14ac:dyDescent="0.3">
      <c r="A18" s="155" t="str">
        <f t="shared" si="1"/>
        <v>Materiál Žádanky</v>
      </c>
      <c r="B18" s="91" t="s">
        <v>147</v>
      </c>
      <c r="C18" s="47" t="s">
        <v>123</v>
      </c>
    </row>
    <row r="19" spans="1:3" ht="14.4" customHeight="1" x14ac:dyDescent="0.3">
      <c r="A19" s="153" t="str">
        <f t="shared" si="1"/>
        <v>MŽ Detail</v>
      </c>
      <c r="B19" s="91" t="s">
        <v>1083</v>
      </c>
      <c r="C19" s="47" t="s">
        <v>124</v>
      </c>
    </row>
    <row r="20" spans="1:3" ht="14.4" customHeight="1" thickBot="1" x14ac:dyDescent="0.35">
      <c r="A20" s="155" t="str">
        <f t="shared" si="1"/>
        <v>Osobní náklady</v>
      </c>
      <c r="B20" s="91" t="s">
        <v>111</v>
      </c>
      <c r="C20" s="47" t="s">
        <v>125</v>
      </c>
    </row>
    <row r="21" spans="1:3" ht="14.4" customHeight="1" thickBot="1" x14ac:dyDescent="0.35">
      <c r="A21" s="94"/>
      <c r="B21" s="94"/>
    </row>
    <row r="22" spans="1:3" ht="14.4" customHeight="1" thickBot="1" x14ac:dyDescent="0.35">
      <c r="A22" s="317" t="s">
        <v>115</v>
      </c>
      <c r="B22" s="315"/>
    </row>
    <row r="23" spans="1:3" ht="14.4" customHeight="1" x14ac:dyDescent="0.3">
      <c r="A23" s="156" t="str">
        <f t="shared" ref="A23:A28" si="2">HYPERLINK("#'"&amp;C23&amp;"'!A1",C23)</f>
        <v>ZV Vykáz.-A</v>
      </c>
      <c r="B23" s="90" t="s">
        <v>1090</v>
      </c>
      <c r="C23" s="47" t="s">
        <v>130</v>
      </c>
    </row>
    <row r="24" spans="1:3" ht="14.4" customHeight="1" x14ac:dyDescent="0.3">
      <c r="A24" s="153" t="str">
        <f t="shared" si="2"/>
        <v>ZV Vykáz.-A Detail</v>
      </c>
      <c r="B24" s="91" t="s">
        <v>1271</v>
      </c>
      <c r="C24" s="47" t="s">
        <v>131</v>
      </c>
    </row>
    <row r="25" spans="1:3" ht="14.4" customHeight="1" x14ac:dyDescent="0.3">
      <c r="A25" s="153" t="str">
        <f t="shared" si="2"/>
        <v>ZV Vykáz.-H</v>
      </c>
      <c r="B25" s="91" t="s">
        <v>134</v>
      </c>
      <c r="C25" s="47" t="s">
        <v>132</v>
      </c>
    </row>
    <row r="26" spans="1:3" ht="14.4" customHeight="1" x14ac:dyDescent="0.3">
      <c r="A26" s="153" t="str">
        <f t="shared" si="2"/>
        <v>ZV Vykáz.-H Detail</v>
      </c>
      <c r="B26" s="91" t="s">
        <v>1516</v>
      </c>
      <c r="C26" s="47" t="s">
        <v>133</v>
      </c>
    </row>
    <row r="27" spans="1:3" ht="14.4" customHeight="1" x14ac:dyDescent="0.3">
      <c r="A27" s="153" t="str">
        <f t="shared" si="2"/>
        <v>ZV Vyžád.</v>
      </c>
      <c r="B27" s="91" t="s">
        <v>135</v>
      </c>
      <c r="C27" s="47" t="s">
        <v>127</v>
      </c>
    </row>
    <row r="28" spans="1:3" ht="14.4" customHeight="1" x14ac:dyDescent="0.3">
      <c r="A28" s="153" t="str">
        <f t="shared" si="2"/>
        <v>ZV Vyžád. Detail</v>
      </c>
      <c r="B28" s="91" t="s">
        <v>1731</v>
      </c>
      <c r="C28" s="47" t="s">
        <v>126</v>
      </c>
    </row>
  </sheetData>
  <mergeCells count="4">
    <mergeCell ref="A3:B3"/>
    <mergeCell ref="A10:B10"/>
    <mergeCell ref="A22:B2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6" customWidth="1"/>
    <col min="2" max="2" width="11.109375" style="215" bestFit="1" customWidth="1"/>
    <col min="3" max="3" width="11.109375" style="136" hidden="1" customWidth="1"/>
    <col min="4" max="4" width="7.33203125" style="215" bestFit="1" customWidth="1"/>
    <col min="5" max="5" width="7.33203125" style="136" hidden="1" customWidth="1"/>
    <col min="6" max="6" width="11.109375" style="215" bestFit="1" customWidth="1"/>
    <col min="7" max="7" width="5.33203125" style="218" customWidth="1"/>
    <col min="8" max="8" width="7.33203125" style="215" bestFit="1" customWidth="1"/>
    <col min="9" max="9" width="5.33203125" style="218" customWidth="1"/>
    <col min="10" max="10" width="11.109375" style="215" customWidth="1"/>
    <col min="11" max="11" width="5.33203125" style="218" customWidth="1"/>
    <col min="12" max="12" width="7.33203125" style="215" customWidth="1"/>
    <col min="13" max="13" width="5.33203125" style="218" customWidth="1"/>
    <col min="14" max="14" width="0" style="136" hidden="1" customWidth="1"/>
    <col min="15" max="16384" width="8.88671875" style="136"/>
  </cols>
  <sheetData>
    <row r="1" spans="1:13" ht="18.600000000000001" customHeight="1" thickBot="1" x14ac:dyDescent="0.4">
      <c r="A1" s="350" t="s">
        <v>155</v>
      </c>
      <c r="B1" s="350"/>
      <c r="C1" s="350"/>
      <c r="D1" s="350"/>
      <c r="E1" s="350"/>
      <c r="F1" s="350"/>
      <c r="G1" s="350"/>
      <c r="H1" s="350"/>
      <c r="I1" s="350"/>
      <c r="J1" s="319"/>
      <c r="K1" s="319"/>
      <c r="L1" s="319"/>
      <c r="M1" s="319"/>
    </row>
    <row r="2" spans="1:13" ht="14.4" customHeight="1" thickBot="1" x14ac:dyDescent="0.35">
      <c r="A2" s="243" t="s">
        <v>249</v>
      </c>
      <c r="B2" s="222"/>
      <c r="C2" s="214"/>
      <c r="D2" s="222"/>
      <c r="E2" s="214"/>
      <c r="F2" s="222"/>
      <c r="G2" s="223"/>
      <c r="H2" s="222"/>
      <c r="I2" s="223"/>
    </row>
    <row r="3" spans="1:13" ht="14.4" customHeight="1" thickBot="1" x14ac:dyDescent="0.35">
      <c r="A3" s="150"/>
      <c r="B3" s="361" t="s">
        <v>18</v>
      </c>
      <c r="C3" s="363"/>
      <c r="D3" s="360"/>
      <c r="E3" s="149"/>
      <c r="F3" s="360" t="s">
        <v>19</v>
      </c>
      <c r="G3" s="360"/>
      <c r="H3" s="360"/>
      <c r="I3" s="360"/>
      <c r="J3" s="360" t="s">
        <v>154</v>
      </c>
      <c r="K3" s="360"/>
      <c r="L3" s="360"/>
      <c r="M3" s="362"/>
    </row>
    <row r="4" spans="1:13" ht="14.4" customHeight="1" thickBot="1" x14ac:dyDescent="0.35">
      <c r="A4" s="455" t="s">
        <v>143</v>
      </c>
      <c r="B4" s="459" t="s">
        <v>22</v>
      </c>
      <c r="C4" s="460"/>
      <c r="D4" s="459" t="s">
        <v>23</v>
      </c>
      <c r="E4" s="460"/>
      <c r="F4" s="459" t="s">
        <v>22</v>
      </c>
      <c r="G4" s="467" t="s">
        <v>5</v>
      </c>
      <c r="H4" s="459" t="s">
        <v>23</v>
      </c>
      <c r="I4" s="467" t="s">
        <v>5</v>
      </c>
      <c r="J4" s="459" t="s">
        <v>22</v>
      </c>
      <c r="K4" s="467" t="s">
        <v>5</v>
      </c>
      <c r="L4" s="459" t="s">
        <v>23</v>
      </c>
      <c r="M4" s="468" t="s">
        <v>5</v>
      </c>
    </row>
    <row r="5" spans="1:13" ht="14.4" customHeight="1" x14ac:dyDescent="0.3">
      <c r="A5" s="456" t="s">
        <v>563</v>
      </c>
      <c r="B5" s="461">
        <v>12081.829999999998</v>
      </c>
      <c r="C5" s="438">
        <v>1</v>
      </c>
      <c r="D5" s="464">
        <v>36</v>
      </c>
      <c r="E5" s="475" t="s">
        <v>563</v>
      </c>
      <c r="F5" s="461">
        <v>7263.8999999999987</v>
      </c>
      <c r="G5" s="469">
        <v>0.60122514552845052</v>
      </c>
      <c r="H5" s="441">
        <v>23</v>
      </c>
      <c r="I5" s="470">
        <v>0.63888888888888884</v>
      </c>
      <c r="J5" s="478">
        <v>4817.93</v>
      </c>
      <c r="K5" s="469">
        <v>0.39877485447154953</v>
      </c>
      <c r="L5" s="441">
        <v>13</v>
      </c>
      <c r="M5" s="470">
        <v>0.3611111111111111</v>
      </c>
    </row>
    <row r="6" spans="1:13" ht="14.4" customHeight="1" x14ac:dyDescent="0.3">
      <c r="A6" s="457" t="s">
        <v>564</v>
      </c>
      <c r="B6" s="462">
        <v>9729.5299999999988</v>
      </c>
      <c r="C6" s="444">
        <v>1</v>
      </c>
      <c r="D6" s="465">
        <v>31</v>
      </c>
      <c r="E6" s="476" t="s">
        <v>564</v>
      </c>
      <c r="F6" s="462">
        <v>7183.34</v>
      </c>
      <c r="G6" s="471">
        <v>0.73830287793963334</v>
      </c>
      <c r="H6" s="447">
        <v>16</v>
      </c>
      <c r="I6" s="472">
        <v>0.5161290322580645</v>
      </c>
      <c r="J6" s="479">
        <v>2546.1899999999996</v>
      </c>
      <c r="K6" s="471">
        <v>0.26169712206036672</v>
      </c>
      <c r="L6" s="447">
        <v>15</v>
      </c>
      <c r="M6" s="472">
        <v>0.4838709677419355</v>
      </c>
    </row>
    <row r="7" spans="1:13" ht="14.4" customHeight="1" x14ac:dyDescent="0.3">
      <c r="A7" s="457" t="s">
        <v>565</v>
      </c>
      <c r="B7" s="462">
        <v>15587.61</v>
      </c>
      <c r="C7" s="444">
        <v>1</v>
      </c>
      <c r="D7" s="465">
        <v>41</v>
      </c>
      <c r="E7" s="476" t="s">
        <v>565</v>
      </c>
      <c r="F7" s="462">
        <v>10480.530000000001</v>
      </c>
      <c r="G7" s="471">
        <v>0.67236285742329971</v>
      </c>
      <c r="H7" s="447">
        <v>19</v>
      </c>
      <c r="I7" s="472">
        <v>0.46341463414634149</v>
      </c>
      <c r="J7" s="479">
        <v>5107.08</v>
      </c>
      <c r="K7" s="471">
        <v>0.32763714257670035</v>
      </c>
      <c r="L7" s="447">
        <v>22</v>
      </c>
      <c r="M7" s="472">
        <v>0.53658536585365857</v>
      </c>
    </row>
    <row r="8" spans="1:13" ht="14.4" customHeight="1" x14ac:dyDescent="0.3">
      <c r="A8" s="457" t="s">
        <v>566</v>
      </c>
      <c r="B8" s="462">
        <v>9512.33</v>
      </c>
      <c r="C8" s="444">
        <v>1</v>
      </c>
      <c r="D8" s="465">
        <v>35</v>
      </c>
      <c r="E8" s="476" t="s">
        <v>566</v>
      </c>
      <c r="F8" s="462">
        <v>2758.28</v>
      </c>
      <c r="G8" s="471">
        <v>0.28996891403052671</v>
      </c>
      <c r="H8" s="447">
        <v>18</v>
      </c>
      <c r="I8" s="472">
        <v>0.51428571428571423</v>
      </c>
      <c r="J8" s="479">
        <v>6754.05</v>
      </c>
      <c r="K8" s="471">
        <v>0.71003108596947329</v>
      </c>
      <c r="L8" s="447">
        <v>17</v>
      </c>
      <c r="M8" s="472">
        <v>0.48571428571428571</v>
      </c>
    </row>
    <row r="9" spans="1:13" ht="14.4" customHeight="1" x14ac:dyDescent="0.3">
      <c r="A9" s="457" t="s">
        <v>567</v>
      </c>
      <c r="B9" s="462">
        <v>11628.960000000001</v>
      </c>
      <c r="C9" s="444">
        <v>1</v>
      </c>
      <c r="D9" s="465">
        <v>31</v>
      </c>
      <c r="E9" s="476" t="s">
        <v>567</v>
      </c>
      <c r="F9" s="462">
        <v>8171.27</v>
      </c>
      <c r="G9" s="471">
        <v>0.70266558660447709</v>
      </c>
      <c r="H9" s="447">
        <v>20</v>
      </c>
      <c r="I9" s="472">
        <v>0.64516129032258063</v>
      </c>
      <c r="J9" s="479">
        <v>3457.69</v>
      </c>
      <c r="K9" s="471">
        <v>0.29733441339552286</v>
      </c>
      <c r="L9" s="447">
        <v>11</v>
      </c>
      <c r="M9" s="472">
        <v>0.35483870967741937</v>
      </c>
    </row>
    <row r="10" spans="1:13" ht="14.4" customHeight="1" x14ac:dyDescent="0.3">
      <c r="A10" s="457" t="s">
        <v>568</v>
      </c>
      <c r="B10" s="462">
        <v>5154.82</v>
      </c>
      <c r="C10" s="444">
        <v>1</v>
      </c>
      <c r="D10" s="465">
        <v>27</v>
      </c>
      <c r="E10" s="476" t="s">
        <v>568</v>
      </c>
      <c r="F10" s="462">
        <v>2409.1600000000003</v>
      </c>
      <c r="G10" s="471">
        <v>0.46736064498857388</v>
      </c>
      <c r="H10" s="447">
        <v>12</v>
      </c>
      <c r="I10" s="472">
        <v>0.44444444444444442</v>
      </c>
      <c r="J10" s="479">
        <v>2745.66</v>
      </c>
      <c r="K10" s="471">
        <v>0.53263935501142623</v>
      </c>
      <c r="L10" s="447">
        <v>15</v>
      </c>
      <c r="M10" s="472">
        <v>0.55555555555555558</v>
      </c>
    </row>
    <row r="11" spans="1:13" ht="14.4" customHeight="1" x14ac:dyDescent="0.3">
      <c r="A11" s="457" t="s">
        <v>569</v>
      </c>
      <c r="B11" s="462">
        <v>24741.91</v>
      </c>
      <c r="C11" s="444">
        <v>1</v>
      </c>
      <c r="D11" s="465">
        <v>43</v>
      </c>
      <c r="E11" s="476" t="s">
        <v>569</v>
      </c>
      <c r="F11" s="462">
        <v>14624.699999999999</v>
      </c>
      <c r="G11" s="471">
        <v>0.59109017856745893</v>
      </c>
      <c r="H11" s="447">
        <v>25</v>
      </c>
      <c r="I11" s="472">
        <v>0.58139534883720934</v>
      </c>
      <c r="J11" s="479">
        <v>10117.210000000001</v>
      </c>
      <c r="K11" s="471">
        <v>0.40890982143254101</v>
      </c>
      <c r="L11" s="447">
        <v>18</v>
      </c>
      <c r="M11" s="472">
        <v>0.41860465116279072</v>
      </c>
    </row>
    <row r="12" spans="1:13" ht="14.4" customHeight="1" thickBot="1" x14ac:dyDescent="0.35">
      <c r="A12" s="458" t="s">
        <v>570</v>
      </c>
      <c r="B12" s="463">
        <v>18249.97</v>
      </c>
      <c r="C12" s="450">
        <v>1</v>
      </c>
      <c r="D12" s="466">
        <v>59</v>
      </c>
      <c r="E12" s="477" t="s">
        <v>570</v>
      </c>
      <c r="F12" s="463">
        <v>13623.890000000001</v>
      </c>
      <c r="G12" s="473">
        <v>0.74651574769711948</v>
      </c>
      <c r="H12" s="453">
        <v>38</v>
      </c>
      <c r="I12" s="474">
        <v>0.64406779661016944</v>
      </c>
      <c r="J12" s="480">
        <v>4626.08</v>
      </c>
      <c r="K12" s="473">
        <v>0.25348425230288046</v>
      </c>
      <c r="L12" s="453">
        <v>21</v>
      </c>
      <c r="M12" s="474">
        <v>0.3559322033898305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1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76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6" hidden="1" customWidth="1" outlineLevel="1"/>
    <col min="2" max="2" width="28.33203125" style="136" hidden="1" customWidth="1" outlineLevel="1"/>
    <col min="3" max="3" width="9" style="136" customWidth="1" collapsed="1"/>
    <col min="4" max="4" width="18.77734375" style="226" customWidth="1"/>
    <col min="5" max="5" width="13.5546875" style="216" customWidth="1"/>
    <col min="6" max="6" width="6" style="136" bestFit="1" customWidth="1"/>
    <col min="7" max="7" width="8.77734375" style="136" customWidth="1"/>
    <col min="8" max="8" width="5" style="136" bestFit="1" customWidth="1"/>
    <col min="9" max="9" width="8.5546875" style="136" hidden="1" customWidth="1" outlineLevel="1"/>
    <col min="10" max="10" width="25.77734375" style="136" customWidth="1" collapsed="1"/>
    <col min="11" max="11" width="8.77734375" style="136" customWidth="1"/>
    <col min="12" max="12" width="7.77734375" style="217" customWidth="1"/>
    <col min="13" max="13" width="11.109375" style="217" customWidth="1"/>
    <col min="14" max="14" width="7.77734375" style="136" customWidth="1"/>
    <col min="15" max="15" width="7.77734375" style="227" customWidth="1"/>
    <col min="16" max="16" width="11.109375" style="217" customWidth="1"/>
    <col min="17" max="17" width="5.44140625" style="218" bestFit="1" customWidth="1"/>
    <col min="18" max="18" width="7.77734375" style="136" customWidth="1"/>
    <col min="19" max="19" width="5.44140625" style="218" bestFit="1" customWidth="1"/>
    <col min="20" max="20" width="7.77734375" style="227" customWidth="1"/>
    <col min="21" max="21" width="5.44140625" style="218" bestFit="1" customWidth="1"/>
    <col min="22" max="16384" width="8.88671875" style="136"/>
  </cols>
  <sheetData>
    <row r="1" spans="1:21" ht="18.600000000000001" customHeight="1" thickBot="1" x14ac:dyDescent="0.4">
      <c r="A1" s="342" t="s">
        <v>898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4.4" customHeight="1" thickBot="1" x14ac:dyDescent="0.35">
      <c r="A2" s="243" t="s">
        <v>249</v>
      </c>
      <c r="B2" s="224"/>
      <c r="C2" s="214"/>
      <c r="D2" s="214"/>
      <c r="E2" s="225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</row>
    <row r="3" spans="1:21" ht="14.4" customHeight="1" thickBot="1" x14ac:dyDescent="0.35">
      <c r="A3" s="367"/>
      <c r="B3" s="368"/>
      <c r="C3" s="368"/>
      <c r="D3" s="368"/>
      <c r="E3" s="368"/>
      <c r="F3" s="368"/>
      <c r="G3" s="368"/>
      <c r="H3" s="368"/>
      <c r="I3" s="368"/>
      <c r="J3" s="368"/>
      <c r="K3" s="369" t="s">
        <v>136</v>
      </c>
      <c r="L3" s="370"/>
      <c r="M3" s="66">
        <f>SUBTOTAL(9,M7:M1048576)</f>
        <v>106686.96</v>
      </c>
      <c r="N3" s="66">
        <f>SUBTOTAL(9,N7:N1048576)</f>
        <v>446</v>
      </c>
      <c r="O3" s="66">
        <f>SUBTOTAL(9,O7:O1048576)</f>
        <v>303</v>
      </c>
      <c r="P3" s="66">
        <f>SUBTOTAL(9,P7:P1048576)</f>
        <v>66515.070000000022</v>
      </c>
      <c r="Q3" s="67">
        <f>IF(M3=0,0,P3/M3)</f>
        <v>0.62346016795304715</v>
      </c>
      <c r="R3" s="66">
        <f>SUBTOTAL(9,R7:R1048576)</f>
        <v>254</v>
      </c>
      <c r="S3" s="67">
        <f>IF(N3=0,0,R3/N3)</f>
        <v>0.56950672645739908</v>
      </c>
      <c r="T3" s="66">
        <f>SUBTOTAL(9,T7:T1048576)</f>
        <v>171</v>
      </c>
      <c r="U3" s="68">
        <f>IF(O3=0,0,T3/O3)</f>
        <v>0.5643564356435643</v>
      </c>
    </row>
    <row r="4" spans="1:21" ht="14.4" customHeight="1" x14ac:dyDescent="0.3">
      <c r="A4" s="69"/>
      <c r="B4" s="70"/>
      <c r="C4" s="70"/>
      <c r="D4" s="71"/>
      <c r="E4" s="150"/>
      <c r="F4" s="70"/>
      <c r="G4" s="70"/>
      <c r="H4" s="70"/>
      <c r="I4" s="70"/>
      <c r="J4" s="70"/>
      <c r="K4" s="70"/>
      <c r="L4" s="70"/>
      <c r="M4" s="371" t="s">
        <v>18</v>
      </c>
      <c r="N4" s="372"/>
      <c r="O4" s="372"/>
      <c r="P4" s="373" t="s">
        <v>24</v>
      </c>
      <c r="Q4" s="372"/>
      <c r="R4" s="372"/>
      <c r="S4" s="372"/>
      <c r="T4" s="372"/>
      <c r="U4" s="374"/>
    </row>
    <row r="5" spans="1:21" ht="14.4" customHeight="1" thickBot="1" x14ac:dyDescent="0.35">
      <c r="A5" s="72"/>
      <c r="B5" s="73"/>
      <c r="C5" s="70"/>
      <c r="D5" s="71"/>
      <c r="E5" s="150"/>
      <c r="F5" s="70"/>
      <c r="G5" s="70"/>
      <c r="H5" s="70"/>
      <c r="I5" s="70"/>
      <c r="J5" s="70"/>
      <c r="K5" s="70"/>
      <c r="L5" s="70"/>
      <c r="M5" s="85" t="s">
        <v>25</v>
      </c>
      <c r="N5" s="86" t="s">
        <v>16</v>
      </c>
      <c r="O5" s="86" t="s">
        <v>23</v>
      </c>
      <c r="P5" s="364" t="s">
        <v>25</v>
      </c>
      <c r="Q5" s="365"/>
      <c r="R5" s="364" t="s">
        <v>16</v>
      </c>
      <c r="S5" s="365"/>
      <c r="T5" s="364" t="s">
        <v>23</v>
      </c>
      <c r="U5" s="366"/>
    </row>
    <row r="6" spans="1:21" s="216" customFormat="1" ht="14.4" customHeight="1" thickBot="1" x14ac:dyDescent="0.35">
      <c r="A6" s="481" t="s">
        <v>26</v>
      </c>
      <c r="B6" s="482" t="s">
        <v>8</v>
      </c>
      <c r="C6" s="481" t="s">
        <v>27</v>
      </c>
      <c r="D6" s="482" t="s">
        <v>9</v>
      </c>
      <c r="E6" s="482" t="s">
        <v>157</v>
      </c>
      <c r="F6" s="482" t="s">
        <v>28</v>
      </c>
      <c r="G6" s="482" t="s">
        <v>29</v>
      </c>
      <c r="H6" s="482" t="s">
        <v>11</v>
      </c>
      <c r="I6" s="482" t="s">
        <v>13</v>
      </c>
      <c r="J6" s="482" t="s">
        <v>14</v>
      </c>
      <c r="K6" s="482" t="s">
        <v>15</v>
      </c>
      <c r="L6" s="482" t="s">
        <v>30</v>
      </c>
      <c r="M6" s="483" t="s">
        <v>17</v>
      </c>
      <c r="N6" s="484" t="s">
        <v>31</v>
      </c>
      <c r="O6" s="484" t="s">
        <v>31</v>
      </c>
      <c r="P6" s="484" t="s">
        <v>17</v>
      </c>
      <c r="Q6" s="484" t="s">
        <v>5</v>
      </c>
      <c r="R6" s="484" t="s">
        <v>31</v>
      </c>
      <c r="S6" s="484" t="s">
        <v>5</v>
      </c>
      <c r="T6" s="484" t="s">
        <v>31</v>
      </c>
      <c r="U6" s="485" t="s">
        <v>5</v>
      </c>
    </row>
    <row r="7" spans="1:21" ht="14.4" customHeight="1" x14ac:dyDescent="0.3">
      <c r="A7" s="486">
        <v>29</v>
      </c>
      <c r="B7" s="487" t="s">
        <v>439</v>
      </c>
      <c r="C7" s="487">
        <v>89301292</v>
      </c>
      <c r="D7" s="488" t="s">
        <v>896</v>
      </c>
      <c r="E7" s="489" t="s">
        <v>563</v>
      </c>
      <c r="F7" s="487" t="s">
        <v>558</v>
      </c>
      <c r="G7" s="487" t="s">
        <v>571</v>
      </c>
      <c r="H7" s="487" t="s">
        <v>897</v>
      </c>
      <c r="I7" s="487" t="s">
        <v>572</v>
      </c>
      <c r="J7" s="487" t="s">
        <v>573</v>
      </c>
      <c r="K7" s="487" t="s">
        <v>574</v>
      </c>
      <c r="L7" s="490">
        <v>333.31</v>
      </c>
      <c r="M7" s="490">
        <v>333.31</v>
      </c>
      <c r="N7" s="487">
        <v>1</v>
      </c>
      <c r="O7" s="491">
        <v>1</v>
      </c>
      <c r="P7" s="490">
        <v>333.31</v>
      </c>
      <c r="Q7" s="492">
        <v>1</v>
      </c>
      <c r="R7" s="487">
        <v>1</v>
      </c>
      <c r="S7" s="492">
        <v>1</v>
      </c>
      <c r="T7" s="491">
        <v>1</v>
      </c>
      <c r="U7" s="128">
        <v>1</v>
      </c>
    </row>
    <row r="8" spans="1:21" ht="14.4" customHeight="1" x14ac:dyDescent="0.3">
      <c r="A8" s="443">
        <v>29</v>
      </c>
      <c r="B8" s="444" t="s">
        <v>439</v>
      </c>
      <c r="C8" s="444">
        <v>89301292</v>
      </c>
      <c r="D8" s="493" t="s">
        <v>896</v>
      </c>
      <c r="E8" s="494" t="s">
        <v>563</v>
      </c>
      <c r="F8" s="444" t="s">
        <v>558</v>
      </c>
      <c r="G8" s="444" t="s">
        <v>575</v>
      </c>
      <c r="H8" s="444" t="s">
        <v>438</v>
      </c>
      <c r="I8" s="444" t="s">
        <v>576</v>
      </c>
      <c r="J8" s="444" t="s">
        <v>577</v>
      </c>
      <c r="K8" s="444" t="s">
        <v>578</v>
      </c>
      <c r="L8" s="445">
        <v>0</v>
      </c>
      <c r="M8" s="445">
        <v>0</v>
      </c>
      <c r="N8" s="444">
        <v>1</v>
      </c>
      <c r="O8" s="495">
        <v>1</v>
      </c>
      <c r="P8" s="445"/>
      <c r="Q8" s="471"/>
      <c r="R8" s="444"/>
      <c r="S8" s="471">
        <v>0</v>
      </c>
      <c r="T8" s="495"/>
      <c r="U8" s="472">
        <v>0</v>
      </c>
    </row>
    <row r="9" spans="1:21" ht="14.4" customHeight="1" x14ac:dyDescent="0.3">
      <c r="A9" s="443">
        <v>29</v>
      </c>
      <c r="B9" s="444" t="s">
        <v>439</v>
      </c>
      <c r="C9" s="444">
        <v>89301292</v>
      </c>
      <c r="D9" s="493" t="s">
        <v>896</v>
      </c>
      <c r="E9" s="494" t="s">
        <v>563</v>
      </c>
      <c r="F9" s="444" t="s">
        <v>558</v>
      </c>
      <c r="G9" s="444" t="s">
        <v>579</v>
      </c>
      <c r="H9" s="444" t="s">
        <v>897</v>
      </c>
      <c r="I9" s="444" t="s">
        <v>580</v>
      </c>
      <c r="J9" s="444" t="s">
        <v>581</v>
      </c>
      <c r="K9" s="444" t="s">
        <v>582</v>
      </c>
      <c r="L9" s="445">
        <v>184.22</v>
      </c>
      <c r="M9" s="445">
        <v>184.22</v>
      </c>
      <c r="N9" s="444">
        <v>1</v>
      </c>
      <c r="O9" s="495">
        <v>0.5</v>
      </c>
      <c r="P9" s="445">
        <v>184.22</v>
      </c>
      <c r="Q9" s="471">
        <v>1</v>
      </c>
      <c r="R9" s="444">
        <v>1</v>
      </c>
      <c r="S9" s="471">
        <v>1</v>
      </c>
      <c r="T9" s="495">
        <v>0.5</v>
      </c>
      <c r="U9" s="472">
        <v>1</v>
      </c>
    </row>
    <row r="10" spans="1:21" ht="14.4" customHeight="1" x14ac:dyDescent="0.3">
      <c r="A10" s="443">
        <v>29</v>
      </c>
      <c r="B10" s="444" t="s">
        <v>439</v>
      </c>
      <c r="C10" s="444">
        <v>89301292</v>
      </c>
      <c r="D10" s="493" t="s">
        <v>896</v>
      </c>
      <c r="E10" s="494" t="s">
        <v>563</v>
      </c>
      <c r="F10" s="444" t="s">
        <v>558</v>
      </c>
      <c r="G10" s="444" t="s">
        <v>583</v>
      </c>
      <c r="H10" s="444" t="s">
        <v>438</v>
      </c>
      <c r="I10" s="444" t="s">
        <v>498</v>
      </c>
      <c r="J10" s="444" t="s">
        <v>499</v>
      </c>
      <c r="K10" s="444" t="s">
        <v>584</v>
      </c>
      <c r="L10" s="445">
        <v>50.27</v>
      </c>
      <c r="M10" s="445">
        <v>251.35000000000002</v>
      </c>
      <c r="N10" s="444">
        <v>5</v>
      </c>
      <c r="O10" s="495">
        <v>4.5</v>
      </c>
      <c r="P10" s="445">
        <v>100.54</v>
      </c>
      <c r="Q10" s="471">
        <v>0.39999999999999997</v>
      </c>
      <c r="R10" s="444">
        <v>2</v>
      </c>
      <c r="S10" s="471">
        <v>0.4</v>
      </c>
      <c r="T10" s="495">
        <v>2</v>
      </c>
      <c r="U10" s="472">
        <v>0.44444444444444442</v>
      </c>
    </row>
    <row r="11" spans="1:21" ht="14.4" customHeight="1" x14ac:dyDescent="0.3">
      <c r="A11" s="443">
        <v>29</v>
      </c>
      <c r="B11" s="444" t="s">
        <v>439</v>
      </c>
      <c r="C11" s="444">
        <v>89301292</v>
      </c>
      <c r="D11" s="493" t="s">
        <v>896</v>
      </c>
      <c r="E11" s="494" t="s">
        <v>563</v>
      </c>
      <c r="F11" s="444" t="s">
        <v>558</v>
      </c>
      <c r="G11" s="444" t="s">
        <v>585</v>
      </c>
      <c r="H11" s="444" t="s">
        <v>438</v>
      </c>
      <c r="I11" s="444" t="s">
        <v>586</v>
      </c>
      <c r="J11" s="444" t="s">
        <v>587</v>
      </c>
      <c r="K11" s="444" t="s">
        <v>588</v>
      </c>
      <c r="L11" s="445">
        <v>0</v>
      </c>
      <c r="M11" s="445">
        <v>0</v>
      </c>
      <c r="N11" s="444">
        <v>2</v>
      </c>
      <c r="O11" s="495">
        <v>1.5</v>
      </c>
      <c r="P11" s="445">
        <v>0</v>
      </c>
      <c r="Q11" s="471"/>
      <c r="R11" s="444">
        <v>1</v>
      </c>
      <c r="S11" s="471">
        <v>0.5</v>
      </c>
      <c r="T11" s="495">
        <v>0.5</v>
      </c>
      <c r="U11" s="472">
        <v>0.33333333333333331</v>
      </c>
    </row>
    <row r="12" spans="1:21" ht="14.4" customHeight="1" x14ac:dyDescent="0.3">
      <c r="A12" s="443">
        <v>29</v>
      </c>
      <c r="B12" s="444" t="s">
        <v>439</v>
      </c>
      <c r="C12" s="444">
        <v>89301292</v>
      </c>
      <c r="D12" s="493" t="s">
        <v>896</v>
      </c>
      <c r="E12" s="494" t="s">
        <v>563</v>
      </c>
      <c r="F12" s="444" t="s">
        <v>558</v>
      </c>
      <c r="G12" s="444" t="s">
        <v>589</v>
      </c>
      <c r="H12" s="444" t="s">
        <v>438</v>
      </c>
      <c r="I12" s="444" t="s">
        <v>590</v>
      </c>
      <c r="J12" s="444" t="s">
        <v>591</v>
      </c>
      <c r="K12" s="444" t="s">
        <v>592</v>
      </c>
      <c r="L12" s="445">
        <v>72.05</v>
      </c>
      <c r="M12" s="445">
        <v>144.1</v>
      </c>
      <c r="N12" s="444">
        <v>2</v>
      </c>
      <c r="O12" s="495">
        <v>1</v>
      </c>
      <c r="P12" s="445">
        <v>144.1</v>
      </c>
      <c r="Q12" s="471">
        <v>1</v>
      </c>
      <c r="R12" s="444">
        <v>2</v>
      </c>
      <c r="S12" s="471">
        <v>1</v>
      </c>
      <c r="T12" s="495">
        <v>1</v>
      </c>
      <c r="U12" s="472">
        <v>1</v>
      </c>
    </row>
    <row r="13" spans="1:21" ht="14.4" customHeight="1" x14ac:dyDescent="0.3">
      <c r="A13" s="443">
        <v>29</v>
      </c>
      <c r="B13" s="444" t="s">
        <v>439</v>
      </c>
      <c r="C13" s="444">
        <v>89301292</v>
      </c>
      <c r="D13" s="493" t="s">
        <v>896</v>
      </c>
      <c r="E13" s="494" t="s">
        <v>563</v>
      </c>
      <c r="F13" s="444" t="s">
        <v>558</v>
      </c>
      <c r="G13" s="444" t="s">
        <v>593</v>
      </c>
      <c r="H13" s="444" t="s">
        <v>438</v>
      </c>
      <c r="I13" s="444" t="s">
        <v>502</v>
      </c>
      <c r="J13" s="444" t="s">
        <v>503</v>
      </c>
      <c r="K13" s="444" t="s">
        <v>594</v>
      </c>
      <c r="L13" s="445">
        <v>38.65</v>
      </c>
      <c r="M13" s="445">
        <v>38.65</v>
      </c>
      <c r="N13" s="444">
        <v>1</v>
      </c>
      <c r="O13" s="495">
        <v>1</v>
      </c>
      <c r="P13" s="445">
        <v>38.65</v>
      </c>
      <c r="Q13" s="471">
        <v>1</v>
      </c>
      <c r="R13" s="444">
        <v>1</v>
      </c>
      <c r="S13" s="471">
        <v>1</v>
      </c>
      <c r="T13" s="495">
        <v>1</v>
      </c>
      <c r="U13" s="472">
        <v>1</v>
      </c>
    </row>
    <row r="14" spans="1:21" ht="14.4" customHeight="1" x14ac:dyDescent="0.3">
      <c r="A14" s="443">
        <v>29</v>
      </c>
      <c r="B14" s="444" t="s">
        <v>439</v>
      </c>
      <c r="C14" s="444">
        <v>89301292</v>
      </c>
      <c r="D14" s="493" t="s">
        <v>896</v>
      </c>
      <c r="E14" s="494" t="s">
        <v>563</v>
      </c>
      <c r="F14" s="444" t="s">
        <v>558</v>
      </c>
      <c r="G14" s="444" t="s">
        <v>595</v>
      </c>
      <c r="H14" s="444" t="s">
        <v>897</v>
      </c>
      <c r="I14" s="444" t="s">
        <v>596</v>
      </c>
      <c r="J14" s="444" t="s">
        <v>597</v>
      </c>
      <c r="K14" s="444" t="s">
        <v>598</v>
      </c>
      <c r="L14" s="445">
        <v>137.74</v>
      </c>
      <c r="M14" s="445">
        <v>137.74</v>
      </c>
      <c r="N14" s="444">
        <v>1</v>
      </c>
      <c r="O14" s="495">
        <v>1</v>
      </c>
      <c r="P14" s="445">
        <v>137.74</v>
      </c>
      <c r="Q14" s="471">
        <v>1</v>
      </c>
      <c r="R14" s="444">
        <v>1</v>
      </c>
      <c r="S14" s="471">
        <v>1</v>
      </c>
      <c r="T14" s="495">
        <v>1</v>
      </c>
      <c r="U14" s="472">
        <v>1</v>
      </c>
    </row>
    <row r="15" spans="1:21" ht="14.4" customHeight="1" x14ac:dyDescent="0.3">
      <c r="A15" s="443">
        <v>29</v>
      </c>
      <c r="B15" s="444" t="s">
        <v>439</v>
      </c>
      <c r="C15" s="444">
        <v>89301292</v>
      </c>
      <c r="D15" s="493" t="s">
        <v>896</v>
      </c>
      <c r="E15" s="494" t="s">
        <v>563</v>
      </c>
      <c r="F15" s="444" t="s">
        <v>558</v>
      </c>
      <c r="G15" s="444" t="s">
        <v>599</v>
      </c>
      <c r="H15" s="444" t="s">
        <v>438</v>
      </c>
      <c r="I15" s="444" t="s">
        <v>506</v>
      </c>
      <c r="J15" s="444" t="s">
        <v>507</v>
      </c>
      <c r="K15" s="444" t="s">
        <v>508</v>
      </c>
      <c r="L15" s="445">
        <v>120.37</v>
      </c>
      <c r="M15" s="445">
        <v>120.37</v>
      </c>
      <c r="N15" s="444">
        <v>1</v>
      </c>
      <c r="O15" s="495">
        <v>1</v>
      </c>
      <c r="P15" s="445"/>
      <c r="Q15" s="471">
        <v>0</v>
      </c>
      <c r="R15" s="444"/>
      <c r="S15" s="471">
        <v>0</v>
      </c>
      <c r="T15" s="495"/>
      <c r="U15" s="472">
        <v>0</v>
      </c>
    </row>
    <row r="16" spans="1:21" ht="14.4" customHeight="1" x14ac:dyDescent="0.3">
      <c r="A16" s="443">
        <v>29</v>
      </c>
      <c r="B16" s="444" t="s">
        <v>439</v>
      </c>
      <c r="C16" s="444">
        <v>89301292</v>
      </c>
      <c r="D16" s="493" t="s">
        <v>896</v>
      </c>
      <c r="E16" s="494" t="s">
        <v>563</v>
      </c>
      <c r="F16" s="444" t="s">
        <v>558</v>
      </c>
      <c r="G16" s="444" t="s">
        <v>600</v>
      </c>
      <c r="H16" s="444" t="s">
        <v>897</v>
      </c>
      <c r="I16" s="444" t="s">
        <v>601</v>
      </c>
      <c r="J16" s="444" t="s">
        <v>602</v>
      </c>
      <c r="K16" s="444" t="s">
        <v>603</v>
      </c>
      <c r="L16" s="445">
        <v>468.96</v>
      </c>
      <c r="M16" s="445">
        <v>468.96</v>
      </c>
      <c r="N16" s="444">
        <v>1</v>
      </c>
      <c r="O16" s="495">
        <v>1</v>
      </c>
      <c r="P16" s="445"/>
      <c r="Q16" s="471">
        <v>0</v>
      </c>
      <c r="R16" s="444"/>
      <c r="S16" s="471">
        <v>0</v>
      </c>
      <c r="T16" s="495"/>
      <c r="U16" s="472">
        <v>0</v>
      </c>
    </row>
    <row r="17" spans="1:21" ht="14.4" customHeight="1" x14ac:dyDescent="0.3">
      <c r="A17" s="443">
        <v>29</v>
      </c>
      <c r="B17" s="444" t="s">
        <v>439</v>
      </c>
      <c r="C17" s="444">
        <v>89301292</v>
      </c>
      <c r="D17" s="493" t="s">
        <v>896</v>
      </c>
      <c r="E17" s="494" t="s">
        <v>563</v>
      </c>
      <c r="F17" s="444" t="s">
        <v>558</v>
      </c>
      <c r="G17" s="444" t="s">
        <v>600</v>
      </c>
      <c r="H17" s="444" t="s">
        <v>897</v>
      </c>
      <c r="I17" s="444" t="s">
        <v>604</v>
      </c>
      <c r="J17" s="444" t="s">
        <v>602</v>
      </c>
      <c r="K17" s="444" t="s">
        <v>605</v>
      </c>
      <c r="L17" s="445">
        <v>625.29</v>
      </c>
      <c r="M17" s="445">
        <v>1875.87</v>
      </c>
      <c r="N17" s="444">
        <v>3</v>
      </c>
      <c r="O17" s="495">
        <v>3</v>
      </c>
      <c r="P17" s="445">
        <v>1875.87</v>
      </c>
      <c r="Q17" s="471">
        <v>1</v>
      </c>
      <c r="R17" s="444">
        <v>3</v>
      </c>
      <c r="S17" s="471">
        <v>1</v>
      </c>
      <c r="T17" s="495">
        <v>3</v>
      </c>
      <c r="U17" s="472">
        <v>1</v>
      </c>
    </row>
    <row r="18" spans="1:21" ht="14.4" customHeight="1" x14ac:dyDescent="0.3">
      <c r="A18" s="443">
        <v>29</v>
      </c>
      <c r="B18" s="444" t="s">
        <v>439</v>
      </c>
      <c r="C18" s="444">
        <v>89301292</v>
      </c>
      <c r="D18" s="493" t="s">
        <v>896</v>
      </c>
      <c r="E18" s="494" t="s">
        <v>563</v>
      </c>
      <c r="F18" s="444" t="s">
        <v>558</v>
      </c>
      <c r="G18" s="444" t="s">
        <v>600</v>
      </c>
      <c r="H18" s="444" t="s">
        <v>897</v>
      </c>
      <c r="I18" s="444" t="s">
        <v>606</v>
      </c>
      <c r="J18" s="444" t="s">
        <v>602</v>
      </c>
      <c r="K18" s="444" t="s">
        <v>607</v>
      </c>
      <c r="L18" s="445">
        <v>1166.47</v>
      </c>
      <c r="M18" s="445">
        <v>1166.47</v>
      </c>
      <c r="N18" s="444">
        <v>1</v>
      </c>
      <c r="O18" s="495">
        <v>1</v>
      </c>
      <c r="P18" s="445"/>
      <c r="Q18" s="471">
        <v>0</v>
      </c>
      <c r="R18" s="444"/>
      <c r="S18" s="471">
        <v>0</v>
      </c>
      <c r="T18" s="495"/>
      <c r="U18" s="472">
        <v>0</v>
      </c>
    </row>
    <row r="19" spans="1:21" ht="14.4" customHeight="1" x14ac:dyDescent="0.3">
      <c r="A19" s="443">
        <v>29</v>
      </c>
      <c r="B19" s="444" t="s">
        <v>439</v>
      </c>
      <c r="C19" s="444">
        <v>89301292</v>
      </c>
      <c r="D19" s="493" t="s">
        <v>896</v>
      </c>
      <c r="E19" s="494" t="s">
        <v>563</v>
      </c>
      <c r="F19" s="444" t="s">
        <v>558</v>
      </c>
      <c r="G19" s="444" t="s">
        <v>608</v>
      </c>
      <c r="H19" s="444" t="s">
        <v>438</v>
      </c>
      <c r="I19" s="444" t="s">
        <v>609</v>
      </c>
      <c r="J19" s="444" t="s">
        <v>610</v>
      </c>
      <c r="K19" s="444" t="s">
        <v>611</v>
      </c>
      <c r="L19" s="445">
        <v>0</v>
      </c>
      <c r="M19" s="445">
        <v>0</v>
      </c>
      <c r="N19" s="444">
        <v>1</v>
      </c>
      <c r="O19" s="495">
        <v>0.5</v>
      </c>
      <c r="P19" s="445"/>
      <c r="Q19" s="471"/>
      <c r="R19" s="444"/>
      <c r="S19" s="471">
        <v>0</v>
      </c>
      <c r="T19" s="495"/>
      <c r="U19" s="472">
        <v>0</v>
      </c>
    </row>
    <row r="20" spans="1:21" ht="14.4" customHeight="1" x14ac:dyDescent="0.3">
      <c r="A20" s="443">
        <v>29</v>
      </c>
      <c r="B20" s="444" t="s">
        <v>439</v>
      </c>
      <c r="C20" s="444">
        <v>89301292</v>
      </c>
      <c r="D20" s="493" t="s">
        <v>896</v>
      </c>
      <c r="E20" s="494" t="s">
        <v>563</v>
      </c>
      <c r="F20" s="444" t="s">
        <v>558</v>
      </c>
      <c r="G20" s="444" t="s">
        <v>612</v>
      </c>
      <c r="H20" s="444" t="s">
        <v>438</v>
      </c>
      <c r="I20" s="444" t="s">
        <v>613</v>
      </c>
      <c r="J20" s="444" t="s">
        <v>614</v>
      </c>
      <c r="K20" s="444" t="s">
        <v>615</v>
      </c>
      <c r="L20" s="445">
        <v>0</v>
      </c>
      <c r="M20" s="445">
        <v>0</v>
      </c>
      <c r="N20" s="444">
        <v>1</v>
      </c>
      <c r="O20" s="495">
        <v>0.5</v>
      </c>
      <c r="P20" s="445">
        <v>0</v>
      </c>
      <c r="Q20" s="471"/>
      <c r="R20" s="444">
        <v>1</v>
      </c>
      <c r="S20" s="471">
        <v>1</v>
      </c>
      <c r="T20" s="495">
        <v>0.5</v>
      </c>
      <c r="U20" s="472">
        <v>1</v>
      </c>
    </row>
    <row r="21" spans="1:21" ht="14.4" customHeight="1" x14ac:dyDescent="0.3">
      <c r="A21" s="443">
        <v>29</v>
      </c>
      <c r="B21" s="444" t="s">
        <v>439</v>
      </c>
      <c r="C21" s="444">
        <v>89301292</v>
      </c>
      <c r="D21" s="493" t="s">
        <v>896</v>
      </c>
      <c r="E21" s="494" t="s">
        <v>563</v>
      </c>
      <c r="F21" s="444" t="s">
        <v>558</v>
      </c>
      <c r="G21" s="444" t="s">
        <v>616</v>
      </c>
      <c r="H21" s="444" t="s">
        <v>438</v>
      </c>
      <c r="I21" s="444" t="s">
        <v>617</v>
      </c>
      <c r="J21" s="444" t="s">
        <v>618</v>
      </c>
      <c r="K21" s="444" t="s">
        <v>619</v>
      </c>
      <c r="L21" s="445">
        <v>0</v>
      </c>
      <c r="M21" s="445">
        <v>0</v>
      </c>
      <c r="N21" s="444">
        <v>2</v>
      </c>
      <c r="O21" s="495">
        <v>1.5</v>
      </c>
      <c r="P21" s="445">
        <v>0</v>
      </c>
      <c r="Q21" s="471"/>
      <c r="R21" s="444">
        <v>2</v>
      </c>
      <c r="S21" s="471">
        <v>1</v>
      </c>
      <c r="T21" s="495">
        <v>1.5</v>
      </c>
      <c r="U21" s="472">
        <v>1</v>
      </c>
    </row>
    <row r="22" spans="1:21" ht="14.4" customHeight="1" x14ac:dyDescent="0.3">
      <c r="A22" s="443">
        <v>29</v>
      </c>
      <c r="B22" s="444" t="s">
        <v>439</v>
      </c>
      <c r="C22" s="444">
        <v>89301292</v>
      </c>
      <c r="D22" s="493" t="s">
        <v>896</v>
      </c>
      <c r="E22" s="494" t="s">
        <v>563</v>
      </c>
      <c r="F22" s="444" t="s">
        <v>558</v>
      </c>
      <c r="G22" s="444" t="s">
        <v>620</v>
      </c>
      <c r="H22" s="444" t="s">
        <v>438</v>
      </c>
      <c r="I22" s="444" t="s">
        <v>510</v>
      </c>
      <c r="J22" s="444" t="s">
        <v>511</v>
      </c>
      <c r="K22" s="444" t="s">
        <v>621</v>
      </c>
      <c r="L22" s="445">
        <v>314.69</v>
      </c>
      <c r="M22" s="445">
        <v>629.38</v>
      </c>
      <c r="N22" s="444">
        <v>2</v>
      </c>
      <c r="O22" s="495">
        <v>2</v>
      </c>
      <c r="P22" s="445">
        <v>314.69</v>
      </c>
      <c r="Q22" s="471">
        <v>0.5</v>
      </c>
      <c r="R22" s="444">
        <v>1</v>
      </c>
      <c r="S22" s="471">
        <v>0.5</v>
      </c>
      <c r="T22" s="495">
        <v>1</v>
      </c>
      <c r="U22" s="472">
        <v>0.5</v>
      </c>
    </row>
    <row r="23" spans="1:21" ht="14.4" customHeight="1" x14ac:dyDescent="0.3">
      <c r="A23" s="443">
        <v>29</v>
      </c>
      <c r="B23" s="444" t="s">
        <v>439</v>
      </c>
      <c r="C23" s="444">
        <v>89301292</v>
      </c>
      <c r="D23" s="493" t="s">
        <v>896</v>
      </c>
      <c r="E23" s="494" t="s">
        <v>563</v>
      </c>
      <c r="F23" s="444" t="s">
        <v>558</v>
      </c>
      <c r="G23" s="444" t="s">
        <v>622</v>
      </c>
      <c r="H23" s="444" t="s">
        <v>438</v>
      </c>
      <c r="I23" s="444" t="s">
        <v>623</v>
      </c>
      <c r="J23" s="444" t="s">
        <v>624</v>
      </c>
      <c r="K23" s="444" t="s">
        <v>625</v>
      </c>
      <c r="L23" s="445">
        <v>0</v>
      </c>
      <c r="M23" s="445">
        <v>0</v>
      </c>
      <c r="N23" s="444">
        <v>1</v>
      </c>
      <c r="O23" s="495">
        <v>0.5</v>
      </c>
      <c r="P23" s="445">
        <v>0</v>
      </c>
      <c r="Q23" s="471"/>
      <c r="R23" s="444">
        <v>1</v>
      </c>
      <c r="S23" s="471">
        <v>1</v>
      </c>
      <c r="T23" s="495">
        <v>0.5</v>
      </c>
      <c r="U23" s="472">
        <v>1</v>
      </c>
    </row>
    <row r="24" spans="1:21" ht="14.4" customHeight="1" x14ac:dyDescent="0.3">
      <c r="A24" s="443">
        <v>29</v>
      </c>
      <c r="B24" s="444" t="s">
        <v>439</v>
      </c>
      <c r="C24" s="444">
        <v>89301292</v>
      </c>
      <c r="D24" s="493" t="s">
        <v>896</v>
      </c>
      <c r="E24" s="494" t="s">
        <v>563</v>
      </c>
      <c r="F24" s="444" t="s">
        <v>558</v>
      </c>
      <c r="G24" s="444" t="s">
        <v>626</v>
      </c>
      <c r="H24" s="444" t="s">
        <v>438</v>
      </c>
      <c r="I24" s="444" t="s">
        <v>627</v>
      </c>
      <c r="J24" s="444" t="s">
        <v>628</v>
      </c>
      <c r="K24" s="444" t="s">
        <v>629</v>
      </c>
      <c r="L24" s="445">
        <v>0</v>
      </c>
      <c r="M24" s="445">
        <v>0</v>
      </c>
      <c r="N24" s="444">
        <v>1</v>
      </c>
      <c r="O24" s="495">
        <v>0.5</v>
      </c>
      <c r="P24" s="445">
        <v>0</v>
      </c>
      <c r="Q24" s="471"/>
      <c r="R24" s="444">
        <v>1</v>
      </c>
      <c r="S24" s="471">
        <v>1</v>
      </c>
      <c r="T24" s="495">
        <v>0.5</v>
      </c>
      <c r="U24" s="472">
        <v>1</v>
      </c>
    </row>
    <row r="25" spans="1:21" ht="14.4" customHeight="1" x14ac:dyDescent="0.3">
      <c r="A25" s="443">
        <v>29</v>
      </c>
      <c r="B25" s="444" t="s">
        <v>439</v>
      </c>
      <c r="C25" s="444">
        <v>89301292</v>
      </c>
      <c r="D25" s="493" t="s">
        <v>896</v>
      </c>
      <c r="E25" s="494" t="s">
        <v>563</v>
      </c>
      <c r="F25" s="444" t="s">
        <v>559</v>
      </c>
      <c r="G25" s="444" t="s">
        <v>630</v>
      </c>
      <c r="H25" s="444" t="s">
        <v>438</v>
      </c>
      <c r="I25" s="444" t="s">
        <v>631</v>
      </c>
      <c r="J25" s="444" t="s">
        <v>632</v>
      </c>
      <c r="K25" s="444" t="s">
        <v>633</v>
      </c>
      <c r="L25" s="445">
        <v>410</v>
      </c>
      <c r="M25" s="445">
        <v>1640</v>
      </c>
      <c r="N25" s="444">
        <v>4</v>
      </c>
      <c r="O25" s="495">
        <v>2</v>
      </c>
      <c r="P25" s="445">
        <v>1640</v>
      </c>
      <c r="Q25" s="471">
        <v>1</v>
      </c>
      <c r="R25" s="444">
        <v>4</v>
      </c>
      <c r="S25" s="471">
        <v>1</v>
      </c>
      <c r="T25" s="495">
        <v>2</v>
      </c>
      <c r="U25" s="472">
        <v>1</v>
      </c>
    </row>
    <row r="26" spans="1:21" ht="14.4" customHeight="1" x14ac:dyDescent="0.3">
      <c r="A26" s="443">
        <v>29</v>
      </c>
      <c r="B26" s="444" t="s">
        <v>439</v>
      </c>
      <c r="C26" s="444">
        <v>89301292</v>
      </c>
      <c r="D26" s="493" t="s">
        <v>896</v>
      </c>
      <c r="E26" s="494" t="s">
        <v>563</v>
      </c>
      <c r="F26" s="444" t="s">
        <v>559</v>
      </c>
      <c r="G26" s="444" t="s">
        <v>634</v>
      </c>
      <c r="H26" s="444" t="s">
        <v>438</v>
      </c>
      <c r="I26" s="444" t="s">
        <v>635</v>
      </c>
      <c r="J26" s="444" t="s">
        <v>636</v>
      </c>
      <c r="K26" s="444" t="s">
        <v>637</v>
      </c>
      <c r="L26" s="445">
        <v>133.69</v>
      </c>
      <c r="M26" s="445">
        <v>133.69</v>
      </c>
      <c r="N26" s="444">
        <v>1</v>
      </c>
      <c r="O26" s="495">
        <v>1</v>
      </c>
      <c r="P26" s="445"/>
      <c r="Q26" s="471">
        <v>0</v>
      </c>
      <c r="R26" s="444"/>
      <c r="S26" s="471">
        <v>0</v>
      </c>
      <c r="T26" s="495"/>
      <c r="U26" s="472">
        <v>0</v>
      </c>
    </row>
    <row r="27" spans="1:21" ht="14.4" customHeight="1" x14ac:dyDescent="0.3">
      <c r="A27" s="443">
        <v>29</v>
      </c>
      <c r="B27" s="444" t="s">
        <v>439</v>
      </c>
      <c r="C27" s="444">
        <v>89301292</v>
      </c>
      <c r="D27" s="493" t="s">
        <v>896</v>
      </c>
      <c r="E27" s="494" t="s">
        <v>563</v>
      </c>
      <c r="F27" s="444" t="s">
        <v>559</v>
      </c>
      <c r="G27" s="444" t="s">
        <v>634</v>
      </c>
      <c r="H27" s="444" t="s">
        <v>438</v>
      </c>
      <c r="I27" s="444" t="s">
        <v>638</v>
      </c>
      <c r="J27" s="444" t="s">
        <v>636</v>
      </c>
      <c r="K27" s="444" t="s">
        <v>639</v>
      </c>
      <c r="L27" s="445">
        <v>200</v>
      </c>
      <c r="M27" s="445">
        <v>1000</v>
      </c>
      <c r="N27" s="444">
        <v>5</v>
      </c>
      <c r="O27" s="495">
        <v>3</v>
      </c>
      <c r="P27" s="445">
        <v>600</v>
      </c>
      <c r="Q27" s="471">
        <v>0.6</v>
      </c>
      <c r="R27" s="444">
        <v>3</v>
      </c>
      <c r="S27" s="471">
        <v>0.6</v>
      </c>
      <c r="T27" s="495">
        <v>2</v>
      </c>
      <c r="U27" s="472">
        <v>0.66666666666666663</v>
      </c>
    </row>
    <row r="28" spans="1:21" ht="14.4" customHeight="1" x14ac:dyDescent="0.3">
      <c r="A28" s="443">
        <v>29</v>
      </c>
      <c r="B28" s="444" t="s">
        <v>439</v>
      </c>
      <c r="C28" s="444">
        <v>89301292</v>
      </c>
      <c r="D28" s="493" t="s">
        <v>896</v>
      </c>
      <c r="E28" s="494" t="s">
        <v>563</v>
      </c>
      <c r="F28" s="444" t="s">
        <v>559</v>
      </c>
      <c r="G28" s="444" t="s">
        <v>634</v>
      </c>
      <c r="H28" s="444" t="s">
        <v>438</v>
      </c>
      <c r="I28" s="444" t="s">
        <v>640</v>
      </c>
      <c r="J28" s="444" t="s">
        <v>641</v>
      </c>
      <c r="K28" s="444" t="s">
        <v>642</v>
      </c>
      <c r="L28" s="445">
        <v>841.47</v>
      </c>
      <c r="M28" s="445">
        <v>1682.94</v>
      </c>
      <c r="N28" s="444">
        <v>2</v>
      </c>
      <c r="O28" s="495">
        <v>1</v>
      </c>
      <c r="P28" s="445"/>
      <c r="Q28" s="471">
        <v>0</v>
      </c>
      <c r="R28" s="444"/>
      <c r="S28" s="471">
        <v>0</v>
      </c>
      <c r="T28" s="495"/>
      <c r="U28" s="472">
        <v>0</v>
      </c>
    </row>
    <row r="29" spans="1:21" ht="14.4" customHeight="1" x14ac:dyDescent="0.3">
      <c r="A29" s="443">
        <v>29</v>
      </c>
      <c r="B29" s="444" t="s">
        <v>439</v>
      </c>
      <c r="C29" s="444">
        <v>89301292</v>
      </c>
      <c r="D29" s="493" t="s">
        <v>896</v>
      </c>
      <c r="E29" s="494" t="s">
        <v>563</v>
      </c>
      <c r="F29" s="444" t="s">
        <v>559</v>
      </c>
      <c r="G29" s="444" t="s">
        <v>634</v>
      </c>
      <c r="H29" s="444" t="s">
        <v>438</v>
      </c>
      <c r="I29" s="444" t="s">
        <v>643</v>
      </c>
      <c r="J29" s="444" t="s">
        <v>644</v>
      </c>
      <c r="K29" s="444" t="s">
        <v>645</v>
      </c>
      <c r="L29" s="445">
        <v>6.3</v>
      </c>
      <c r="M29" s="445">
        <v>6.3</v>
      </c>
      <c r="N29" s="444">
        <v>1</v>
      </c>
      <c r="O29" s="495">
        <v>1</v>
      </c>
      <c r="P29" s="445">
        <v>6.3</v>
      </c>
      <c r="Q29" s="471">
        <v>1</v>
      </c>
      <c r="R29" s="444">
        <v>1</v>
      </c>
      <c r="S29" s="471">
        <v>1</v>
      </c>
      <c r="T29" s="495">
        <v>1</v>
      </c>
      <c r="U29" s="472">
        <v>1</v>
      </c>
    </row>
    <row r="30" spans="1:21" ht="14.4" customHeight="1" x14ac:dyDescent="0.3">
      <c r="A30" s="443">
        <v>29</v>
      </c>
      <c r="B30" s="444" t="s">
        <v>439</v>
      </c>
      <c r="C30" s="444">
        <v>89301292</v>
      </c>
      <c r="D30" s="493" t="s">
        <v>896</v>
      </c>
      <c r="E30" s="494" t="s">
        <v>563</v>
      </c>
      <c r="F30" s="444" t="s">
        <v>559</v>
      </c>
      <c r="G30" s="444" t="s">
        <v>646</v>
      </c>
      <c r="H30" s="444" t="s">
        <v>438</v>
      </c>
      <c r="I30" s="444" t="s">
        <v>647</v>
      </c>
      <c r="J30" s="444" t="s">
        <v>648</v>
      </c>
      <c r="K30" s="444" t="s">
        <v>649</v>
      </c>
      <c r="L30" s="445">
        <v>190</v>
      </c>
      <c r="M30" s="445">
        <v>1140</v>
      </c>
      <c r="N30" s="444">
        <v>6</v>
      </c>
      <c r="O30" s="495">
        <v>3</v>
      </c>
      <c r="P30" s="445">
        <v>760</v>
      </c>
      <c r="Q30" s="471">
        <v>0.66666666666666663</v>
      </c>
      <c r="R30" s="444">
        <v>4</v>
      </c>
      <c r="S30" s="471">
        <v>0.66666666666666663</v>
      </c>
      <c r="T30" s="495">
        <v>2</v>
      </c>
      <c r="U30" s="472">
        <v>0.66666666666666663</v>
      </c>
    </row>
    <row r="31" spans="1:21" ht="14.4" customHeight="1" x14ac:dyDescent="0.3">
      <c r="A31" s="443">
        <v>29</v>
      </c>
      <c r="B31" s="444" t="s">
        <v>439</v>
      </c>
      <c r="C31" s="444">
        <v>89301292</v>
      </c>
      <c r="D31" s="493" t="s">
        <v>896</v>
      </c>
      <c r="E31" s="494" t="s">
        <v>563</v>
      </c>
      <c r="F31" s="444" t="s">
        <v>559</v>
      </c>
      <c r="G31" s="444" t="s">
        <v>650</v>
      </c>
      <c r="H31" s="444" t="s">
        <v>438</v>
      </c>
      <c r="I31" s="444" t="s">
        <v>651</v>
      </c>
      <c r="J31" s="444" t="s">
        <v>652</v>
      </c>
      <c r="K31" s="444" t="s">
        <v>653</v>
      </c>
      <c r="L31" s="445">
        <v>750</v>
      </c>
      <c r="M31" s="445">
        <v>750</v>
      </c>
      <c r="N31" s="444">
        <v>1</v>
      </c>
      <c r="O31" s="495">
        <v>1</v>
      </c>
      <c r="P31" s="445">
        <v>750</v>
      </c>
      <c r="Q31" s="471">
        <v>1</v>
      </c>
      <c r="R31" s="444">
        <v>1</v>
      </c>
      <c r="S31" s="471">
        <v>1</v>
      </c>
      <c r="T31" s="495">
        <v>1</v>
      </c>
      <c r="U31" s="472">
        <v>1</v>
      </c>
    </row>
    <row r="32" spans="1:21" ht="14.4" customHeight="1" x14ac:dyDescent="0.3">
      <c r="A32" s="443">
        <v>29</v>
      </c>
      <c r="B32" s="444" t="s">
        <v>439</v>
      </c>
      <c r="C32" s="444">
        <v>89301292</v>
      </c>
      <c r="D32" s="493" t="s">
        <v>896</v>
      </c>
      <c r="E32" s="494" t="s">
        <v>563</v>
      </c>
      <c r="F32" s="444" t="s">
        <v>559</v>
      </c>
      <c r="G32" s="444" t="s">
        <v>650</v>
      </c>
      <c r="H32" s="444" t="s">
        <v>438</v>
      </c>
      <c r="I32" s="444" t="s">
        <v>654</v>
      </c>
      <c r="J32" s="444" t="s">
        <v>655</v>
      </c>
      <c r="K32" s="444" t="s">
        <v>656</v>
      </c>
      <c r="L32" s="445">
        <v>378.48</v>
      </c>
      <c r="M32" s="445">
        <v>378.48</v>
      </c>
      <c r="N32" s="444">
        <v>1</v>
      </c>
      <c r="O32" s="495">
        <v>1</v>
      </c>
      <c r="P32" s="445">
        <v>378.48</v>
      </c>
      <c r="Q32" s="471">
        <v>1</v>
      </c>
      <c r="R32" s="444">
        <v>1</v>
      </c>
      <c r="S32" s="471">
        <v>1</v>
      </c>
      <c r="T32" s="495">
        <v>1</v>
      </c>
      <c r="U32" s="472">
        <v>1</v>
      </c>
    </row>
    <row r="33" spans="1:21" ht="14.4" customHeight="1" x14ac:dyDescent="0.3">
      <c r="A33" s="443">
        <v>29</v>
      </c>
      <c r="B33" s="444" t="s">
        <v>439</v>
      </c>
      <c r="C33" s="444">
        <v>89301292</v>
      </c>
      <c r="D33" s="493" t="s">
        <v>896</v>
      </c>
      <c r="E33" s="494" t="s">
        <v>564</v>
      </c>
      <c r="F33" s="444" t="s">
        <v>558</v>
      </c>
      <c r="G33" s="444" t="s">
        <v>571</v>
      </c>
      <c r="H33" s="444" t="s">
        <v>897</v>
      </c>
      <c r="I33" s="444" t="s">
        <v>572</v>
      </c>
      <c r="J33" s="444" t="s">
        <v>573</v>
      </c>
      <c r="K33" s="444" t="s">
        <v>574</v>
      </c>
      <c r="L33" s="445">
        <v>333.31</v>
      </c>
      <c r="M33" s="445">
        <v>666.62</v>
      </c>
      <c r="N33" s="444">
        <v>2</v>
      </c>
      <c r="O33" s="495">
        <v>1.5</v>
      </c>
      <c r="P33" s="445"/>
      <c r="Q33" s="471">
        <v>0</v>
      </c>
      <c r="R33" s="444"/>
      <c r="S33" s="471">
        <v>0</v>
      </c>
      <c r="T33" s="495"/>
      <c r="U33" s="472">
        <v>0</v>
      </c>
    </row>
    <row r="34" spans="1:21" ht="14.4" customHeight="1" x14ac:dyDescent="0.3">
      <c r="A34" s="443">
        <v>29</v>
      </c>
      <c r="B34" s="444" t="s">
        <v>439</v>
      </c>
      <c r="C34" s="444">
        <v>89301292</v>
      </c>
      <c r="D34" s="493" t="s">
        <v>896</v>
      </c>
      <c r="E34" s="494" t="s">
        <v>564</v>
      </c>
      <c r="F34" s="444" t="s">
        <v>558</v>
      </c>
      <c r="G34" s="444" t="s">
        <v>657</v>
      </c>
      <c r="H34" s="444" t="s">
        <v>897</v>
      </c>
      <c r="I34" s="444" t="s">
        <v>658</v>
      </c>
      <c r="J34" s="444" t="s">
        <v>659</v>
      </c>
      <c r="K34" s="444" t="s">
        <v>582</v>
      </c>
      <c r="L34" s="445">
        <v>69.86</v>
      </c>
      <c r="M34" s="445">
        <v>139.72</v>
      </c>
      <c r="N34" s="444">
        <v>2</v>
      </c>
      <c r="O34" s="495">
        <v>1</v>
      </c>
      <c r="P34" s="445">
        <v>139.72</v>
      </c>
      <c r="Q34" s="471">
        <v>1</v>
      </c>
      <c r="R34" s="444">
        <v>2</v>
      </c>
      <c r="S34" s="471">
        <v>1</v>
      </c>
      <c r="T34" s="495">
        <v>1</v>
      </c>
      <c r="U34" s="472">
        <v>1</v>
      </c>
    </row>
    <row r="35" spans="1:21" ht="14.4" customHeight="1" x14ac:dyDescent="0.3">
      <c r="A35" s="443">
        <v>29</v>
      </c>
      <c r="B35" s="444" t="s">
        <v>439</v>
      </c>
      <c r="C35" s="444">
        <v>89301292</v>
      </c>
      <c r="D35" s="493" t="s">
        <v>896</v>
      </c>
      <c r="E35" s="494" t="s">
        <v>564</v>
      </c>
      <c r="F35" s="444" t="s">
        <v>558</v>
      </c>
      <c r="G35" s="444" t="s">
        <v>583</v>
      </c>
      <c r="H35" s="444" t="s">
        <v>438</v>
      </c>
      <c r="I35" s="444" t="s">
        <v>498</v>
      </c>
      <c r="J35" s="444" t="s">
        <v>499</v>
      </c>
      <c r="K35" s="444" t="s">
        <v>584</v>
      </c>
      <c r="L35" s="445">
        <v>50.27</v>
      </c>
      <c r="M35" s="445">
        <v>50.27</v>
      </c>
      <c r="N35" s="444">
        <v>1</v>
      </c>
      <c r="O35" s="495">
        <v>1</v>
      </c>
      <c r="P35" s="445"/>
      <c r="Q35" s="471">
        <v>0</v>
      </c>
      <c r="R35" s="444"/>
      <c r="S35" s="471">
        <v>0</v>
      </c>
      <c r="T35" s="495"/>
      <c r="U35" s="472">
        <v>0</v>
      </c>
    </row>
    <row r="36" spans="1:21" ht="14.4" customHeight="1" x14ac:dyDescent="0.3">
      <c r="A36" s="443">
        <v>29</v>
      </c>
      <c r="B36" s="444" t="s">
        <v>439</v>
      </c>
      <c r="C36" s="444">
        <v>89301292</v>
      </c>
      <c r="D36" s="493" t="s">
        <v>896</v>
      </c>
      <c r="E36" s="494" t="s">
        <v>564</v>
      </c>
      <c r="F36" s="444" t="s">
        <v>558</v>
      </c>
      <c r="G36" s="444" t="s">
        <v>660</v>
      </c>
      <c r="H36" s="444" t="s">
        <v>438</v>
      </c>
      <c r="I36" s="444" t="s">
        <v>661</v>
      </c>
      <c r="J36" s="444" t="s">
        <v>662</v>
      </c>
      <c r="K36" s="444" t="s">
        <v>663</v>
      </c>
      <c r="L36" s="445">
        <v>0</v>
      </c>
      <c r="M36" s="445">
        <v>0</v>
      </c>
      <c r="N36" s="444">
        <v>2</v>
      </c>
      <c r="O36" s="495">
        <v>2</v>
      </c>
      <c r="P36" s="445"/>
      <c r="Q36" s="471"/>
      <c r="R36" s="444"/>
      <c r="S36" s="471">
        <v>0</v>
      </c>
      <c r="T36" s="495"/>
      <c r="U36" s="472">
        <v>0</v>
      </c>
    </row>
    <row r="37" spans="1:21" ht="14.4" customHeight="1" x14ac:dyDescent="0.3">
      <c r="A37" s="443">
        <v>29</v>
      </c>
      <c r="B37" s="444" t="s">
        <v>439</v>
      </c>
      <c r="C37" s="444">
        <v>89301292</v>
      </c>
      <c r="D37" s="493" t="s">
        <v>896</v>
      </c>
      <c r="E37" s="494" t="s">
        <v>564</v>
      </c>
      <c r="F37" s="444" t="s">
        <v>558</v>
      </c>
      <c r="G37" s="444" t="s">
        <v>660</v>
      </c>
      <c r="H37" s="444" t="s">
        <v>438</v>
      </c>
      <c r="I37" s="444" t="s">
        <v>664</v>
      </c>
      <c r="J37" s="444" t="s">
        <v>662</v>
      </c>
      <c r="K37" s="444" t="s">
        <v>665</v>
      </c>
      <c r="L37" s="445">
        <v>0</v>
      </c>
      <c r="M37" s="445">
        <v>0</v>
      </c>
      <c r="N37" s="444">
        <v>1</v>
      </c>
      <c r="O37" s="495">
        <v>1</v>
      </c>
      <c r="P37" s="445"/>
      <c r="Q37" s="471"/>
      <c r="R37" s="444"/>
      <c r="S37" s="471">
        <v>0</v>
      </c>
      <c r="T37" s="495"/>
      <c r="U37" s="472">
        <v>0</v>
      </c>
    </row>
    <row r="38" spans="1:21" ht="14.4" customHeight="1" x14ac:dyDescent="0.3">
      <c r="A38" s="443">
        <v>29</v>
      </c>
      <c r="B38" s="444" t="s">
        <v>439</v>
      </c>
      <c r="C38" s="444">
        <v>89301292</v>
      </c>
      <c r="D38" s="493" t="s">
        <v>896</v>
      </c>
      <c r="E38" s="494" t="s">
        <v>564</v>
      </c>
      <c r="F38" s="444" t="s">
        <v>558</v>
      </c>
      <c r="G38" s="444" t="s">
        <v>666</v>
      </c>
      <c r="H38" s="444" t="s">
        <v>897</v>
      </c>
      <c r="I38" s="444" t="s">
        <v>667</v>
      </c>
      <c r="J38" s="444" t="s">
        <v>668</v>
      </c>
      <c r="K38" s="444" t="s">
        <v>669</v>
      </c>
      <c r="L38" s="445">
        <v>175.19</v>
      </c>
      <c r="M38" s="445">
        <v>175.19</v>
      </c>
      <c r="N38" s="444">
        <v>1</v>
      </c>
      <c r="O38" s="495">
        <v>1</v>
      </c>
      <c r="P38" s="445"/>
      <c r="Q38" s="471">
        <v>0</v>
      </c>
      <c r="R38" s="444"/>
      <c r="S38" s="471">
        <v>0</v>
      </c>
      <c r="T38" s="495"/>
      <c r="U38" s="472">
        <v>0</v>
      </c>
    </row>
    <row r="39" spans="1:21" ht="14.4" customHeight="1" x14ac:dyDescent="0.3">
      <c r="A39" s="443">
        <v>29</v>
      </c>
      <c r="B39" s="444" t="s">
        <v>439</v>
      </c>
      <c r="C39" s="444">
        <v>89301292</v>
      </c>
      <c r="D39" s="493" t="s">
        <v>896</v>
      </c>
      <c r="E39" s="494" t="s">
        <v>564</v>
      </c>
      <c r="F39" s="444" t="s">
        <v>558</v>
      </c>
      <c r="G39" s="444" t="s">
        <v>589</v>
      </c>
      <c r="H39" s="444" t="s">
        <v>438</v>
      </c>
      <c r="I39" s="444" t="s">
        <v>670</v>
      </c>
      <c r="J39" s="444" t="s">
        <v>671</v>
      </c>
      <c r="K39" s="444" t="s">
        <v>672</v>
      </c>
      <c r="L39" s="445">
        <v>0</v>
      </c>
      <c r="M39" s="445">
        <v>0</v>
      </c>
      <c r="N39" s="444">
        <v>1</v>
      </c>
      <c r="O39" s="495">
        <v>1</v>
      </c>
      <c r="P39" s="445"/>
      <c r="Q39" s="471"/>
      <c r="R39" s="444"/>
      <c r="S39" s="471">
        <v>0</v>
      </c>
      <c r="T39" s="495"/>
      <c r="U39" s="472">
        <v>0</v>
      </c>
    </row>
    <row r="40" spans="1:21" ht="14.4" customHeight="1" x14ac:dyDescent="0.3">
      <c r="A40" s="443">
        <v>29</v>
      </c>
      <c r="B40" s="444" t="s">
        <v>439</v>
      </c>
      <c r="C40" s="444">
        <v>89301292</v>
      </c>
      <c r="D40" s="493" t="s">
        <v>896</v>
      </c>
      <c r="E40" s="494" t="s">
        <v>564</v>
      </c>
      <c r="F40" s="444" t="s">
        <v>558</v>
      </c>
      <c r="G40" s="444" t="s">
        <v>593</v>
      </c>
      <c r="H40" s="444" t="s">
        <v>438</v>
      </c>
      <c r="I40" s="444" t="s">
        <v>502</v>
      </c>
      <c r="J40" s="444" t="s">
        <v>503</v>
      </c>
      <c r="K40" s="444" t="s">
        <v>594</v>
      </c>
      <c r="L40" s="445">
        <v>38.65</v>
      </c>
      <c r="M40" s="445">
        <v>77.3</v>
      </c>
      <c r="N40" s="444">
        <v>2</v>
      </c>
      <c r="O40" s="495">
        <v>2</v>
      </c>
      <c r="P40" s="445"/>
      <c r="Q40" s="471">
        <v>0</v>
      </c>
      <c r="R40" s="444"/>
      <c r="S40" s="471">
        <v>0</v>
      </c>
      <c r="T40" s="495"/>
      <c r="U40" s="472">
        <v>0</v>
      </c>
    </row>
    <row r="41" spans="1:21" ht="14.4" customHeight="1" x14ac:dyDescent="0.3">
      <c r="A41" s="443">
        <v>29</v>
      </c>
      <c r="B41" s="444" t="s">
        <v>439</v>
      </c>
      <c r="C41" s="444">
        <v>89301292</v>
      </c>
      <c r="D41" s="493" t="s">
        <v>896</v>
      </c>
      <c r="E41" s="494" t="s">
        <v>564</v>
      </c>
      <c r="F41" s="444" t="s">
        <v>558</v>
      </c>
      <c r="G41" s="444" t="s">
        <v>673</v>
      </c>
      <c r="H41" s="444" t="s">
        <v>897</v>
      </c>
      <c r="I41" s="444" t="s">
        <v>674</v>
      </c>
      <c r="J41" s="444" t="s">
        <v>675</v>
      </c>
      <c r="K41" s="444" t="s">
        <v>676</v>
      </c>
      <c r="L41" s="445">
        <v>17.64</v>
      </c>
      <c r="M41" s="445">
        <v>17.64</v>
      </c>
      <c r="N41" s="444">
        <v>1</v>
      </c>
      <c r="O41" s="495">
        <v>1</v>
      </c>
      <c r="P41" s="445">
        <v>17.64</v>
      </c>
      <c r="Q41" s="471">
        <v>1</v>
      </c>
      <c r="R41" s="444">
        <v>1</v>
      </c>
      <c r="S41" s="471">
        <v>1</v>
      </c>
      <c r="T41" s="495">
        <v>1</v>
      </c>
      <c r="U41" s="472">
        <v>1</v>
      </c>
    </row>
    <row r="42" spans="1:21" ht="14.4" customHeight="1" x14ac:dyDescent="0.3">
      <c r="A42" s="443">
        <v>29</v>
      </c>
      <c r="B42" s="444" t="s">
        <v>439</v>
      </c>
      <c r="C42" s="444">
        <v>89301292</v>
      </c>
      <c r="D42" s="493" t="s">
        <v>896</v>
      </c>
      <c r="E42" s="494" t="s">
        <v>564</v>
      </c>
      <c r="F42" s="444" t="s">
        <v>558</v>
      </c>
      <c r="G42" s="444" t="s">
        <v>600</v>
      </c>
      <c r="H42" s="444" t="s">
        <v>897</v>
      </c>
      <c r="I42" s="444" t="s">
        <v>604</v>
      </c>
      <c r="J42" s="444" t="s">
        <v>602</v>
      </c>
      <c r="K42" s="444" t="s">
        <v>605</v>
      </c>
      <c r="L42" s="445">
        <v>625.29</v>
      </c>
      <c r="M42" s="445">
        <v>625.29</v>
      </c>
      <c r="N42" s="444">
        <v>1</v>
      </c>
      <c r="O42" s="495">
        <v>1</v>
      </c>
      <c r="P42" s="445">
        <v>625.29</v>
      </c>
      <c r="Q42" s="471">
        <v>1</v>
      </c>
      <c r="R42" s="444">
        <v>1</v>
      </c>
      <c r="S42" s="471">
        <v>1</v>
      </c>
      <c r="T42" s="495">
        <v>1</v>
      </c>
      <c r="U42" s="472">
        <v>1</v>
      </c>
    </row>
    <row r="43" spans="1:21" ht="14.4" customHeight="1" x14ac:dyDescent="0.3">
      <c r="A43" s="443">
        <v>29</v>
      </c>
      <c r="B43" s="444" t="s">
        <v>439</v>
      </c>
      <c r="C43" s="444">
        <v>89301292</v>
      </c>
      <c r="D43" s="493" t="s">
        <v>896</v>
      </c>
      <c r="E43" s="494" t="s">
        <v>564</v>
      </c>
      <c r="F43" s="444" t="s">
        <v>558</v>
      </c>
      <c r="G43" s="444" t="s">
        <v>616</v>
      </c>
      <c r="H43" s="444" t="s">
        <v>438</v>
      </c>
      <c r="I43" s="444" t="s">
        <v>617</v>
      </c>
      <c r="J43" s="444" t="s">
        <v>618</v>
      </c>
      <c r="K43" s="444" t="s">
        <v>619</v>
      </c>
      <c r="L43" s="445">
        <v>0</v>
      </c>
      <c r="M43" s="445">
        <v>0</v>
      </c>
      <c r="N43" s="444">
        <v>1</v>
      </c>
      <c r="O43" s="495">
        <v>1</v>
      </c>
      <c r="P43" s="445">
        <v>0</v>
      </c>
      <c r="Q43" s="471"/>
      <c r="R43" s="444">
        <v>1</v>
      </c>
      <c r="S43" s="471">
        <v>1</v>
      </c>
      <c r="T43" s="495">
        <v>1</v>
      </c>
      <c r="U43" s="472">
        <v>1</v>
      </c>
    </row>
    <row r="44" spans="1:21" ht="14.4" customHeight="1" x14ac:dyDescent="0.3">
      <c r="A44" s="443">
        <v>29</v>
      </c>
      <c r="B44" s="444" t="s">
        <v>439</v>
      </c>
      <c r="C44" s="444">
        <v>89301292</v>
      </c>
      <c r="D44" s="493" t="s">
        <v>896</v>
      </c>
      <c r="E44" s="494" t="s">
        <v>564</v>
      </c>
      <c r="F44" s="444" t="s">
        <v>558</v>
      </c>
      <c r="G44" s="444" t="s">
        <v>620</v>
      </c>
      <c r="H44" s="444" t="s">
        <v>438</v>
      </c>
      <c r="I44" s="444" t="s">
        <v>510</v>
      </c>
      <c r="J44" s="444" t="s">
        <v>511</v>
      </c>
      <c r="K44" s="444" t="s">
        <v>621</v>
      </c>
      <c r="L44" s="445">
        <v>314.69</v>
      </c>
      <c r="M44" s="445">
        <v>1258.76</v>
      </c>
      <c r="N44" s="444">
        <v>4</v>
      </c>
      <c r="O44" s="495">
        <v>4</v>
      </c>
      <c r="P44" s="445">
        <v>314.69</v>
      </c>
      <c r="Q44" s="471">
        <v>0.25</v>
      </c>
      <c r="R44" s="444">
        <v>1</v>
      </c>
      <c r="S44" s="471">
        <v>0.25</v>
      </c>
      <c r="T44" s="495">
        <v>1</v>
      </c>
      <c r="U44" s="472">
        <v>0.25</v>
      </c>
    </row>
    <row r="45" spans="1:21" ht="14.4" customHeight="1" x14ac:dyDescent="0.3">
      <c r="A45" s="443">
        <v>29</v>
      </c>
      <c r="B45" s="444" t="s">
        <v>439</v>
      </c>
      <c r="C45" s="444">
        <v>89301292</v>
      </c>
      <c r="D45" s="493" t="s">
        <v>896</v>
      </c>
      <c r="E45" s="494" t="s">
        <v>564</v>
      </c>
      <c r="F45" s="444" t="s">
        <v>558</v>
      </c>
      <c r="G45" s="444" t="s">
        <v>677</v>
      </c>
      <c r="H45" s="444" t="s">
        <v>897</v>
      </c>
      <c r="I45" s="444" t="s">
        <v>678</v>
      </c>
      <c r="J45" s="444" t="s">
        <v>679</v>
      </c>
      <c r="K45" s="444" t="s">
        <v>680</v>
      </c>
      <c r="L45" s="445">
        <v>32.74</v>
      </c>
      <c r="M45" s="445">
        <v>32.74</v>
      </c>
      <c r="N45" s="444">
        <v>1</v>
      </c>
      <c r="O45" s="495">
        <v>0.5</v>
      </c>
      <c r="P45" s="445"/>
      <c r="Q45" s="471">
        <v>0</v>
      </c>
      <c r="R45" s="444"/>
      <c r="S45" s="471">
        <v>0</v>
      </c>
      <c r="T45" s="495"/>
      <c r="U45" s="472">
        <v>0</v>
      </c>
    </row>
    <row r="46" spans="1:21" ht="14.4" customHeight="1" x14ac:dyDescent="0.3">
      <c r="A46" s="443">
        <v>29</v>
      </c>
      <c r="B46" s="444" t="s">
        <v>439</v>
      </c>
      <c r="C46" s="444">
        <v>89301292</v>
      </c>
      <c r="D46" s="493" t="s">
        <v>896</v>
      </c>
      <c r="E46" s="494" t="s">
        <v>564</v>
      </c>
      <c r="F46" s="444" t="s">
        <v>559</v>
      </c>
      <c r="G46" s="444" t="s">
        <v>630</v>
      </c>
      <c r="H46" s="444" t="s">
        <v>438</v>
      </c>
      <c r="I46" s="444" t="s">
        <v>631</v>
      </c>
      <c r="J46" s="444" t="s">
        <v>632</v>
      </c>
      <c r="K46" s="444" t="s">
        <v>633</v>
      </c>
      <c r="L46" s="445">
        <v>410</v>
      </c>
      <c r="M46" s="445">
        <v>5330</v>
      </c>
      <c r="N46" s="444">
        <v>13</v>
      </c>
      <c r="O46" s="495">
        <v>7</v>
      </c>
      <c r="P46" s="445">
        <v>5330</v>
      </c>
      <c r="Q46" s="471">
        <v>1</v>
      </c>
      <c r="R46" s="444">
        <v>13</v>
      </c>
      <c r="S46" s="471">
        <v>1</v>
      </c>
      <c r="T46" s="495">
        <v>7</v>
      </c>
      <c r="U46" s="472">
        <v>1</v>
      </c>
    </row>
    <row r="47" spans="1:21" ht="14.4" customHeight="1" x14ac:dyDescent="0.3">
      <c r="A47" s="443">
        <v>29</v>
      </c>
      <c r="B47" s="444" t="s">
        <v>439</v>
      </c>
      <c r="C47" s="444">
        <v>89301292</v>
      </c>
      <c r="D47" s="493" t="s">
        <v>896</v>
      </c>
      <c r="E47" s="494" t="s">
        <v>564</v>
      </c>
      <c r="F47" s="444" t="s">
        <v>559</v>
      </c>
      <c r="G47" s="444" t="s">
        <v>634</v>
      </c>
      <c r="H47" s="444" t="s">
        <v>438</v>
      </c>
      <c r="I47" s="444" t="s">
        <v>638</v>
      </c>
      <c r="J47" s="444" t="s">
        <v>636</v>
      </c>
      <c r="K47" s="444" t="s">
        <v>639</v>
      </c>
      <c r="L47" s="445">
        <v>200</v>
      </c>
      <c r="M47" s="445">
        <v>1200</v>
      </c>
      <c r="N47" s="444">
        <v>6</v>
      </c>
      <c r="O47" s="495">
        <v>5</v>
      </c>
      <c r="P47" s="445">
        <v>600</v>
      </c>
      <c r="Q47" s="471">
        <v>0.5</v>
      </c>
      <c r="R47" s="444">
        <v>3</v>
      </c>
      <c r="S47" s="471">
        <v>0.5</v>
      </c>
      <c r="T47" s="495">
        <v>3</v>
      </c>
      <c r="U47" s="472">
        <v>0.6</v>
      </c>
    </row>
    <row r="48" spans="1:21" ht="14.4" customHeight="1" x14ac:dyDescent="0.3">
      <c r="A48" s="443">
        <v>29</v>
      </c>
      <c r="B48" s="444" t="s">
        <v>439</v>
      </c>
      <c r="C48" s="444">
        <v>89301292</v>
      </c>
      <c r="D48" s="493" t="s">
        <v>896</v>
      </c>
      <c r="E48" s="494" t="s">
        <v>564</v>
      </c>
      <c r="F48" s="444" t="s">
        <v>559</v>
      </c>
      <c r="G48" s="444" t="s">
        <v>634</v>
      </c>
      <c r="H48" s="444" t="s">
        <v>438</v>
      </c>
      <c r="I48" s="444" t="s">
        <v>681</v>
      </c>
      <c r="J48" s="444" t="s">
        <v>644</v>
      </c>
      <c r="K48" s="444" t="s">
        <v>682</v>
      </c>
      <c r="L48" s="445">
        <v>156</v>
      </c>
      <c r="M48" s="445">
        <v>156</v>
      </c>
      <c r="N48" s="444">
        <v>1</v>
      </c>
      <c r="O48" s="495">
        <v>1</v>
      </c>
      <c r="P48" s="445">
        <v>156</v>
      </c>
      <c r="Q48" s="471">
        <v>1</v>
      </c>
      <c r="R48" s="444">
        <v>1</v>
      </c>
      <c r="S48" s="471">
        <v>1</v>
      </c>
      <c r="T48" s="495">
        <v>1</v>
      </c>
      <c r="U48" s="472">
        <v>1</v>
      </c>
    </row>
    <row r="49" spans="1:21" ht="14.4" customHeight="1" x14ac:dyDescent="0.3">
      <c r="A49" s="443">
        <v>29</v>
      </c>
      <c r="B49" s="444" t="s">
        <v>439</v>
      </c>
      <c r="C49" s="444">
        <v>89301292</v>
      </c>
      <c r="D49" s="493" t="s">
        <v>896</v>
      </c>
      <c r="E49" s="494" t="s">
        <v>565</v>
      </c>
      <c r="F49" s="444" t="s">
        <v>558</v>
      </c>
      <c r="G49" s="444" t="s">
        <v>579</v>
      </c>
      <c r="H49" s="444" t="s">
        <v>897</v>
      </c>
      <c r="I49" s="444" t="s">
        <v>580</v>
      </c>
      <c r="J49" s="444" t="s">
        <v>581</v>
      </c>
      <c r="K49" s="444" t="s">
        <v>582</v>
      </c>
      <c r="L49" s="445">
        <v>184.22</v>
      </c>
      <c r="M49" s="445">
        <v>552.66</v>
      </c>
      <c r="N49" s="444">
        <v>3</v>
      </c>
      <c r="O49" s="495">
        <v>2</v>
      </c>
      <c r="P49" s="445"/>
      <c r="Q49" s="471">
        <v>0</v>
      </c>
      <c r="R49" s="444"/>
      <c r="S49" s="471">
        <v>0</v>
      </c>
      <c r="T49" s="495"/>
      <c r="U49" s="472">
        <v>0</v>
      </c>
    </row>
    <row r="50" spans="1:21" ht="14.4" customHeight="1" x14ac:dyDescent="0.3">
      <c r="A50" s="443">
        <v>29</v>
      </c>
      <c r="B50" s="444" t="s">
        <v>439</v>
      </c>
      <c r="C50" s="444">
        <v>89301292</v>
      </c>
      <c r="D50" s="493" t="s">
        <v>896</v>
      </c>
      <c r="E50" s="494" t="s">
        <v>565</v>
      </c>
      <c r="F50" s="444" t="s">
        <v>558</v>
      </c>
      <c r="G50" s="444" t="s">
        <v>583</v>
      </c>
      <c r="H50" s="444" t="s">
        <v>438</v>
      </c>
      <c r="I50" s="444" t="s">
        <v>498</v>
      </c>
      <c r="J50" s="444" t="s">
        <v>499</v>
      </c>
      <c r="K50" s="444" t="s">
        <v>584</v>
      </c>
      <c r="L50" s="445">
        <v>50.27</v>
      </c>
      <c r="M50" s="445">
        <v>251.35000000000002</v>
      </c>
      <c r="N50" s="444">
        <v>5</v>
      </c>
      <c r="O50" s="495">
        <v>4.5</v>
      </c>
      <c r="P50" s="445">
        <v>150.81</v>
      </c>
      <c r="Q50" s="471">
        <v>0.6</v>
      </c>
      <c r="R50" s="444">
        <v>3</v>
      </c>
      <c r="S50" s="471">
        <v>0.6</v>
      </c>
      <c r="T50" s="495">
        <v>2.5</v>
      </c>
      <c r="U50" s="472">
        <v>0.55555555555555558</v>
      </c>
    </row>
    <row r="51" spans="1:21" ht="14.4" customHeight="1" x14ac:dyDescent="0.3">
      <c r="A51" s="443">
        <v>29</v>
      </c>
      <c r="B51" s="444" t="s">
        <v>439</v>
      </c>
      <c r="C51" s="444">
        <v>89301292</v>
      </c>
      <c r="D51" s="493" t="s">
        <v>896</v>
      </c>
      <c r="E51" s="494" t="s">
        <v>565</v>
      </c>
      <c r="F51" s="444" t="s">
        <v>558</v>
      </c>
      <c r="G51" s="444" t="s">
        <v>585</v>
      </c>
      <c r="H51" s="444" t="s">
        <v>438</v>
      </c>
      <c r="I51" s="444" t="s">
        <v>683</v>
      </c>
      <c r="J51" s="444" t="s">
        <v>587</v>
      </c>
      <c r="K51" s="444" t="s">
        <v>684</v>
      </c>
      <c r="L51" s="445">
        <v>0</v>
      </c>
      <c r="M51" s="445">
        <v>0</v>
      </c>
      <c r="N51" s="444">
        <v>1</v>
      </c>
      <c r="O51" s="495">
        <v>1</v>
      </c>
      <c r="P51" s="445"/>
      <c r="Q51" s="471"/>
      <c r="R51" s="444"/>
      <c r="S51" s="471">
        <v>0</v>
      </c>
      <c r="T51" s="495"/>
      <c r="U51" s="472">
        <v>0</v>
      </c>
    </row>
    <row r="52" spans="1:21" ht="14.4" customHeight="1" x14ac:dyDescent="0.3">
      <c r="A52" s="443">
        <v>29</v>
      </c>
      <c r="B52" s="444" t="s">
        <v>439</v>
      </c>
      <c r="C52" s="444">
        <v>89301292</v>
      </c>
      <c r="D52" s="493" t="s">
        <v>896</v>
      </c>
      <c r="E52" s="494" t="s">
        <v>565</v>
      </c>
      <c r="F52" s="444" t="s">
        <v>558</v>
      </c>
      <c r="G52" s="444" t="s">
        <v>685</v>
      </c>
      <c r="H52" s="444" t="s">
        <v>438</v>
      </c>
      <c r="I52" s="444" t="s">
        <v>455</v>
      </c>
      <c r="J52" s="444" t="s">
        <v>456</v>
      </c>
      <c r="K52" s="444" t="s">
        <v>457</v>
      </c>
      <c r="L52" s="445">
        <v>378.97</v>
      </c>
      <c r="M52" s="445">
        <v>378.97</v>
      </c>
      <c r="N52" s="444">
        <v>1</v>
      </c>
      <c r="O52" s="495">
        <v>1</v>
      </c>
      <c r="P52" s="445"/>
      <c r="Q52" s="471">
        <v>0</v>
      </c>
      <c r="R52" s="444"/>
      <c r="S52" s="471">
        <v>0</v>
      </c>
      <c r="T52" s="495"/>
      <c r="U52" s="472">
        <v>0</v>
      </c>
    </row>
    <row r="53" spans="1:21" ht="14.4" customHeight="1" x14ac:dyDescent="0.3">
      <c r="A53" s="443">
        <v>29</v>
      </c>
      <c r="B53" s="444" t="s">
        <v>439</v>
      </c>
      <c r="C53" s="444">
        <v>89301292</v>
      </c>
      <c r="D53" s="493" t="s">
        <v>896</v>
      </c>
      <c r="E53" s="494" t="s">
        <v>565</v>
      </c>
      <c r="F53" s="444" t="s">
        <v>558</v>
      </c>
      <c r="G53" s="444" t="s">
        <v>593</v>
      </c>
      <c r="H53" s="444" t="s">
        <v>438</v>
      </c>
      <c r="I53" s="444" t="s">
        <v>502</v>
      </c>
      <c r="J53" s="444" t="s">
        <v>503</v>
      </c>
      <c r="K53" s="444" t="s">
        <v>594</v>
      </c>
      <c r="L53" s="445">
        <v>38.65</v>
      </c>
      <c r="M53" s="445">
        <v>115.94999999999999</v>
      </c>
      <c r="N53" s="444">
        <v>3</v>
      </c>
      <c r="O53" s="495">
        <v>3</v>
      </c>
      <c r="P53" s="445"/>
      <c r="Q53" s="471">
        <v>0</v>
      </c>
      <c r="R53" s="444"/>
      <c r="S53" s="471">
        <v>0</v>
      </c>
      <c r="T53" s="495"/>
      <c r="U53" s="472">
        <v>0</v>
      </c>
    </row>
    <row r="54" spans="1:21" ht="14.4" customHeight="1" x14ac:dyDescent="0.3">
      <c r="A54" s="443">
        <v>29</v>
      </c>
      <c r="B54" s="444" t="s">
        <v>439</v>
      </c>
      <c r="C54" s="444">
        <v>89301292</v>
      </c>
      <c r="D54" s="493" t="s">
        <v>896</v>
      </c>
      <c r="E54" s="494" t="s">
        <v>565</v>
      </c>
      <c r="F54" s="444" t="s">
        <v>558</v>
      </c>
      <c r="G54" s="444" t="s">
        <v>599</v>
      </c>
      <c r="H54" s="444" t="s">
        <v>438</v>
      </c>
      <c r="I54" s="444" t="s">
        <v>506</v>
      </c>
      <c r="J54" s="444" t="s">
        <v>507</v>
      </c>
      <c r="K54" s="444" t="s">
        <v>508</v>
      </c>
      <c r="L54" s="445">
        <v>120.37</v>
      </c>
      <c r="M54" s="445">
        <v>120.37</v>
      </c>
      <c r="N54" s="444">
        <v>1</v>
      </c>
      <c r="O54" s="495">
        <v>1</v>
      </c>
      <c r="P54" s="445">
        <v>120.37</v>
      </c>
      <c r="Q54" s="471">
        <v>1</v>
      </c>
      <c r="R54" s="444">
        <v>1</v>
      </c>
      <c r="S54" s="471">
        <v>1</v>
      </c>
      <c r="T54" s="495">
        <v>1</v>
      </c>
      <c r="U54" s="472">
        <v>1</v>
      </c>
    </row>
    <row r="55" spans="1:21" ht="14.4" customHeight="1" x14ac:dyDescent="0.3">
      <c r="A55" s="443">
        <v>29</v>
      </c>
      <c r="B55" s="444" t="s">
        <v>439</v>
      </c>
      <c r="C55" s="444">
        <v>89301292</v>
      </c>
      <c r="D55" s="493" t="s">
        <v>896</v>
      </c>
      <c r="E55" s="494" t="s">
        <v>565</v>
      </c>
      <c r="F55" s="444" t="s">
        <v>558</v>
      </c>
      <c r="G55" s="444" t="s">
        <v>620</v>
      </c>
      <c r="H55" s="444" t="s">
        <v>438</v>
      </c>
      <c r="I55" s="444" t="s">
        <v>686</v>
      </c>
      <c r="J55" s="444" t="s">
        <v>511</v>
      </c>
      <c r="K55" s="444" t="s">
        <v>687</v>
      </c>
      <c r="L55" s="445">
        <v>104.9</v>
      </c>
      <c r="M55" s="445">
        <v>104.9</v>
      </c>
      <c r="N55" s="444">
        <v>1</v>
      </c>
      <c r="O55" s="495">
        <v>1</v>
      </c>
      <c r="P55" s="445"/>
      <c r="Q55" s="471">
        <v>0</v>
      </c>
      <c r="R55" s="444"/>
      <c r="S55" s="471">
        <v>0</v>
      </c>
      <c r="T55" s="495"/>
      <c r="U55" s="472">
        <v>0</v>
      </c>
    </row>
    <row r="56" spans="1:21" ht="14.4" customHeight="1" x14ac:dyDescent="0.3">
      <c r="A56" s="443">
        <v>29</v>
      </c>
      <c r="B56" s="444" t="s">
        <v>439</v>
      </c>
      <c r="C56" s="444">
        <v>89301292</v>
      </c>
      <c r="D56" s="493" t="s">
        <v>896</v>
      </c>
      <c r="E56" s="494" t="s">
        <v>565</v>
      </c>
      <c r="F56" s="444" t="s">
        <v>558</v>
      </c>
      <c r="G56" s="444" t="s">
        <v>620</v>
      </c>
      <c r="H56" s="444" t="s">
        <v>438</v>
      </c>
      <c r="I56" s="444" t="s">
        <v>510</v>
      </c>
      <c r="J56" s="444" t="s">
        <v>511</v>
      </c>
      <c r="K56" s="444" t="s">
        <v>621</v>
      </c>
      <c r="L56" s="445">
        <v>314.69</v>
      </c>
      <c r="M56" s="445">
        <v>1888.1399999999999</v>
      </c>
      <c r="N56" s="444">
        <v>6</v>
      </c>
      <c r="O56" s="495">
        <v>4.5</v>
      </c>
      <c r="P56" s="445">
        <v>944.06999999999994</v>
      </c>
      <c r="Q56" s="471">
        <v>0.5</v>
      </c>
      <c r="R56" s="444">
        <v>3</v>
      </c>
      <c r="S56" s="471">
        <v>0.5</v>
      </c>
      <c r="T56" s="495">
        <v>2.5</v>
      </c>
      <c r="U56" s="472">
        <v>0.55555555555555558</v>
      </c>
    </row>
    <row r="57" spans="1:21" ht="14.4" customHeight="1" x14ac:dyDescent="0.3">
      <c r="A57" s="443">
        <v>29</v>
      </c>
      <c r="B57" s="444" t="s">
        <v>439</v>
      </c>
      <c r="C57" s="444">
        <v>89301292</v>
      </c>
      <c r="D57" s="493" t="s">
        <v>896</v>
      </c>
      <c r="E57" s="494" t="s">
        <v>565</v>
      </c>
      <c r="F57" s="444" t="s">
        <v>559</v>
      </c>
      <c r="G57" s="444" t="s">
        <v>630</v>
      </c>
      <c r="H57" s="444" t="s">
        <v>438</v>
      </c>
      <c r="I57" s="444" t="s">
        <v>631</v>
      </c>
      <c r="J57" s="444" t="s">
        <v>632</v>
      </c>
      <c r="K57" s="444" t="s">
        <v>633</v>
      </c>
      <c r="L57" s="445">
        <v>410</v>
      </c>
      <c r="M57" s="445">
        <v>6150</v>
      </c>
      <c r="N57" s="444">
        <v>15</v>
      </c>
      <c r="O57" s="495">
        <v>8</v>
      </c>
      <c r="P57" s="445">
        <v>5330</v>
      </c>
      <c r="Q57" s="471">
        <v>0.8666666666666667</v>
      </c>
      <c r="R57" s="444">
        <v>13</v>
      </c>
      <c r="S57" s="471">
        <v>0.8666666666666667</v>
      </c>
      <c r="T57" s="495">
        <v>7</v>
      </c>
      <c r="U57" s="472">
        <v>0.875</v>
      </c>
    </row>
    <row r="58" spans="1:21" ht="14.4" customHeight="1" x14ac:dyDescent="0.3">
      <c r="A58" s="443">
        <v>29</v>
      </c>
      <c r="B58" s="444" t="s">
        <v>439</v>
      </c>
      <c r="C58" s="444">
        <v>89301292</v>
      </c>
      <c r="D58" s="493" t="s">
        <v>896</v>
      </c>
      <c r="E58" s="494" t="s">
        <v>565</v>
      </c>
      <c r="F58" s="444" t="s">
        <v>559</v>
      </c>
      <c r="G58" s="444" t="s">
        <v>634</v>
      </c>
      <c r="H58" s="444" t="s">
        <v>438</v>
      </c>
      <c r="I58" s="444" t="s">
        <v>635</v>
      </c>
      <c r="J58" s="444" t="s">
        <v>636</v>
      </c>
      <c r="K58" s="444" t="s">
        <v>637</v>
      </c>
      <c r="L58" s="445">
        <v>133.69</v>
      </c>
      <c r="M58" s="445">
        <v>401.07</v>
      </c>
      <c r="N58" s="444">
        <v>3</v>
      </c>
      <c r="O58" s="495">
        <v>3</v>
      </c>
      <c r="P58" s="445">
        <v>267.38</v>
      </c>
      <c r="Q58" s="471">
        <v>0.66666666666666663</v>
      </c>
      <c r="R58" s="444">
        <v>2</v>
      </c>
      <c r="S58" s="471">
        <v>0.66666666666666663</v>
      </c>
      <c r="T58" s="495">
        <v>2</v>
      </c>
      <c r="U58" s="472">
        <v>0.66666666666666663</v>
      </c>
    </row>
    <row r="59" spans="1:21" ht="14.4" customHeight="1" x14ac:dyDescent="0.3">
      <c r="A59" s="443">
        <v>29</v>
      </c>
      <c r="B59" s="444" t="s">
        <v>439</v>
      </c>
      <c r="C59" s="444">
        <v>89301292</v>
      </c>
      <c r="D59" s="493" t="s">
        <v>896</v>
      </c>
      <c r="E59" s="494" t="s">
        <v>565</v>
      </c>
      <c r="F59" s="444" t="s">
        <v>559</v>
      </c>
      <c r="G59" s="444" t="s">
        <v>634</v>
      </c>
      <c r="H59" s="444" t="s">
        <v>438</v>
      </c>
      <c r="I59" s="444" t="s">
        <v>688</v>
      </c>
      <c r="J59" s="444" t="s">
        <v>636</v>
      </c>
      <c r="K59" s="444" t="s">
        <v>689</v>
      </c>
      <c r="L59" s="445">
        <v>175.15</v>
      </c>
      <c r="M59" s="445">
        <v>350.3</v>
      </c>
      <c r="N59" s="444">
        <v>2</v>
      </c>
      <c r="O59" s="495">
        <v>2</v>
      </c>
      <c r="P59" s="445"/>
      <c r="Q59" s="471">
        <v>0</v>
      </c>
      <c r="R59" s="444"/>
      <c r="S59" s="471">
        <v>0</v>
      </c>
      <c r="T59" s="495"/>
      <c r="U59" s="472">
        <v>0</v>
      </c>
    </row>
    <row r="60" spans="1:21" ht="14.4" customHeight="1" x14ac:dyDescent="0.3">
      <c r="A60" s="443">
        <v>29</v>
      </c>
      <c r="B60" s="444" t="s">
        <v>439</v>
      </c>
      <c r="C60" s="444">
        <v>89301292</v>
      </c>
      <c r="D60" s="493" t="s">
        <v>896</v>
      </c>
      <c r="E60" s="494" t="s">
        <v>565</v>
      </c>
      <c r="F60" s="444" t="s">
        <v>559</v>
      </c>
      <c r="G60" s="444" t="s">
        <v>634</v>
      </c>
      <c r="H60" s="444" t="s">
        <v>438</v>
      </c>
      <c r="I60" s="444" t="s">
        <v>638</v>
      </c>
      <c r="J60" s="444" t="s">
        <v>636</v>
      </c>
      <c r="K60" s="444" t="s">
        <v>639</v>
      </c>
      <c r="L60" s="445">
        <v>200</v>
      </c>
      <c r="M60" s="445">
        <v>1400</v>
      </c>
      <c r="N60" s="444">
        <v>7</v>
      </c>
      <c r="O60" s="495">
        <v>4</v>
      </c>
      <c r="P60" s="445">
        <v>1000</v>
      </c>
      <c r="Q60" s="471">
        <v>0.7142857142857143</v>
      </c>
      <c r="R60" s="444">
        <v>5</v>
      </c>
      <c r="S60" s="471">
        <v>0.7142857142857143</v>
      </c>
      <c r="T60" s="495">
        <v>3</v>
      </c>
      <c r="U60" s="472">
        <v>0.75</v>
      </c>
    </row>
    <row r="61" spans="1:21" ht="14.4" customHeight="1" x14ac:dyDescent="0.3">
      <c r="A61" s="443">
        <v>29</v>
      </c>
      <c r="B61" s="444" t="s">
        <v>439</v>
      </c>
      <c r="C61" s="444">
        <v>89301292</v>
      </c>
      <c r="D61" s="493" t="s">
        <v>896</v>
      </c>
      <c r="E61" s="494" t="s">
        <v>565</v>
      </c>
      <c r="F61" s="444" t="s">
        <v>559</v>
      </c>
      <c r="G61" s="444" t="s">
        <v>634</v>
      </c>
      <c r="H61" s="444" t="s">
        <v>438</v>
      </c>
      <c r="I61" s="444" t="s">
        <v>681</v>
      </c>
      <c r="J61" s="444" t="s">
        <v>644</v>
      </c>
      <c r="K61" s="444" t="s">
        <v>682</v>
      </c>
      <c r="L61" s="445">
        <v>156</v>
      </c>
      <c r="M61" s="445">
        <v>156</v>
      </c>
      <c r="N61" s="444">
        <v>1</v>
      </c>
      <c r="O61" s="495">
        <v>1</v>
      </c>
      <c r="P61" s="445"/>
      <c r="Q61" s="471">
        <v>0</v>
      </c>
      <c r="R61" s="444"/>
      <c r="S61" s="471">
        <v>0</v>
      </c>
      <c r="T61" s="495"/>
      <c r="U61" s="472">
        <v>0</v>
      </c>
    </row>
    <row r="62" spans="1:21" ht="14.4" customHeight="1" x14ac:dyDescent="0.3">
      <c r="A62" s="443">
        <v>29</v>
      </c>
      <c r="B62" s="444" t="s">
        <v>439</v>
      </c>
      <c r="C62" s="444">
        <v>89301292</v>
      </c>
      <c r="D62" s="493" t="s">
        <v>896</v>
      </c>
      <c r="E62" s="494" t="s">
        <v>565</v>
      </c>
      <c r="F62" s="444" t="s">
        <v>559</v>
      </c>
      <c r="G62" s="444" t="s">
        <v>634</v>
      </c>
      <c r="H62" s="444" t="s">
        <v>438</v>
      </c>
      <c r="I62" s="444" t="s">
        <v>690</v>
      </c>
      <c r="J62" s="444" t="s">
        <v>641</v>
      </c>
      <c r="K62" s="444" t="s">
        <v>691</v>
      </c>
      <c r="L62" s="445">
        <v>1333.95</v>
      </c>
      <c r="M62" s="445">
        <v>2667.9</v>
      </c>
      <c r="N62" s="444">
        <v>2</v>
      </c>
      <c r="O62" s="495">
        <v>1</v>
      </c>
      <c r="P62" s="445">
        <v>2667.9</v>
      </c>
      <c r="Q62" s="471">
        <v>1</v>
      </c>
      <c r="R62" s="444">
        <v>2</v>
      </c>
      <c r="S62" s="471">
        <v>1</v>
      </c>
      <c r="T62" s="495">
        <v>1</v>
      </c>
      <c r="U62" s="472">
        <v>1</v>
      </c>
    </row>
    <row r="63" spans="1:21" ht="14.4" customHeight="1" x14ac:dyDescent="0.3">
      <c r="A63" s="443">
        <v>29</v>
      </c>
      <c r="B63" s="444" t="s">
        <v>439</v>
      </c>
      <c r="C63" s="444">
        <v>89301292</v>
      </c>
      <c r="D63" s="493" t="s">
        <v>896</v>
      </c>
      <c r="E63" s="494" t="s">
        <v>565</v>
      </c>
      <c r="F63" s="444" t="s">
        <v>559</v>
      </c>
      <c r="G63" s="444" t="s">
        <v>650</v>
      </c>
      <c r="H63" s="444" t="s">
        <v>438</v>
      </c>
      <c r="I63" s="444" t="s">
        <v>692</v>
      </c>
      <c r="J63" s="444" t="s">
        <v>693</v>
      </c>
      <c r="K63" s="444" t="s">
        <v>694</v>
      </c>
      <c r="L63" s="445">
        <v>350</v>
      </c>
      <c r="M63" s="445">
        <v>1050</v>
      </c>
      <c r="N63" s="444">
        <v>3</v>
      </c>
      <c r="O63" s="495">
        <v>3</v>
      </c>
      <c r="P63" s="445"/>
      <c r="Q63" s="471">
        <v>0</v>
      </c>
      <c r="R63" s="444"/>
      <c r="S63" s="471">
        <v>0</v>
      </c>
      <c r="T63" s="495"/>
      <c r="U63" s="472">
        <v>0</v>
      </c>
    </row>
    <row r="64" spans="1:21" ht="14.4" customHeight="1" x14ac:dyDescent="0.3">
      <c r="A64" s="443">
        <v>29</v>
      </c>
      <c r="B64" s="444" t="s">
        <v>439</v>
      </c>
      <c r="C64" s="444">
        <v>89301292</v>
      </c>
      <c r="D64" s="493" t="s">
        <v>896</v>
      </c>
      <c r="E64" s="494" t="s">
        <v>565</v>
      </c>
      <c r="F64" s="444" t="s">
        <v>559</v>
      </c>
      <c r="G64" s="444" t="s">
        <v>695</v>
      </c>
      <c r="H64" s="444" t="s">
        <v>438</v>
      </c>
      <c r="I64" s="444" t="s">
        <v>696</v>
      </c>
      <c r="J64" s="444" t="s">
        <v>697</v>
      </c>
      <c r="K64" s="444"/>
      <c r="L64" s="445">
        <v>0</v>
      </c>
      <c r="M64" s="445">
        <v>0</v>
      </c>
      <c r="N64" s="444">
        <v>1</v>
      </c>
      <c r="O64" s="495">
        <v>1</v>
      </c>
      <c r="P64" s="445"/>
      <c r="Q64" s="471"/>
      <c r="R64" s="444"/>
      <c r="S64" s="471">
        <v>0</v>
      </c>
      <c r="T64" s="495"/>
      <c r="U64" s="472">
        <v>0</v>
      </c>
    </row>
    <row r="65" spans="1:21" ht="14.4" customHeight="1" x14ac:dyDescent="0.3">
      <c r="A65" s="443">
        <v>29</v>
      </c>
      <c r="B65" s="444" t="s">
        <v>439</v>
      </c>
      <c r="C65" s="444">
        <v>89301292</v>
      </c>
      <c r="D65" s="493" t="s">
        <v>896</v>
      </c>
      <c r="E65" s="494" t="s">
        <v>566</v>
      </c>
      <c r="F65" s="444" t="s">
        <v>558</v>
      </c>
      <c r="G65" s="444" t="s">
        <v>571</v>
      </c>
      <c r="H65" s="444" t="s">
        <v>897</v>
      </c>
      <c r="I65" s="444" t="s">
        <v>572</v>
      </c>
      <c r="J65" s="444" t="s">
        <v>573</v>
      </c>
      <c r="K65" s="444" t="s">
        <v>574</v>
      </c>
      <c r="L65" s="445">
        <v>333.31</v>
      </c>
      <c r="M65" s="445">
        <v>333.31</v>
      </c>
      <c r="N65" s="444">
        <v>1</v>
      </c>
      <c r="O65" s="495">
        <v>1</v>
      </c>
      <c r="P65" s="445"/>
      <c r="Q65" s="471">
        <v>0</v>
      </c>
      <c r="R65" s="444"/>
      <c r="S65" s="471">
        <v>0</v>
      </c>
      <c r="T65" s="495"/>
      <c r="U65" s="472">
        <v>0</v>
      </c>
    </row>
    <row r="66" spans="1:21" ht="14.4" customHeight="1" x14ac:dyDescent="0.3">
      <c r="A66" s="443">
        <v>29</v>
      </c>
      <c r="B66" s="444" t="s">
        <v>439</v>
      </c>
      <c r="C66" s="444">
        <v>89301292</v>
      </c>
      <c r="D66" s="493" t="s">
        <v>896</v>
      </c>
      <c r="E66" s="494" t="s">
        <v>566</v>
      </c>
      <c r="F66" s="444" t="s">
        <v>558</v>
      </c>
      <c r="G66" s="444" t="s">
        <v>698</v>
      </c>
      <c r="H66" s="444" t="s">
        <v>438</v>
      </c>
      <c r="I66" s="444" t="s">
        <v>699</v>
      </c>
      <c r="J66" s="444" t="s">
        <v>700</v>
      </c>
      <c r="K66" s="444" t="s">
        <v>701</v>
      </c>
      <c r="L66" s="445">
        <v>0</v>
      </c>
      <c r="M66" s="445">
        <v>0</v>
      </c>
      <c r="N66" s="444">
        <v>1</v>
      </c>
      <c r="O66" s="495">
        <v>0.5</v>
      </c>
      <c r="P66" s="445">
        <v>0</v>
      </c>
      <c r="Q66" s="471"/>
      <c r="R66" s="444">
        <v>1</v>
      </c>
      <c r="S66" s="471">
        <v>1</v>
      </c>
      <c r="T66" s="495">
        <v>0.5</v>
      </c>
      <c r="U66" s="472">
        <v>1</v>
      </c>
    </row>
    <row r="67" spans="1:21" ht="14.4" customHeight="1" x14ac:dyDescent="0.3">
      <c r="A67" s="443">
        <v>29</v>
      </c>
      <c r="B67" s="444" t="s">
        <v>439</v>
      </c>
      <c r="C67" s="444">
        <v>89301292</v>
      </c>
      <c r="D67" s="493" t="s">
        <v>896</v>
      </c>
      <c r="E67" s="494" t="s">
        <v>566</v>
      </c>
      <c r="F67" s="444" t="s">
        <v>558</v>
      </c>
      <c r="G67" s="444" t="s">
        <v>702</v>
      </c>
      <c r="H67" s="444" t="s">
        <v>438</v>
      </c>
      <c r="I67" s="444" t="s">
        <v>703</v>
      </c>
      <c r="J67" s="444" t="s">
        <v>704</v>
      </c>
      <c r="K67" s="444" t="s">
        <v>705</v>
      </c>
      <c r="L67" s="445">
        <v>115.3</v>
      </c>
      <c r="M67" s="445">
        <v>115.3</v>
      </c>
      <c r="N67" s="444">
        <v>1</v>
      </c>
      <c r="O67" s="495">
        <v>0.5</v>
      </c>
      <c r="P67" s="445">
        <v>115.3</v>
      </c>
      <c r="Q67" s="471">
        <v>1</v>
      </c>
      <c r="R67" s="444">
        <v>1</v>
      </c>
      <c r="S67" s="471">
        <v>1</v>
      </c>
      <c r="T67" s="495">
        <v>0.5</v>
      </c>
      <c r="U67" s="472">
        <v>1</v>
      </c>
    </row>
    <row r="68" spans="1:21" ht="14.4" customHeight="1" x14ac:dyDescent="0.3">
      <c r="A68" s="443">
        <v>29</v>
      </c>
      <c r="B68" s="444" t="s">
        <v>439</v>
      </c>
      <c r="C68" s="444">
        <v>89301292</v>
      </c>
      <c r="D68" s="493" t="s">
        <v>896</v>
      </c>
      <c r="E68" s="494" t="s">
        <v>566</v>
      </c>
      <c r="F68" s="444" t="s">
        <v>558</v>
      </c>
      <c r="G68" s="444" t="s">
        <v>706</v>
      </c>
      <c r="H68" s="444" t="s">
        <v>438</v>
      </c>
      <c r="I68" s="444" t="s">
        <v>707</v>
      </c>
      <c r="J68" s="444" t="s">
        <v>708</v>
      </c>
      <c r="K68" s="444" t="s">
        <v>709</v>
      </c>
      <c r="L68" s="445">
        <v>0</v>
      </c>
      <c r="M68" s="445">
        <v>0</v>
      </c>
      <c r="N68" s="444">
        <v>1</v>
      </c>
      <c r="O68" s="495">
        <v>0.5</v>
      </c>
      <c r="P68" s="445">
        <v>0</v>
      </c>
      <c r="Q68" s="471"/>
      <c r="R68" s="444">
        <v>1</v>
      </c>
      <c r="S68" s="471">
        <v>1</v>
      </c>
      <c r="T68" s="495">
        <v>0.5</v>
      </c>
      <c r="U68" s="472">
        <v>1</v>
      </c>
    </row>
    <row r="69" spans="1:21" ht="14.4" customHeight="1" x14ac:dyDescent="0.3">
      <c r="A69" s="443">
        <v>29</v>
      </c>
      <c r="B69" s="444" t="s">
        <v>439</v>
      </c>
      <c r="C69" s="444">
        <v>89301292</v>
      </c>
      <c r="D69" s="493" t="s">
        <v>896</v>
      </c>
      <c r="E69" s="494" t="s">
        <v>566</v>
      </c>
      <c r="F69" s="444" t="s">
        <v>558</v>
      </c>
      <c r="G69" s="444" t="s">
        <v>583</v>
      </c>
      <c r="H69" s="444" t="s">
        <v>438</v>
      </c>
      <c r="I69" s="444" t="s">
        <v>498</v>
      </c>
      <c r="J69" s="444" t="s">
        <v>499</v>
      </c>
      <c r="K69" s="444" t="s">
        <v>584</v>
      </c>
      <c r="L69" s="445">
        <v>50.27</v>
      </c>
      <c r="M69" s="445">
        <v>402.16</v>
      </c>
      <c r="N69" s="444">
        <v>8</v>
      </c>
      <c r="O69" s="495">
        <v>7</v>
      </c>
      <c r="P69" s="445">
        <v>251.35000000000002</v>
      </c>
      <c r="Q69" s="471">
        <v>0.625</v>
      </c>
      <c r="R69" s="444">
        <v>5</v>
      </c>
      <c r="S69" s="471">
        <v>0.625</v>
      </c>
      <c r="T69" s="495">
        <v>4</v>
      </c>
      <c r="U69" s="472">
        <v>0.5714285714285714</v>
      </c>
    </row>
    <row r="70" spans="1:21" ht="14.4" customHeight="1" x14ac:dyDescent="0.3">
      <c r="A70" s="443">
        <v>29</v>
      </c>
      <c r="B70" s="444" t="s">
        <v>439</v>
      </c>
      <c r="C70" s="444">
        <v>89301292</v>
      </c>
      <c r="D70" s="493" t="s">
        <v>896</v>
      </c>
      <c r="E70" s="494" t="s">
        <v>566</v>
      </c>
      <c r="F70" s="444" t="s">
        <v>558</v>
      </c>
      <c r="G70" s="444" t="s">
        <v>660</v>
      </c>
      <c r="H70" s="444" t="s">
        <v>438</v>
      </c>
      <c r="I70" s="444" t="s">
        <v>710</v>
      </c>
      <c r="J70" s="444" t="s">
        <v>711</v>
      </c>
      <c r="K70" s="444" t="s">
        <v>712</v>
      </c>
      <c r="L70" s="445">
        <v>0</v>
      </c>
      <c r="M70" s="445">
        <v>0</v>
      </c>
      <c r="N70" s="444">
        <v>1</v>
      </c>
      <c r="O70" s="495">
        <v>0.5</v>
      </c>
      <c r="P70" s="445">
        <v>0</v>
      </c>
      <c r="Q70" s="471"/>
      <c r="R70" s="444">
        <v>1</v>
      </c>
      <c r="S70" s="471">
        <v>1</v>
      </c>
      <c r="T70" s="495">
        <v>0.5</v>
      </c>
      <c r="U70" s="472">
        <v>1</v>
      </c>
    </row>
    <row r="71" spans="1:21" ht="14.4" customHeight="1" x14ac:dyDescent="0.3">
      <c r="A71" s="443">
        <v>29</v>
      </c>
      <c r="B71" s="444" t="s">
        <v>439</v>
      </c>
      <c r="C71" s="444">
        <v>89301292</v>
      </c>
      <c r="D71" s="493" t="s">
        <v>896</v>
      </c>
      <c r="E71" s="494" t="s">
        <v>566</v>
      </c>
      <c r="F71" s="444" t="s">
        <v>558</v>
      </c>
      <c r="G71" s="444" t="s">
        <v>685</v>
      </c>
      <c r="H71" s="444" t="s">
        <v>438</v>
      </c>
      <c r="I71" s="444" t="s">
        <v>455</v>
      </c>
      <c r="J71" s="444" t="s">
        <v>456</v>
      </c>
      <c r="K71" s="444" t="s">
        <v>457</v>
      </c>
      <c r="L71" s="445">
        <v>378.97</v>
      </c>
      <c r="M71" s="445">
        <v>378.97</v>
      </c>
      <c r="N71" s="444">
        <v>1</v>
      </c>
      <c r="O71" s="495">
        <v>1</v>
      </c>
      <c r="P71" s="445"/>
      <c r="Q71" s="471">
        <v>0</v>
      </c>
      <c r="R71" s="444"/>
      <c r="S71" s="471">
        <v>0</v>
      </c>
      <c r="T71" s="495"/>
      <c r="U71" s="472">
        <v>0</v>
      </c>
    </row>
    <row r="72" spans="1:21" ht="14.4" customHeight="1" x14ac:dyDescent="0.3">
      <c r="A72" s="443">
        <v>29</v>
      </c>
      <c r="B72" s="444" t="s">
        <v>439</v>
      </c>
      <c r="C72" s="444">
        <v>89301292</v>
      </c>
      <c r="D72" s="493" t="s">
        <v>896</v>
      </c>
      <c r="E72" s="494" t="s">
        <v>566</v>
      </c>
      <c r="F72" s="444" t="s">
        <v>558</v>
      </c>
      <c r="G72" s="444" t="s">
        <v>593</v>
      </c>
      <c r="H72" s="444" t="s">
        <v>438</v>
      </c>
      <c r="I72" s="444" t="s">
        <v>502</v>
      </c>
      <c r="J72" s="444" t="s">
        <v>503</v>
      </c>
      <c r="K72" s="444" t="s">
        <v>594</v>
      </c>
      <c r="L72" s="445">
        <v>38.65</v>
      </c>
      <c r="M72" s="445">
        <v>38.65</v>
      </c>
      <c r="N72" s="444">
        <v>1</v>
      </c>
      <c r="O72" s="495">
        <v>1</v>
      </c>
      <c r="P72" s="445"/>
      <c r="Q72" s="471">
        <v>0</v>
      </c>
      <c r="R72" s="444"/>
      <c r="S72" s="471">
        <v>0</v>
      </c>
      <c r="T72" s="495"/>
      <c r="U72" s="472">
        <v>0</v>
      </c>
    </row>
    <row r="73" spans="1:21" ht="14.4" customHeight="1" x14ac:dyDescent="0.3">
      <c r="A73" s="443">
        <v>29</v>
      </c>
      <c r="B73" s="444" t="s">
        <v>439</v>
      </c>
      <c r="C73" s="444">
        <v>89301292</v>
      </c>
      <c r="D73" s="493" t="s">
        <v>896</v>
      </c>
      <c r="E73" s="494" t="s">
        <v>566</v>
      </c>
      <c r="F73" s="444" t="s">
        <v>558</v>
      </c>
      <c r="G73" s="444" t="s">
        <v>673</v>
      </c>
      <c r="H73" s="444" t="s">
        <v>897</v>
      </c>
      <c r="I73" s="444" t="s">
        <v>674</v>
      </c>
      <c r="J73" s="444" t="s">
        <v>675</v>
      </c>
      <c r="K73" s="444" t="s">
        <v>676</v>
      </c>
      <c r="L73" s="445">
        <v>17.64</v>
      </c>
      <c r="M73" s="445">
        <v>105.84</v>
      </c>
      <c r="N73" s="444">
        <v>6</v>
      </c>
      <c r="O73" s="495">
        <v>6</v>
      </c>
      <c r="P73" s="445">
        <v>105.84</v>
      </c>
      <c r="Q73" s="471">
        <v>1</v>
      </c>
      <c r="R73" s="444">
        <v>6</v>
      </c>
      <c r="S73" s="471">
        <v>1</v>
      </c>
      <c r="T73" s="495">
        <v>6</v>
      </c>
      <c r="U73" s="472">
        <v>1</v>
      </c>
    </row>
    <row r="74" spans="1:21" ht="14.4" customHeight="1" x14ac:dyDescent="0.3">
      <c r="A74" s="443">
        <v>29</v>
      </c>
      <c r="B74" s="444" t="s">
        <v>439</v>
      </c>
      <c r="C74" s="444">
        <v>89301292</v>
      </c>
      <c r="D74" s="493" t="s">
        <v>896</v>
      </c>
      <c r="E74" s="494" t="s">
        <v>566</v>
      </c>
      <c r="F74" s="444" t="s">
        <v>558</v>
      </c>
      <c r="G74" s="444" t="s">
        <v>713</v>
      </c>
      <c r="H74" s="444" t="s">
        <v>438</v>
      </c>
      <c r="I74" s="444" t="s">
        <v>714</v>
      </c>
      <c r="J74" s="444" t="s">
        <v>715</v>
      </c>
      <c r="K74" s="444" t="s">
        <v>716</v>
      </c>
      <c r="L74" s="445">
        <v>0</v>
      </c>
      <c r="M74" s="445">
        <v>0</v>
      </c>
      <c r="N74" s="444">
        <v>1</v>
      </c>
      <c r="O74" s="495">
        <v>0.5</v>
      </c>
      <c r="P74" s="445">
        <v>0</v>
      </c>
      <c r="Q74" s="471"/>
      <c r="R74" s="444">
        <v>1</v>
      </c>
      <c r="S74" s="471">
        <v>1</v>
      </c>
      <c r="T74" s="495">
        <v>0.5</v>
      </c>
      <c r="U74" s="472">
        <v>1</v>
      </c>
    </row>
    <row r="75" spans="1:21" ht="14.4" customHeight="1" x14ac:dyDescent="0.3">
      <c r="A75" s="443">
        <v>29</v>
      </c>
      <c r="B75" s="444" t="s">
        <v>439</v>
      </c>
      <c r="C75" s="444">
        <v>89301292</v>
      </c>
      <c r="D75" s="493" t="s">
        <v>896</v>
      </c>
      <c r="E75" s="494" t="s">
        <v>566</v>
      </c>
      <c r="F75" s="444" t="s">
        <v>558</v>
      </c>
      <c r="G75" s="444" t="s">
        <v>717</v>
      </c>
      <c r="H75" s="444" t="s">
        <v>438</v>
      </c>
      <c r="I75" s="444" t="s">
        <v>718</v>
      </c>
      <c r="J75" s="444" t="s">
        <v>719</v>
      </c>
      <c r="K75" s="444" t="s">
        <v>578</v>
      </c>
      <c r="L75" s="445">
        <v>56.69</v>
      </c>
      <c r="M75" s="445">
        <v>56.69</v>
      </c>
      <c r="N75" s="444">
        <v>1</v>
      </c>
      <c r="O75" s="495">
        <v>1</v>
      </c>
      <c r="P75" s="445"/>
      <c r="Q75" s="471">
        <v>0</v>
      </c>
      <c r="R75" s="444"/>
      <c r="S75" s="471">
        <v>0</v>
      </c>
      <c r="T75" s="495"/>
      <c r="U75" s="472">
        <v>0</v>
      </c>
    </row>
    <row r="76" spans="1:21" ht="14.4" customHeight="1" x14ac:dyDescent="0.3">
      <c r="A76" s="443">
        <v>29</v>
      </c>
      <c r="B76" s="444" t="s">
        <v>439</v>
      </c>
      <c r="C76" s="444">
        <v>89301292</v>
      </c>
      <c r="D76" s="493" t="s">
        <v>896</v>
      </c>
      <c r="E76" s="494" t="s">
        <v>566</v>
      </c>
      <c r="F76" s="444" t="s">
        <v>558</v>
      </c>
      <c r="G76" s="444" t="s">
        <v>720</v>
      </c>
      <c r="H76" s="444" t="s">
        <v>438</v>
      </c>
      <c r="I76" s="444" t="s">
        <v>721</v>
      </c>
      <c r="J76" s="444" t="s">
        <v>722</v>
      </c>
      <c r="K76" s="444" t="s">
        <v>723</v>
      </c>
      <c r="L76" s="445">
        <v>0</v>
      </c>
      <c r="M76" s="445">
        <v>0</v>
      </c>
      <c r="N76" s="444">
        <v>1</v>
      </c>
      <c r="O76" s="495">
        <v>1</v>
      </c>
      <c r="P76" s="445">
        <v>0</v>
      </c>
      <c r="Q76" s="471"/>
      <c r="R76" s="444">
        <v>1</v>
      </c>
      <c r="S76" s="471">
        <v>1</v>
      </c>
      <c r="T76" s="495">
        <v>1</v>
      </c>
      <c r="U76" s="472">
        <v>1</v>
      </c>
    </row>
    <row r="77" spans="1:21" ht="14.4" customHeight="1" x14ac:dyDescent="0.3">
      <c r="A77" s="443">
        <v>29</v>
      </c>
      <c r="B77" s="444" t="s">
        <v>439</v>
      </c>
      <c r="C77" s="444">
        <v>89301292</v>
      </c>
      <c r="D77" s="493" t="s">
        <v>896</v>
      </c>
      <c r="E77" s="494" t="s">
        <v>566</v>
      </c>
      <c r="F77" s="444" t="s">
        <v>558</v>
      </c>
      <c r="G77" s="444" t="s">
        <v>724</v>
      </c>
      <c r="H77" s="444" t="s">
        <v>438</v>
      </c>
      <c r="I77" s="444" t="s">
        <v>725</v>
      </c>
      <c r="J77" s="444" t="s">
        <v>726</v>
      </c>
      <c r="K77" s="444" t="s">
        <v>727</v>
      </c>
      <c r="L77" s="445">
        <v>92.91</v>
      </c>
      <c r="M77" s="445">
        <v>92.91</v>
      </c>
      <c r="N77" s="444">
        <v>1</v>
      </c>
      <c r="O77" s="495">
        <v>0.5</v>
      </c>
      <c r="P77" s="445">
        <v>92.91</v>
      </c>
      <c r="Q77" s="471">
        <v>1</v>
      </c>
      <c r="R77" s="444">
        <v>1</v>
      </c>
      <c r="S77" s="471">
        <v>1</v>
      </c>
      <c r="T77" s="495">
        <v>0.5</v>
      </c>
      <c r="U77" s="472">
        <v>1</v>
      </c>
    </row>
    <row r="78" spans="1:21" ht="14.4" customHeight="1" x14ac:dyDescent="0.3">
      <c r="A78" s="443">
        <v>29</v>
      </c>
      <c r="B78" s="444" t="s">
        <v>439</v>
      </c>
      <c r="C78" s="444">
        <v>89301292</v>
      </c>
      <c r="D78" s="493" t="s">
        <v>896</v>
      </c>
      <c r="E78" s="494" t="s">
        <v>566</v>
      </c>
      <c r="F78" s="444" t="s">
        <v>558</v>
      </c>
      <c r="G78" s="444" t="s">
        <v>728</v>
      </c>
      <c r="H78" s="444" t="s">
        <v>438</v>
      </c>
      <c r="I78" s="444" t="s">
        <v>729</v>
      </c>
      <c r="J78" s="444" t="s">
        <v>730</v>
      </c>
      <c r="K78" s="444" t="s">
        <v>731</v>
      </c>
      <c r="L78" s="445">
        <v>51.44</v>
      </c>
      <c r="M78" s="445">
        <v>102.88</v>
      </c>
      <c r="N78" s="444">
        <v>2</v>
      </c>
      <c r="O78" s="495">
        <v>2</v>
      </c>
      <c r="P78" s="445">
        <v>51.44</v>
      </c>
      <c r="Q78" s="471">
        <v>0.5</v>
      </c>
      <c r="R78" s="444">
        <v>1</v>
      </c>
      <c r="S78" s="471">
        <v>0.5</v>
      </c>
      <c r="T78" s="495">
        <v>1</v>
      </c>
      <c r="U78" s="472">
        <v>0.5</v>
      </c>
    </row>
    <row r="79" spans="1:21" ht="14.4" customHeight="1" x14ac:dyDescent="0.3">
      <c r="A79" s="443">
        <v>29</v>
      </c>
      <c r="B79" s="444" t="s">
        <v>439</v>
      </c>
      <c r="C79" s="444">
        <v>89301292</v>
      </c>
      <c r="D79" s="493" t="s">
        <v>896</v>
      </c>
      <c r="E79" s="494" t="s">
        <v>566</v>
      </c>
      <c r="F79" s="444" t="s">
        <v>558</v>
      </c>
      <c r="G79" s="444" t="s">
        <v>728</v>
      </c>
      <c r="H79" s="444" t="s">
        <v>438</v>
      </c>
      <c r="I79" s="444" t="s">
        <v>732</v>
      </c>
      <c r="J79" s="444" t="s">
        <v>730</v>
      </c>
      <c r="K79" s="444" t="s">
        <v>733</v>
      </c>
      <c r="L79" s="445">
        <v>154.33000000000001</v>
      </c>
      <c r="M79" s="445">
        <v>308.66000000000003</v>
      </c>
      <c r="N79" s="444">
        <v>2</v>
      </c>
      <c r="O79" s="495">
        <v>2</v>
      </c>
      <c r="P79" s="445"/>
      <c r="Q79" s="471">
        <v>0</v>
      </c>
      <c r="R79" s="444"/>
      <c r="S79" s="471">
        <v>0</v>
      </c>
      <c r="T79" s="495"/>
      <c r="U79" s="472">
        <v>0</v>
      </c>
    </row>
    <row r="80" spans="1:21" ht="14.4" customHeight="1" x14ac:dyDescent="0.3">
      <c r="A80" s="443">
        <v>29</v>
      </c>
      <c r="B80" s="444" t="s">
        <v>439</v>
      </c>
      <c r="C80" s="444">
        <v>89301292</v>
      </c>
      <c r="D80" s="493" t="s">
        <v>896</v>
      </c>
      <c r="E80" s="494" t="s">
        <v>566</v>
      </c>
      <c r="F80" s="444" t="s">
        <v>559</v>
      </c>
      <c r="G80" s="444" t="s">
        <v>734</v>
      </c>
      <c r="H80" s="444" t="s">
        <v>438</v>
      </c>
      <c r="I80" s="444" t="s">
        <v>735</v>
      </c>
      <c r="J80" s="444" t="s">
        <v>736</v>
      </c>
      <c r="K80" s="444" t="s">
        <v>737</v>
      </c>
      <c r="L80" s="445">
        <v>0</v>
      </c>
      <c r="M80" s="445">
        <v>0</v>
      </c>
      <c r="N80" s="444">
        <v>1</v>
      </c>
      <c r="O80" s="495">
        <v>1</v>
      </c>
      <c r="P80" s="445"/>
      <c r="Q80" s="471"/>
      <c r="R80" s="444"/>
      <c r="S80" s="471">
        <v>0</v>
      </c>
      <c r="T80" s="495"/>
      <c r="U80" s="472">
        <v>0</v>
      </c>
    </row>
    <row r="81" spans="1:21" ht="14.4" customHeight="1" x14ac:dyDescent="0.3">
      <c r="A81" s="443">
        <v>29</v>
      </c>
      <c r="B81" s="444" t="s">
        <v>439</v>
      </c>
      <c r="C81" s="444">
        <v>89301292</v>
      </c>
      <c r="D81" s="493" t="s">
        <v>896</v>
      </c>
      <c r="E81" s="494" t="s">
        <v>566</v>
      </c>
      <c r="F81" s="444" t="s">
        <v>559</v>
      </c>
      <c r="G81" s="444" t="s">
        <v>634</v>
      </c>
      <c r="H81" s="444" t="s">
        <v>438</v>
      </c>
      <c r="I81" s="444" t="s">
        <v>688</v>
      </c>
      <c r="J81" s="444" t="s">
        <v>636</v>
      </c>
      <c r="K81" s="444" t="s">
        <v>689</v>
      </c>
      <c r="L81" s="445">
        <v>175.15</v>
      </c>
      <c r="M81" s="445">
        <v>350.3</v>
      </c>
      <c r="N81" s="444">
        <v>2</v>
      </c>
      <c r="O81" s="495">
        <v>1</v>
      </c>
      <c r="P81" s="445"/>
      <c r="Q81" s="471">
        <v>0</v>
      </c>
      <c r="R81" s="444"/>
      <c r="S81" s="471">
        <v>0</v>
      </c>
      <c r="T81" s="495"/>
      <c r="U81" s="472">
        <v>0</v>
      </c>
    </row>
    <row r="82" spans="1:21" ht="14.4" customHeight="1" x14ac:dyDescent="0.3">
      <c r="A82" s="443">
        <v>29</v>
      </c>
      <c r="B82" s="444" t="s">
        <v>439</v>
      </c>
      <c r="C82" s="444">
        <v>89301292</v>
      </c>
      <c r="D82" s="493" t="s">
        <v>896</v>
      </c>
      <c r="E82" s="494" t="s">
        <v>566</v>
      </c>
      <c r="F82" s="444" t="s">
        <v>559</v>
      </c>
      <c r="G82" s="444" t="s">
        <v>634</v>
      </c>
      <c r="H82" s="444" t="s">
        <v>438</v>
      </c>
      <c r="I82" s="444" t="s">
        <v>638</v>
      </c>
      <c r="J82" s="444" t="s">
        <v>636</v>
      </c>
      <c r="K82" s="444" t="s">
        <v>639</v>
      </c>
      <c r="L82" s="445">
        <v>200</v>
      </c>
      <c r="M82" s="445">
        <v>400</v>
      </c>
      <c r="N82" s="444">
        <v>2</v>
      </c>
      <c r="O82" s="495">
        <v>1</v>
      </c>
      <c r="P82" s="445">
        <v>400</v>
      </c>
      <c r="Q82" s="471">
        <v>1</v>
      </c>
      <c r="R82" s="444">
        <v>2</v>
      </c>
      <c r="S82" s="471">
        <v>1</v>
      </c>
      <c r="T82" s="495">
        <v>1</v>
      </c>
      <c r="U82" s="472">
        <v>1</v>
      </c>
    </row>
    <row r="83" spans="1:21" ht="14.4" customHeight="1" x14ac:dyDescent="0.3">
      <c r="A83" s="443">
        <v>29</v>
      </c>
      <c r="B83" s="444" t="s">
        <v>439</v>
      </c>
      <c r="C83" s="444">
        <v>89301292</v>
      </c>
      <c r="D83" s="493" t="s">
        <v>896</v>
      </c>
      <c r="E83" s="494" t="s">
        <v>566</v>
      </c>
      <c r="F83" s="444" t="s">
        <v>559</v>
      </c>
      <c r="G83" s="444" t="s">
        <v>634</v>
      </c>
      <c r="H83" s="444" t="s">
        <v>438</v>
      </c>
      <c r="I83" s="444" t="s">
        <v>640</v>
      </c>
      <c r="J83" s="444" t="s">
        <v>641</v>
      </c>
      <c r="K83" s="444" t="s">
        <v>642</v>
      </c>
      <c r="L83" s="445">
        <v>841.47</v>
      </c>
      <c r="M83" s="445">
        <v>3365.88</v>
      </c>
      <c r="N83" s="444">
        <v>4</v>
      </c>
      <c r="O83" s="495">
        <v>2</v>
      </c>
      <c r="P83" s="445">
        <v>1682.94</v>
      </c>
      <c r="Q83" s="471">
        <v>0.5</v>
      </c>
      <c r="R83" s="444">
        <v>2</v>
      </c>
      <c r="S83" s="471">
        <v>0.5</v>
      </c>
      <c r="T83" s="495">
        <v>1</v>
      </c>
      <c r="U83" s="472">
        <v>0.5</v>
      </c>
    </row>
    <row r="84" spans="1:21" ht="14.4" customHeight="1" x14ac:dyDescent="0.3">
      <c r="A84" s="443">
        <v>29</v>
      </c>
      <c r="B84" s="444" t="s">
        <v>439</v>
      </c>
      <c r="C84" s="444">
        <v>89301292</v>
      </c>
      <c r="D84" s="493" t="s">
        <v>896</v>
      </c>
      <c r="E84" s="494" t="s">
        <v>566</v>
      </c>
      <c r="F84" s="444" t="s">
        <v>559</v>
      </c>
      <c r="G84" s="444" t="s">
        <v>634</v>
      </c>
      <c r="H84" s="444" t="s">
        <v>438</v>
      </c>
      <c r="I84" s="444" t="s">
        <v>738</v>
      </c>
      <c r="J84" s="444" t="s">
        <v>641</v>
      </c>
      <c r="K84" s="444" t="s">
        <v>739</v>
      </c>
      <c r="L84" s="445">
        <v>886.35</v>
      </c>
      <c r="M84" s="445">
        <v>1772.7</v>
      </c>
      <c r="N84" s="444">
        <v>2</v>
      </c>
      <c r="O84" s="495">
        <v>1</v>
      </c>
      <c r="P84" s="445"/>
      <c r="Q84" s="471">
        <v>0</v>
      </c>
      <c r="R84" s="444"/>
      <c r="S84" s="471">
        <v>0</v>
      </c>
      <c r="T84" s="495"/>
      <c r="U84" s="472">
        <v>0</v>
      </c>
    </row>
    <row r="85" spans="1:21" ht="14.4" customHeight="1" x14ac:dyDescent="0.3">
      <c r="A85" s="443">
        <v>29</v>
      </c>
      <c r="B85" s="444" t="s">
        <v>439</v>
      </c>
      <c r="C85" s="444">
        <v>89301292</v>
      </c>
      <c r="D85" s="493" t="s">
        <v>896</v>
      </c>
      <c r="E85" s="494" t="s">
        <v>566</v>
      </c>
      <c r="F85" s="444" t="s">
        <v>559</v>
      </c>
      <c r="G85" s="444" t="s">
        <v>634</v>
      </c>
      <c r="H85" s="444" t="s">
        <v>438</v>
      </c>
      <c r="I85" s="444" t="s">
        <v>740</v>
      </c>
      <c r="J85" s="444" t="s">
        <v>741</v>
      </c>
      <c r="K85" s="444" t="s">
        <v>742</v>
      </c>
      <c r="L85" s="445">
        <v>1512.58</v>
      </c>
      <c r="M85" s="445">
        <v>1512.58</v>
      </c>
      <c r="N85" s="444">
        <v>1</v>
      </c>
      <c r="O85" s="495">
        <v>1</v>
      </c>
      <c r="P85" s="445"/>
      <c r="Q85" s="471">
        <v>0</v>
      </c>
      <c r="R85" s="444"/>
      <c r="S85" s="471">
        <v>0</v>
      </c>
      <c r="T85" s="495"/>
      <c r="U85" s="472">
        <v>0</v>
      </c>
    </row>
    <row r="86" spans="1:21" ht="14.4" customHeight="1" x14ac:dyDescent="0.3">
      <c r="A86" s="443">
        <v>29</v>
      </c>
      <c r="B86" s="444" t="s">
        <v>439</v>
      </c>
      <c r="C86" s="444">
        <v>89301292</v>
      </c>
      <c r="D86" s="493" t="s">
        <v>896</v>
      </c>
      <c r="E86" s="494" t="s">
        <v>566</v>
      </c>
      <c r="F86" s="444" t="s">
        <v>559</v>
      </c>
      <c r="G86" s="444" t="s">
        <v>650</v>
      </c>
      <c r="H86" s="444" t="s">
        <v>438</v>
      </c>
      <c r="I86" s="444" t="s">
        <v>743</v>
      </c>
      <c r="J86" s="444" t="s">
        <v>744</v>
      </c>
      <c r="K86" s="444" t="s">
        <v>745</v>
      </c>
      <c r="L86" s="445">
        <v>58.5</v>
      </c>
      <c r="M86" s="445">
        <v>58.5</v>
      </c>
      <c r="N86" s="444">
        <v>1</v>
      </c>
      <c r="O86" s="495">
        <v>1</v>
      </c>
      <c r="P86" s="445"/>
      <c r="Q86" s="471">
        <v>0</v>
      </c>
      <c r="R86" s="444"/>
      <c r="S86" s="471">
        <v>0</v>
      </c>
      <c r="T86" s="495"/>
      <c r="U86" s="472">
        <v>0</v>
      </c>
    </row>
    <row r="87" spans="1:21" ht="14.4" customHeight="1" x14ac:dyDescent="0.3">
      <c r="A87" s="443">
        <v>29</v>
      </c>
      <c r="B87" s="444" t="s">
        <v>439</v>
      </c>
      <c r="C87" s="444">
        <v>89301292</v>
      </c>
      <c r="D87" s="493" t="s">
        <v>896</v>
      </c>
      <c r="E87" s="494" t="s">
        <v>566</v>
      </c>
      <c r="F87" s="444" t="s">
        <v>559</v>
      </c>
      <c r="G87" s="444" t="s">
        <v>650</v>
      </c>
      <c r="H87" s="444" t="s">
        <v>438</v>
      </c>
      <c r="I87" s="444" t="s">
        <v>746</v>
      </c>
      <c r="J87" s="444" t="s">
        <v>744</v>
      </c>
      <c r="K87" s="444" t="s">
        <v>747</v>
      </c>
      <c r="L87" s="445">
        <v>58.5</v>
      </c>
      <c r="M87" s="445">
        <v>117</v>
      </c>
      <c r="N87" s="444">
        <v>2</v>
      </c>
      <c r="O87" s="495">
        <v>2</v>
      </c>
      <c r="P87" s="445">
        <v>58.5</v>
      </c>
      <c r="Q87" s="471">
        <v>0.5</v>
      </c>
      <c r="R87" s="444">
        <v>1</v>
      </c>
      <c r="S87" s="471">
        <v>0.5</v>
      </c>
      <c r="T87" s="495">
        <v>1</v>
      </c>
      <c r="U87" s="472">
        <v>0.5</v>
      </c>
    </row>
    <row r="88" spans="1:21" ht="14.4" customHeight="1" x14ac:dyDescent="0.3">
      <c r="A88" s="443">
        <v>29</v>
      </c>
      <c r="B88" s="444" t="s">
        <v>439</v>
      </c>
      <c r="C88" s="444">
        <v>89301292</v>
      </c>
      <c r="D88" s="493" t="s">
        <v>896</v>
      </c>
      <c r="E88" s="494" t="s">
        <v>567</v>
      </c>
      <c r="F88" s="444" t="s">
        <v>558</v>
      </c>
      <c r="G88" s="444" t="s">
        <v>571</v>
      </c>
      <c r="H88" s="444" t="s">
        <v>897</v>
      </c>
      <c r="I88" s="444" t="s">
        <v>572</v>
      </c>
      <c r="J88" s="444" t="s">
        <v>573</v>
      </c>
      <c r="K88" s="444" t="s">
        <v>574</v>
      </c>
      <c r="L88" s="445">
        <v>333.31</v>
      </c>
      <c r="M88" s="445">
        <v>2666.48</v>
      </c>
      <c r="N88" s="444">
        <v>8</v>
      </c>
      <c r="O88" s="495">
        <v>2</v>
      </c>
      <c r="P88" s="445">
        <v>1999.8600000000001</v>
      </c>
      <c r="Q88" s="471">
        <v>0.75</v>
      </c>
      <c r="R88" s="444">
        <v>6</v>
      </c>
      <c r="S88" s="471">
        <v>0.75</v>
      </c>
      <c r="T88" s="495">
        <v>1</v>
      </c>
      <c r="U88" s="472">
        <v>0.5</v>
      </c>
    </row>
    <row r="89" spans="1:21" ht="14.4" customHeight="1" x14ac:dyDescent="0.3">
      <c r="A89" s="443">
        <v>29</v>
      </c>
      <c r="B89" s="444" t="s">
        <v>439</v>
      </c>
      <c r="C89" s="444">
        <v>89301292</v>
      </c>
      <c r="D89" s="493" t="s">
        <v>896</v>
      </c>
      <c r="E89" s="494" t="s">
        <v>567</v>
      </c>
      <c r="F89" s="444" t="s">
        <v>558</v>
      </c>
      <c r="G89" s="444" t="s">
        <v>571</v>
      </c>
      <c r="H89" s="444" t="s">
        <v>897</v>
      </c>
      <c r="I89" s="444" t="s">
        <v>748</v>
      </c>
      <c r="J89" s="444" t="s">
        <v>749</v>
      </c>
      <c r="K89" s="444" t="s">
        <v>750</v>
      </c>
      <c r="L89" s="445">
        <v>333.31</v>
      </c>
      <c r="M89" s="445">
        <v>666.62</v>
      </c>
      <c r="N89" s="444">
        <v>2</v>
      </c>
      <c r="O89" s="495">
        <v>1</v>
      </c>
      <c r="P89" s="445"/>
      <c r="Q89" s="471">
        <v>0</v>
      </c>
      <c r="R89" s="444"/>
      <c r="S89" s="471">
        <v>0</v>
      </c>
      <c r="T89" s="495"/>
      <c r="U89" s="472">
        <v>0</v>
      </c>
    </row>
    <row r="90" spans="1:21" ht="14.4" customHeight="1" x14ac:dyDescent="0.3">
      <c r="A90" s="443">
        <v>29</v>
      </c>
      <c r="B90" s="444" t="s">
        <v>439</v>
      </c>
      <c r="C90" s="444">
        <v>89301292</v>
      </c>
      <c r="D90" s="493" t="s">
        <v>896</v>
      </c>
      <c r="E90" s="494" t="s">
        <v>567</v>
      </c>
      <c r="F90" s="444" t="s">
        <v>558</v>
      </c>
      <c r="G90" s="444" t="s">
        <v>751</v>
      </c>
      <c r="H90" s="444" t="s">
        <v>438</v>
      </c>
      <c r="I90" s="444" t="s">
        <v>752</v>
      </c>
      <c r="J90" s="444" t="s">
        <v>753</v>
      </c>
      <c r="K90" s="444" t="s">
        <v>754</v>
      </c>
      <c r="L90" s="445">
        <v>0</v>
      </c>
      <c r="M90" s="445">
        <v>0</v>
      </c>
      <c r="N90" s="444">
        <v>2</v>
      </c>
      <c r="O90" s="495">
        <v>0.5</v>
      </c>
      <c r="P90" s="445"/>
      <c r="Q90" s="471"/>
      <c r="R90" s="444"/>
      <c r="S90" s="471">
        <v>0</v>
      </c>
      <c r="T90" s="495"/>
      <c r="U90" s="472">
        <v>0</v>
      </c>
    </row>
    <row r="91" spans="1:21" ht="14.4" customHeight="1" x14ac:dyDescent="0.3">
      <c r="A91" s="443">
        <v>29</v>
      </c>
      <c r="B91" s="444" t="s">
        <v>439</v>
      </c>
      <c r="C91" s="444">
        <v>89301292</v>
      </c>
      <c r="D91" s="493" t="s">
        <v>896</v>
      </c>
      <c r="E91" s="494" t="s">
        <v>567</v>
      </c>
      <c r="F91" s="444" t="s">
        <v>558</v>
      </c>
      <c r="G91" s="444" t="s">
        <v>583</v>
      </c>
      <c r="H91" s="444" t="s">
        <v>438</v>
      </c>
      <c r="I91" s="444" t="s">
        <v>498</v>
      </c>
      <c r="J91" s="444" t="s">
        <v>499</v>
      </c>
      <c r="K91" s="444" t="s">
        <v>584</v>
      </c>
      <c r="L91" s="445">
        <v>50.27</v>
      </c>
      <c r="M91" s="445">
        <v>50.27</v>
      </c>
      <c r="N91" s="444">
        <v>1</v>
      </c>
      <c r="O91" s="495">
        <v>1</v>
      </c>
      <c r="P91" s="445">
        <v>50.27</v>
      </c>
      <c r="Q91" s="471">
        <v>1</v>
      </c>
      <c r="R91" s="444">
        <v>1</v>
      </c>
      <c r="S91" s="471">
        <v>1</v>
      </c>
      <c r="T91" s="495">
        <v>1</v>
      </c>
      <c r="U91" s="472">
        <v>1</v>
      </c>
    </row>
    <row r="92" spans="1:21" ht="14.4" customHeight="1" x14ac:dyDescent="0.3">
      <c r="A92" s="443">
        <v>29</v>
      </c>
      <c r="B92" s="444" t="s">
        <v>439</v>
      </c>
      <c r="C92" s="444">
        <v>89301292</v>
      </c>
      <c r="D92" s="493" t="s">
        <v>896</v>
      </c>
      <c r="E92" s="494" t="s">
        <v>567</v>
      </c>
      <c r="F92" s="444" t="s">
        <v>558</v>
      </c>
      <c r="G92" s="444" t="s">
        <v>583</v>
      </c>
      <c r="H92" s="444" t="s">
        <v>438</v>
      </c>
      <c r="I92" s="444" t="s">
        <v>755</v>
      </c>
      <c r="J92" s="444" t="s">
        <v>499</v>
      </c>
      <c r="K92" s="444" t="s">
        <v>756</v>
      </c>
      <c r="L92" s="445">
        <v>58.1</v>
      </c>
      <c r="M92" s="445">
        <v>58.1</v>
      </c>
      <c r="N92" s="444">
        <v>1</v>
      </c>
      <c r="O92" s="495">
        <v>1</v>
      </c>
      <c r="P92" s="445"/>
      <c r="Q92" s="471">
        <v>0</v>
      </c>
      <c r="R92" s="444"/>
      <c r="S92" s="471">
        <v>0</v>
      </c>
      <c r="T92" s="495"/>
      <c r="U92" s="472">
        <v>0</v>
      </c>
    </row>
    <row r="93" spans="1:21" ht="14.4" customHeight="1" x14ac:dyDescent="0.3">
      <c r="A93" s="443">
        <v>29</v>
      </c>
      <c r="B93" s="444" t="s">
        <v>439</v>
      </c>
      <c r="C93" s="444">
        <v>89301292</v>
      </c>
      <c r="D93" s="493" t="s">
        <v>896</v>
      </c>
      <c r="E93" s="494" t="s">
        <v>567</v>
      </c>
      <c r="F93" s="444" t="s">
        <v>558</v>
      </c>
      <c r="G93" s="444" t="s">
        <v>593</v>
      </c>
      <c r="H93" s="444" t="s">
        <v>438</v>
      </c>
      <c r="I93" s="444" t="s">
        <v>502</v>
      </c>
      <c r="J93" s="444" t="s">
        <v>503</v>
      </c>
      <c r="K93" s="444" t="s">
        <v>594</v>
      </c>
      <c r="L93" s="445">
        <v>38.65</v>
      </c>
      <c r="M93" s="445">
        <v>77.3</v>
      </c>
      <c r="N93" s="444">
        <v>2</v>
      </c>
      <c r="O93" s="495">
        <v>2</v>
      </c>
      <c r="P93" s="445">
        <v>38.65</v>
      </c>
      <c r="Q93" s="471">
        <v>0.5</v>
      </c>
      <c r="R93" s="444">
        <v>1</v>
      </c>
      <c r="S93" s="471">
        <v>0.5</v>
      </c>
      <c r="T93" s="495">
        <v>1</v>
      </c>
      <c r="U93" s="472">
        <v>0.5</v>
      </c>
    </row>
    <row r="94" spans="1:21" ht="14.4" customHeight="1" x14ac:dyDescent="0.3">
      <c r="A94" s="443">
        <v>29</v>
      </c>
      <c r="B94" s="444" t="s">
        <v>439</v>
      </c>
      <c r="C94" s="444">
        <v>89301292</v>
      </c>
      <c r="D94" s="493" t="s">
        <v>896</v>
      </c>
      <c r="E94" s="494" t="s">
        <v>567</v>
      </c>
      <c r="F94" s="444" t="s">
        <v>558</v>
      </c>
      <c r="G94" s="444" t="s">
        <v>673</v>
      </c>
      <c r="H94" s="444" t="s">
        <v>897</v>
      </c>
      <c r="I94" s="444" t="s">
        <v>674</v>
      </c>
      <c r="J94" s="444" t="s">
        <v>675</v>
      </c>
      <c r="K94" s="444" t="s">
        <v>676</v>
      </c>
      <c r="L94" s="445">
        <v>17.64</v>
      </c>
      <c r="M94" s="445">
        <v>52.92</v>
      </c>
      <c r="N94" s="444">
        <v>3</v>
      </c>
      <c r="O94" s="495">
        <v>3</v>
      </c>
      <c r="P94" s="445">
        <v>52.92</v>
      </c>
      <c r="Q94" s="471">
        <v>1</v>
      </c>
      <c r="R94" s="444">
        <v>3</v>
      </c>
      <c r="S94" s="471">
        <v>1</v>
      </c>
      <c r="T94" s="495">
        <v>3</v>
      </c>
      <c r="U94" s="472">
        <v>1</v>
      </c>
    </row>
    <row r="95" spans="1:21" ht="14.4" customHeight="1" x14ac:dyDescent="0.3">
      <c r="A95" s="443">
        <v>29</v>
      </c>
      <c r="B95" s="444" t="s">
        <v>439</v>
      </c>
      <c r="C95" s="444">
        <v>89301292</v>
      </c>
      <c r="D95" s="493" t="s">
        <v>896</v>
      </c>
      <c r="E95" s="494" t="s">
        <v>567</v>
      </c>
      <c r="F95" s="444" t="s">
        <v>558</v>
      </c>
      <c r="G95" s="444" t="s">
        <v>757</v>
      </c>
      <c r="H95" s="444" t="s">
        <v>438</v>
      </c>
      <c r="I95" s="444" t="s">
        <v>758</v>
      </c>
      <c r="J95" s="444" t="s">
        <v>759</v>
      </c>
      <c r="K95" s="444" t="s">
        <v>760</v>
      </c>
      <c r="L95" s="445">
        <v>96.63</v>
      </c>
      <c r="M95" s="445">
        <v>289.89</v>
      </c>
      <c r="N95" s="444">
        <v>3</v>
      </c>
      <c r="O95" s="495">
        <v>1.5</v>
      </c>
      <c r="P95" s="445"/>
      <c r="Q95" s="471">
        <v>0</v>
      </c>
      <c r="R95" s="444"/>
      <c r="S95" s="471">
        <v>0</v>
      </c>
      <c r="T95" s="495"/>
      <c r="U95" s="472">
        <v>0</v>
      </c>
    </row>
    <row r="96" spans="1:21" ht="14.4" customHeight="1" x14ac:dyDescent="0.3">
      <c r="A96" s="443">
        <v>29</v>
      </c>
      <c r="B96" s="444" t="s">
        <v>439</v>
      </c>
      <c r="C96" s="444">
        <v>89301292</v>
      </c>
      <c r="D96" s="493" t="s">
        <v>896</v>
      </c>
      <c r="E96" s="494" t="s">
        <v>567</v>
      </c>
      <c r="F96" s="444" t="s">
        <v>558</v>
      </c>
      <c r="G96" s="444" t="s">
        <v>761</v>
      </c>
      <c r="H96" s="444" t="s">
        <v>438</v>
      </c>
      <c r="I96" s="444" t="s">
        <v>762</v>
      </c>
      <c r="J96" s="444" t="s">
        <v>763</v>
      </c>
      <c r="K96" s="444" t="s">
        <v>764</v>
      </c>
      <c r="L96" s="445">
        <v>52.32</v>
      </c>
      <c r="M96" s="445">
        <v>52.32</v>
      </c>
      <c r="N96" s="444">
        <v>1</v>
      </c>
      <c r="O96" s="495">
        <v>0.5</v>
      </c>
      <c r="P96" s="445"/>
      <c r="Q96" s="471">
        <v>0</v>
      </c>
      <c r="R96" s="444"/>
      <c r="S96" s="471">
        <v>0</v>
      </c>
      <c r="T96" s="495"/>
      <c r="U96" s="472">
        <v>0</v>
      </c>
    </row>
    <row r="97" spans="1:21" ht="14.4" customHeight="1" x14ac:dyDescent="0.3">
      <c r="A97" s="443">
        <v>29</v>
      </c>
      <c r="B97" s="444" t="s">
        <v>439</v>
      </c>
      <c r="C97" s="444">
        <v>89301292</v>
      </c>
      <c r="D97" s="493" t="s">
        <v>896</v>
      </c>
      <c r="E97" s="494" t="s">
        <v>567</v>
      </c>
      <c r="F97" s="444" t="s">
        <v>558</v>
      </c>
      <c r="G97" s="444" t="s">
        <v>765</v>
      </c>
      <c r="H97" s="444" t="s">
        <v>897</v>
      </c>
      <c r="I97" s="444" t="s">
        <v>766</v>
      </c>
      <c r="J97" s="444" t="s">
        <v>767</v>
      </c>
      <c r="K97" s="444" t="s">
        <v>768</v>
      </c>
      <c r="L97" s="445">
        <v>94.8</v>
      </c>
      <c r="M97" s="445">
        <v>94.8</v>
      </c>
      <c r="N97" s="444">
        <v>1</v>
      </c>
      <c r="O97" s="495">
        <v>0.5</v>
      </c>
      <c r="P97" s="445"/>
      <c r="Q97" s="471">
        <v>0</v>
      </c>
      <c r="R97" s="444"/>
      <c r="S97" s="471">
        <v>0</v>
      </c>
      <c r="T97" s="495"/>
      <c r="U97" s="472">
        <v>0</v>
      </c>
    </row>
    <row r="98" spans="1:21" ht="14.4" customHeight="1" x14ac:dyDescent="0.3">
      <c r="A98" s="443">
        <v>29</v>
      </c>
      <c r="B98" s="444" t="s">
        <v>439</v>
      </c>
      <c r="C98" s="444">
        <v>89301292</v>
      </c>
      <c r="D98" s="493" t="s">
        <v>896</v>
      </c>
      <c r="E98" s="494" t="s">
        <v>567</v>
      </c>
      <c r="F98" s="444" t="s">
        <v>558</v>
      </c>
      <c r="G98" s="444" t="s">
        <v>620</v>
      </c>
      <c r="H98" s="444" t="s">
        <v>438</v>
      </c>
      <c r="I98" s="444" t="s">
        <v>510</v>
      </c>
      <c r="J98" s="444" t="s">
        <v>511</v>
      </c>
      <c r="K98" s="444" t="s">
        <v>621</v>
      </c>
      <c r="L98" s="445">
        <v>314.69</v>
      </c>
      <c r="M98" s="445">
        <v>2202.83</v>
      </c>
      <c r="N98" s="444">
        <v>7</v>
      </c>
      <c r="O98" s="495">
        <v>6</v>
      </c>
      <c r="P98" s="445">
        <v>1888.14</v>
      </c>
      <c r="Q98" s="471">
        <v>0.85714285714285721</v>
      </c>
      <c r="R98" s="444">
        <v>6</v>
      </c>
      <c r="S98" s="471">
        <v>0.8571428571428571</v>
      </c>
      <c r="T98" s="495">
        <v>5</v>
      </c>
      <c r="U98" s="472">
        <v>0.83333333333333337</v>
      </c>
    </row>
    <row r="99" spans="1:21" ht="14.4" customHeight="1" x14ac:dyDescent="0.3">
      <c r="A99" s="443">
        <v>29</v>
      </c>
      <c r="B99" s="444" t="s">
        <v>439</v>
      </c>
      <c r="C99" s="444">
        <v>89301292</v>
      </c>
      <c r="D99" s="493" t="s">
        <v>896</v>
      </c>
      <c r="E99" s="494" t="s">
        <v>567</v>
      </c>
      <c r="F99" s="444" t="s">
        <v>559</v>
      </c>
      <c r="G99" s="444" t="s">
        <v>630</v>
      </c>
      <c r="H99" s="444" t="s">
        <v>438</v>
      </c>
      <c r="I99" s="444" t="s">
        <v>631</v>
      </c>
      <c r="J99" s="444" t="s">
        <v>632</v>
      </c>
      <c r="K99" s="444" t="s">
        <v>633</v>
      </c>
      <c r="L99" s="445">
        <v>410</v>
      </c>
      <c r="M99" s="445">
        <v>4100</v>
      </c>
      <c r="N99" s="444">
        <v>10</v>
      </c>
      <c r="O99" s="495">
        <v>5</v>
      </c>
      <c r="P99" s="445">
        <v>3280</v>
      </c>
      <c r="Q99" s="471">
        <v>0.8</v>
      </c>
      <c r="R99" s="444">
        <v>8</v>
      </c>
      <c r="S99" s="471">
        <v>0.8</v>
      </c>
      <c r="T99" s="495">
        <v>4</v>
      </c>
      <c r="U99" s="472">
        <v>0.8</v>
      </c>
    </row>
    <row r="100" spans="1:21" ht="14.4" customHeight="1" x14ac:dyDescent="0.3">
      <c r="A100" s="443">
        <v>29</v>
      </c>
      <c r="B100" s="444" t="s">
        <v>439</v>
      </c>
      <c r="C100" s="444">
        <v>89301292</v>
      </c>
      <c r="D100" s="493" t="s">
        <v>896</v>
      </c>
      <c r="E100" s="494" t="s">
        <v>567</v>
      </c>
      <c r="F100" s="444" t="s">
        <v>559</v>
      </c>
      <c r="G100" s="444" t="s">
        <v>634</v>
      </c>
      <c r="H100" s="444" t="s">
        <v>438</v>
      </c>
      <c r="I100" s="444" t="s">
        <v>769</v>
      </c>
      <c r="J100" s="444" t="s">
        <v>770</v>
      </c>
      <c r="K100" s="444" t="s">
        <v>771</v>
      </c>
      <c r="L100" s="445">
        <v>144.05000000000001</v>
      </c>
      <c r="M100" s="445">
        <v>144.05000000000001</v>
      </c>
      <c r="N100" s="444">
        <v>1</v>
      </c>
      <c r="O100" s="495">
        <v>1</v>
      </c>
      <c r="P100" s="445">
        <v>144.05000000000001</v>
      </c>
      <c r="Q100" s="471">
        <v>1</v>
      </c>
      <c r="R100" s="444">
        <v>1</v>
      </c>
      <c r="S100" s="471">
        <v>1</v>
      </c>
      <c r="T100" s="495">
        <v>1</v>
      </c>
      <c r="U100" s="472">
        <v>1</v>
      </c>
    </row>
    <row r="101" spans="1:21" ht="14.4" customHeight="1" x14ac:dyDescent="0.3">
      <c r="A101" s="443">
        <v>29</v>
      </c>
      <c r="B101" s="444" t="s">
        <v>439</v>
      </c>
      <c r="C101" s="444">
        <v>89301292</v>
      </c>
      <c r="D101" s="493" t="s">
        <v>896</v>
      </c>
      <c r="E101" s="494" t="s">
        <v>567</v>
      </c>
      <c r="F101" s="444" t="s">
        <v>559</v>
      </c>
      <c r="G101" s="444" t="s">
        <v>634</v>
      </c>
      <c r="H101" s="444" t="s">
        <v>438</v>
      </c>
      <c r="I101" s="444" t="s">
        <v>635</v>
      </c>
      <c r="J101" s="444" t="s">
        <v>636</v>
      </c>
      <c r="K101" s="444" t="s">
        <v>637</v>
      </c>
      <c r="L101" s="445">
        <v>133.69</v>
      </c>
      <c r="M101" s="445">
        <v>267.38</v>
      </c>
      <c r="N101" s="444">
        <v>2</v>
      </c>
      <c r="O101" s="495">
        <v>2</v>
      </c>
      <c r="P101" s="445">
        <v>267.38</v>
      </c>
      <c r="Q101" s="471">
        <v>1</v>
      </c>
      <c r="R101" s="444">
        <v>2</v>
      </c>
      <c r="S101" s="471">
        <v>1</v>
      </c>
      <c r="T101" s="495">
        <v>2</v>
      </c>
      <c r="U101" s="472">
        <v>1</v>
      </c>
    </row>
    <row r="102" spans="1:21" ht="14.4" customHeight="1" x14ac:dyDescent="0.3">
      <c r="A102" s="443">
        <v>29</v>
      </c>
      <c r="B102" s="444" t="s">
        <v>439</v>
      </c>
      <c r="C102" s="444">
        <v>89301292</v>
      </c>
      <c r="D102" s="493" t="s">
        <v>896</v>
      </c>
      <c r="E102" s="494" t="s">
        <v>567</v>
      </c>
      <c r="F102" s="444" t="s">
        <v>559</v>
      </c>
      <c r="G102" s="444" t="s">
        <v>634</v>
      </c>
      <c r="H102" s="444" t="s">
        <v>438</v>
      </c>
      <c r="I102" s="444" t="s">
        <v>638</v>
      </c>
      <c r="J102" s="444" t="s">
        <v>636</v>
      </c>
      <c r="K102" s="444" t="s">
        <v>639</v>
      </c>
      <c r="L102" s="445">
        <v>200</v>
      </c>
      <c r="M102" s="445">
        <v>200</v>
      </c>
      <c r="N102" s="444">
        <v>1</v>
      </c>
      <c r="O102" s="495">
        <v>1</v>
      </c>
      <c r="P102" s="445">
        <v>200</v>
      </c>
      <c r="Q102" s="471">
        <v>1</v>
      </c>
      <c r="R102" s="444">
        <v>1</v>
      </c>
      <c r="S102" s="471">
        <v>1</v>
      </c>
      <c r="T102" s="495">
        <v>1</v>
      </c>
      <c r="U102" s="472">
        <v>1</v>
      </c>
    </row>
    <row r="103" spans="1:21" ht="14.4" customHeight="1" x14ac:dyDescent="0.3">
      <c r="A103" s="443">
        <v>29</v>
      </c>
      <c r="B103" s="444" t="s">
        <v>439</v>
      </c>
      <c r="C103" s="444">
        <v>89301292</v>
      </c>
      <c r="D103" s="493" t="s">
        <v>896</v>
      </c>
      <c r="E103" s="494" t="s">
        <v>567</v>
      </c>
      <c r="F103" s="444" t="s">
        <v>559</v>
      </c>
      <c r="G103" s="444" t="s">
        <v>634</v>
      </c>
      <c r="H103" s="444" t="s">
        <v>438</v>
      </c>
      <c r="I103" s="444" t="s">
        <v>772</v>
      </c>
      <c r="J103" s="444" t="s">
        <v>644</v>
      </c>
      <c r="K103" s="444" t="s">
        <v>773</v>
      </c>
      <c r="L103" s="445">
        <v>106</v>
      </c>
      <c r="M103" s="445">
        <v>106</v>
      </c>
      <c r="N103" s="444">
        <v>1</v>
      </c>
      <c r="O103" s="495">
        <v>1</v>
      </c>
      <c r="P103" s="445"/>
      <c r="Q103" s="471">
        <v>0</v>
      </c>
      <c r="R103" s="444"/>
      <c r="S103" s="471">
        <v>0</v>
      </c>
      <c r="T103" s="495"/>
      <c r="U103" s="472">
        <v>0</v>
      </c>
    </row>
    <row r="104" spans="1:21" ht="14.4" customHeight="1" x14ac:dyDescent="0.3">
      <c r="A104" s="443">
        <v>29</v>
      </c>
      <c r="B104" s="444" t="s">
        <v>439</v>
      </c>
      <c r="C104" s="444">
        <v>89301292</v>
      </c>
      <c r="D104" s="493" t="s">
        <v>896</v>
      </c>
      <c r="E104" s="494" t="s">
        <v>567</v>
      </c>
      <c r="F104" s="444" t="s">
        <v>559</v>
      </c>
      <c r="G104" s="444" t="s">
        <v>650</v>
      </c>
      <c r="H104" s="444" t="s">
        <v>438</v>
      </c>
      <c r="I104" s="444" t="s">
        <v>774</v>
      </c>
      <c r="J104" s="444" t="s">
        <v>775</v>
      </c>
      <c r="K104" s="444" t="s">
        <v>776</v>
      </c>
      <c r="L104" s="445">
        <v>250</v>
      </c>
      <c r="M104" s="445">
        <v>250</v>
      </c>
      <c r="N104" s="444">
        <v>1</v>
      </c>
      <c r="O104" s="495">
        <v>1</v>
      </c>
      <c r="P104" s="445">
        <v>250</v>
      </c>
      <c r="Q104" s="471">
        <v>1</v>
      </c>
      <c r="R104" s="444">
        <v>1</v>
      </c>
      <c r="S104" s="471">
        <v>1</v>
      </c>
      <c r="T104" s="495">
        <v>1</v>
      </c>
      <c r="U104" s="472">
        <v>1</v>
      </c>
    </row>
    <row r="105" spans="1:21" ht="14.4" customHeight="1" x14ac:dyDescent="0.3">
      <c r="A105" s="443">
        <v>29</v>
      </c>
      <c r="B105" s="444" t="s">
        <v>439</v>
      </c>
      <c r="C105" s="444">
        <v>89301292</v>
      </c>
      <c r="D105" s="493" t="s">
        <v>896</v>
      </c>
      <c r="E105" s="494" t="s">
        <v>567</v>
      </c>
      <c r="F105" s="444" t="s">
        <v>559</v>
      </c>
      <c r="G105" s="444" t="s">
        <v>650</v>
      </c>
      <c r="H105" s="444" t="s">
        <v>438</v>
      </c>
      <c r="I105" s="444" t="s">
        <v>777</v>
      </c>
      <c r="J105" s="444" t="s">
        <v>778</v>
      </c>
      <c r="K105" s="444" t="s">
        <v>779</v>
      </c>
      <c r="L105" s="445">
        <v>350</v>
      </c>
      <c r="M105" s="445">
        <v>350</v>
      </c>
      <c r="N105" s="444">
        <v>1</v>
      </c>
      <c r="O105" s="495">
        <v>1</v>
      </c>
      <c r="P105" s="445"/>
      <c r="Q105" s="471">
        <v>0</v>
      </c>
      <c r="R105" s="444"/>
      <c r="S105" s="471">
        <v>0</v>
      </c>
      <c r="T105" s="495"/>
      <c r="U105" s="472">
        <v>0</v>
      </c>
    </row>
    <row r="106" spans="1:21" ht="14.4" customHeight="1" x14ac:dyDescent="0.3">
      <c r="A106" s="443">
        <v>29</v>
      </c>
      <c r="B106" s="444" t="s">
        <v>439</v>
      </c>
      <c r="C106" s="444">
        <v>89301292</v>
      </c>
      <c r="D106" s="493" t="s">
        <v>896</v>
      </c>
      <c r="E106" s="494" t="s">
        <v>568</v>
      </c>
      <c r="F106" s="444" t="s">
        <v>558</v>
      </c>
      <c r="G106" s="444" t="s">
        <v>780</v>
      </c>
      <c r="H106" s="444" t="s">
        <v>438</v>
      </c>
      <c r="I106" s="444" t="s">
        <v>781</v>
      </c>
      <c r="J106" s="444" t="s">
        <v>522</v>
      </c>
      <c r="K106" s="444" t="s">
        <v>782</v>
      </c>
      <c r="L106" s="445">
        <v>35.380000000000003</v>
      </c>
      <c r="M106" s="445">
        <v>35.380000000000003</v>
      </c>
      <c r="N106" s="444">
        <v>1</v>
      </c>
      <c r="O106" s="495">
        <v>0.5</v>
      </c>
      <c r="P106" s="445"/>
      <c r="Q106" s="471">
        <v>0</v>
      </c>
      <c r="R106" s="444"/>
      <c r="S106" s="471">
        <v>0</v>
      </c>
      <c r="T106" s="495"/>
      <c r="U106" s="472">
        <v>0</v>
      </c>
    </row>
    <row r="107" spans="1:21" ht="14.4" customHeight="1" x14ac:dyDescent="0.3">
      <c r="A107" s="443">
        <v>29</v>
      </c>
      <c r="B107" s="444" t="s">
        <v>439</v>
      </c>
      <c r="C107" s="444">
        <v>89301292</v>
      </c>
      <c r="D107" s="493" t="s">
        <v>896</v>
      </c>
      <c r="E107" s="494" t="s">
        <v>568</v>
      </c>
      <c r="F107" s="444" t="s">
        <v>558</v>
      </c>
      <c r="G107" s="444" t="s">
        <v>571</v>
      </c>
      <c r="H107" s="444" t="s">
        <v>897</v>
      </c>
      <c r="I107" s="444" t="s">
        <v>783</v>
      </c>
      <c r="J107" s="444" t="s">
        <v>784</v>
      </c>
      <c r="K107" s="444" t="s">
        <v>785</v>
      </c>
      <c r="L107" s="445">
        <v>333.31</v>
      </c>
      <c r="M107" s="445">
        <v>333.31</v>
      </c>
      <c r="N107" s="444">
        <v>1</v>
      </c>
      <c r="O107" s="495">
        <v>1</v>
      </c>
      <c r="P107" s="445"/>
      <c r="Q107" s="471">
        <v>0</v>
      </c>
      <c r="R107" s="444"/>
      <c r="S107" s="471">
        <v>0</v>
      </c>
      <c r="T107" s="495"/>
      <c r="U107" s="472">
        <v>0</v>
      </c>
    </row>
    <row r="108" spans="1:21" ht="14.4" customHeight="1" x14ac:dyDescent="0.3">
      <c r="A108" s="443">
        <v>29</v>
      </c>
      <c r="B108" s="444" t="s">
        <v>439</v>
      </c>
      <c r="C108" s="444">
        <v>89301292</v>
      </c>
      <c r="D108" s="493" t="s">
        <v>896</v>
      </c>
      <c r="E108" s="494" t="s">
        <v>568</v>
      </c>
      <c r="F108" s="444" t="s">
        <v>558</v>
      </c>
      <c r="G108" s="444" t="s">
        <v>571</v>
      </c>
      <c r="H108" s="444" t="s">
        <v>897</v>
      </c>
      <c r="I108" s="444" t="s">
        <v>748</v>
      </c>
      <c r="J108" s="444" t="s">
        <v>749</v>
      </c>
      <c r="K108" s="444" t="s">
        <v>750</v>
      </c>
      <c r="L108" s="445">
        <v>333.31</v>
      </c>
      <c r="M108" s="445">
        <v>333.31</v>
      </c>
      <c r="N108" s="444">
        <v>1</v>
      </c>
      <c r="O108" s="495">
        <v>1</v>
      </c>
      <c r="P108" s="445"/>
      <c r="Q108" s="471">
        <v>0</v>
      </c>
      <c r="R108" s="444"/>
      <c r="S108" s="471">
        <v>0</v>
      </c>
      <c r="T108" s="495"/>
      <c r="U108" s="472">
        <v>0</v>
      </c>
    </row>
    <row r="109" spans="1:21" ht="14.4" customHeight="1" x14ac:dyDescent="0.3">
      <c r="A109" s="443">
        <v>29</v>
      </c>
      <c r="B109" s="444" t="s">
        <v>439</v>
      </c>
      <c r="C109" s="444">
        <v>89301292</v>
      </c>
      <c r="D109" s="493" t="s">
        <v>896</v>
      </c>
      <c r="E109" s="494" t="s">
        <v>568</v>
      </c>
      <c r="F109" s="444" t="s">
        <v>558</v>
      </c>
      <c r="G109" s="444" t="s">
        <v>786</v>
      </c>
      <c r="H109" s="444" t="s">
        <v>438</v>
      </c>
      <c r="I109" s="444" t="s">
        <v>787</v>
      </c>
      <c r="J109" s="444" t="s">
        <v>481</v>
      </c>
      <c r="K109" s="444" t="s">
        <v>788</v>
      </c>
      <c r="L109" s="445">
        <v>44.1</v>
      </c>
      <c r="M109" s="445">
        <v>88.2</v>
      </c>
      <c r="N109" s="444">
        <v>2</v>
      </c>
      <c r="O109" s="495">
        <v>2</v>
      </c>
      <c r="P109" s="445">
        <v>44.1</v>
      </c>
      <c r="Q109" s="471">
        <v>0.5</v>
      </c>
      <c r="R109" s="444">
        <v>1</v>
      </c>
      <c r="S109" s="471">
        <v>0.5</v>
      </c>
      <c r="T109" s="495">
        <v>1</v>
      </c>
      <c r="U109" s="472">
        <v>0.5</v>
      </c>
    </row>
    <row r="110" spans="1:21" ht="14.4" customHeight="1" x14ac:dyDescent="0.3">
      <c r="A110" s="443">
        <v>29</v>
      </c>
      <c r="B110" s="444" t="s">
        <v>439</v>
      </c>
      <c r="C110" s="444">
        <v>89301292</v>
      </c>
      <c r="D110" s="493" t="s">
        <v>896</v>
      </c>
      <c r="E110" s="494" t="s">
        <v>568</v>
      </c>
      <c r="F110" s="444" t="s">
        <v>558</v>
      </c>
      <c r="G110" s="444" t="s">
        <v>789</v>
      </c>
      <c r="H110" s="444" t="s">
        <v>438</v>
      </c>
      <c r="I110" s="444" t="s">
        <v>790</v>
      </c>
      <c r="J110" s="444" t="s">
        <v>791</v>
      </c>
      <c r="K110" s="444" t="s">
        <v>792</v>
      </c>
      <c r="L110" s="445">
        <v>83.09</v>
      </c>
      <c r="M110" s="445">
        <v>83.09</v>
      </c>
      <c r="N110" s="444">
        <v>1</v>
      </c>
      <c r="O110" s="495">
        <v>1</v>
      </c>
      <c r="P110" s="445">
        <v>83.09</v>
      </c>
      <c r="Q110" s="471">
        <v>1</v>
      </c>
      <c r="R110" s="444">
        <v>1</v>
      </c>
      <c r="S110" s="471">
        <v>1</v>
      </c>
      <c r="T110" s="495">
        <v>1</v>
      </c>
      <c r="U110" s="472">
        <v>1</v>
      </c>
    </row>
    <row r="111" spans="1:21" ht="14.4" customHeight="1" x14ac:dyDescent="0.3">
      <c r="A111" s="443">
        <v>29</v>
      </c>
      <c r="B111" s="444" t="s">
        <v>439</v>
      </c>
      <c r="C111" s="444">
        <v>89301292</v>
      </c>
      <c r="D111" s="493" t="s">
        <v>896</v>
      </c>
      <c r="E111" s="494" t="s">
        <v>568</v>
      </c>
      <c r="F111" s="444" t="s">
        <v>558</v>
      </c>
      <c r="G111" s="444" t="s">
        <v>793</v>
      </c>
      <c r="H111" s="444" t="s">
        <v>438</v>
      </c>
      <c r="I111" s="444" t="s">
        <v>794</v>
      </c>
      <c r="J111" s="444" t="s">
        <v>795</v>
      </c>
      <c r="K111" s="444" t="s">
        <v>796</v>
      </c>
      <c r="L111" s="445">
        <v>3.78</v>
      </c>
      <c r="M111" s="445">
        <v>18.899999999999999</v>
      </c>
      <c r="N111" s="444">
        <v>5</v>
      </c>
      <c r="O111" s="495">
        <v>1</v>
      </c>
      <c r="P111" s="445"/>
      <c r="Q111" s="471">
        <v>0</v>
      </c>
      <c r="R111" s="444"/>
      <c r="S111" s="471">
        <v>0</v>
      </c>
      <c r="T111" s="495"/>
      <c r="U111" s="472">
        <v>0</v>
      </c>
    </row>
    <row r="112" spans="1:21" ht="14.4" customHeight="1" x14ac:dyDescent="0.3">
      <c r="A112" s="443">
        <v>29</v>
      </c>
      <c r="B112" s="444" t="s">
        <v>439</v>
      </c>
      <c r="C112" s="444">
        <v>89301292</v>
      </c>
      <c r="D112" s="493" t="s">
        <v>896</v>
      </c>
      <c r="E112" s="494" t="s">
        <v>568</v>
      </c>
      <c r="F112" s="444" t="s">
        <v>558</v>
      </c>
      <c r="G112" s="444" t="s">
        <v>797</v>
      </c>
      <c r="H112" s="444" t="s">
        <v>438</v>
      </c>
      <c r="I112" s="444" t="s">
        <v>798</v>
      </c>
      <c r="J112" s="444" t="s">
        <v>799</v>
      </c>
      <c r="K112" s="444" t="s">
        <v>800</v>
      </c>
      <c r="L112" s="445">
        <v>163.9</v>
      </c>
      <c r="M112" s="445">
        <v>327.8</v>
      </c>
      <c r="N112" s="444">
        <v>2</v>
      </c>
      <c r="O112" s="495">
        <v>1</v>
      </c>
      <c r="P112" s="445">
        <v>327.8</v>
      </c>
      <c r="Q112" s="471">
        <v>1</v>
      </c>
      <c r="R112" s="444">
        <v>2</v>
      </c>
      <c r="S112" s="471">
        <v>1</v>
      </c>
      <c r="T112" s="495">
        <v>1</v>
      </c>
      <c r="U112" s="472">
        <v>1</v>
      </c>
    </row>
    <row r="113" spans="1:21" ht="14.4" customHeight="1" x14ac:dyDescent="0.3">
      <c r="A113" s="443">
        <v>29</v>
      </c>
      <c r="B113" s="444" t="s">
        <v>439</v>
      </c>
      <c r="C113" s="444">
        <v>89301292</v>
      </c>
      <c r="D113" s="493" t="s">
        <v>896</v>
      </c>
      <c r="E113" s="494" t="s">
        <v>568</v>
      </c>
      <c r="F113" s="444" t="s">
        <v>558</v>
      </c>
      <c r="G113" s="444" t="s">
        <v>583</v>
      </c>
      <c r="H113" s="444" t="s">
        <v>438</v>
      </c>
      <c r="I113" s="444" t="s">
        <v>498</v>
      </c>
      <c r="J113" s="444" t="s">
        <v>499</v>
      </c>
      <c r="K113" s="444" t="s">
        <v>584</v>
      </c>
      <c r="L113" s="445">
        <v>50.27</v>
      </c>
      <c r="M113" s="445">
        <v>301.62</v>
      </c>
      <c r="N113" s="444">
        <v>6</v>
      </c>
      <c r="O113" s="495">
        <v>4</v>
      </c>
      <c r="P113" s="445">
        <v>150.81</v>
      </c>
      <c r="Q113" s="471">
        <v>0.5</v>
      </c>
      <c r="R113" s="444">
        <v>3</v>
      </c>
      <c r="S113" s="471">
        <v>0.5</v>
      </c>
      <c r="T113" s="495">
        <v>2</v>
      </c>
      <c r="U113" s="472">
        <v>0.5</v>
      </c>
    </row>
    <row r="114" spans="1:21" ht="14.4" customHeight="1" x14ac:dyDescent="0.3">
      <c r="A114" s="443">
        <v>29</v>
      </c>
      <c r="B114" s="444" t="s">
        <v>439</v>
      </c>
      <c r="C114" s="444">
        <v>89301292</v>
      </c>
      <c r="D114" s="493" t="s">
        <v>896</v>
      </c>
      <c r="E114" s="494" t="s">
        <v>568</v>
      </c>
      <c r="F114" s="444" t="s">
        <v>558</v>
      </c>
      <c r="G114" s="444" t="s">
        <v>585</v>
      </c>
      <c r="H114" s="444" t="s">
        <v>438</v>
      </c>
      <c r="I114" s="444" t="s">
        <v>801</v>
      </c>
      <c r="J114" s="444" t="s">
        <v>475</v>
      </c>
      <c r="K114" s="444" t="s">
        <v>802</v>
      </c>
      <c r="L114" s="445">
        <v>120.6</v>
      </c>
      <c r="M114" s="445">
        <v>120.6</v>
      </c>
      <c r="N114" s="444">
        <v>1</v>
      </c>
      <c r="O114" s="495">
        <v>1</v>
      </c>
      <c r="P114" s="445">
        <v>120.6</v>
      </c>
      <c r="Q114" s="471">
        <v>1</v>
      </c>
      <c r="R114" s="444">
        <v>1</v>
      </c>
      <c r="S114" s="471">
        <v>1</v>
      </c>
      <c r="T114" s="495">
        <v>1</v>
      </c>
      <c r="U114" s="472">
        <v>1</v>
      </c>
    </row>
    <row r="115" spans="1:21" ht="14.4" customHeight="1" x14ac:dyDescent="0.3">
      <c r="A115" s="443">
        <v>29</v>
      </c>
      <c r="B115" s="444" t="s">
        <v>439</v>
      </c>
      <c r="C115" s="444">
        <v>89301292</v>
      </c>
      <c r="D115" s="493" t="s">
        <v>896</v>
      </c>
      <c r="E115" s="494" t="s">
        <v>568</v>
      </c>
      <c r="F115" s="444" t="s">
        <v>558</v>
      </c>
      <c r="G115" s="444" t="s">
        <v>593</v>
      </c>
      <c r="H115" s="444" t="s">
        <v>438</v>
      </c>
      <c r="I115" s="444" t="s">
        <v>502</v>
      </c>
      <c r="J115" s="444" t="s">
        <v>503</v>
      </c>
      <c r="K115" s="444" t="s">
        <v>594</v>
      </c>
      <c r="L115" s="445">
        <v>38.65</v>
      </c>
      <c r="M115" s="445">
        <v>38.65</v>
      </c>
      <c r="N115" s="444">
        <v>1</v>
      </c>
      <c r="O115" s="495">
        <v>1</v>
      </c>
      <c r="P115" s="445"/>
      <c r="Q115" s="471">
        <v>0</v>
      </c>
      <c r="R115" s="444"/>
      <c r="S115" s="471">
        <v>0</v>
      </c>
      <c r="T115" s="495"/>
      <c r="U115" s="472">
        <v>0</v>
      </c>
    </row>
    <row r="116" spans="1:21" ht="14.4" customHeight="1" x14ac:dyDescent="0.3">
      <c r="A116" s="443">
        <v>29</v>
      </c>
      <c r="B116" s="444" t="s">
        <v>439</v>
      </c>
      <c r="C116" s="444">
        <v>89301292</v>
      </c>
      <c r="D116" s="493" t="s">
        <v>896</v>
      </c>
      <c r="E116" s="494" t="s">
        <v>568</v>
      </c>
      <c r="F116" s="444" t="s">
        <v>558</v>
      </c>
      <c r="G116" s="444" t="s">
        <v>803</v>
      </c>
      <c r="H116" s="444" t="s">
        <v>438</v>
      </c>
      <c r="I116" s="444" t="s">
        <v>804</v>
      </c>
      <c r="J116" s="444" t="s">
        <v>805</v>
      </c>
      <c r="K116" s="444" t="s">
        <v>806</v>
      </c>
      <c r="L116" s="445">
        <v>95.08</v>
      </c>
      <c r="M116" s="445">
        <v>475.4</v>
      </c>
      <c r="N116" s="444">
        <v>5</v>
      </c>
      <c r="O116" s="495">
        <v>2</v>
      </c>
      <c r="P116" s="445"/>
      <c r="Q116" s="471">
        <v>0</v>
      </c>
      <c r="R116" s="444"/>
      <c r="S116" s="471">
        <v>0</v>
      </c>
      <c r="T116" s="495"/>
      <c r="U116" s="472">
        <v>0</v>
      </c>
    </row>
    <row r="117" spans="1:21" ht="14.4" customHeight="1" x14ac:dyDescent="0.3">
      <c r="A117" s="443">
        <v>29</v>
      </c>
      <c r="B117" s="444" t="s">
        <v>439</v>
      </c>
      <c r="C117" s="444">
        <v>89301292</v>
      </c>
      <c r="D117" s="493" t="s">
        <v>896</v>
      </c>
      <c r="E117" s="494" t="s">
        <v>568</v>
      </c>
      <c r="F117" s="444" t="s">
        <v>558</v>
      </c>
      <c r="G117" s="444" t="s">
        <v>807</v>
      </c>
      <c r="H117" s="444" t="s">
        <v>438</v>
      </c>
      <c r="I117" s="444" t="s">
        <v>808</v>
      </c>
      <c r="J117" s="444" t="s">
        <v>809</v>
      </c>
      <c r="K117" s="444" t="s">
        <v>810</v>
      </c>
      <c r="L117" s="445">
        <v>314.89999999999998</v>
      </c>
      <c r="M117" s="445">
        <v>314.89999999999998</v>
      </c>
      <c r="N117" s="444">
        <v>1</v>
      </c>
      <c r="O117" s="495">
        <v>0.5</v>
      </c>
      <c r="P117" s="445"/>
      <c r="Q117" s="471">
        <v>0</v>
      </c>
      <c r="R117" s="444"/>
      <c r="S117" s="471">
        <v>0</v>
      </c>
      <c r="T117" s="495"/>
      <c r="U117" s="472">
        <v>0</v>
      </c>
    </row>
    <row r="118" spans="1:21" ht="14.4" customHeight="1" x14ac:dyDescent="0.3">
      <c r="A118" s="443">
        <v>29</v>
      </c>
      <c r="B118" s="444" t="s">
        <v>439</v>
      </c>
      <c r="C118" s="444">
        <v>89301292</v>
      </c>
      <c r="D118" s="493" t="s">
        <v>896</v>
      </c>
      <c r="E118" s="494" t="s">
        <v>568</v>
      </c>
      <c r="F118" s="444" t="s">
        <v>558</v>
      </c>
      <c r="G118" s="444" t="s">
        <v>811</v>
      </c>
      <c r="H118" s="444" t="s">
        <v>438</v>
      </c>
      <c r="I118" s="444" t="s">
        <v>812</v>
      </c>
      <c r="J118" s="444" t="s">
        <v>813</v>
      </c>
      <c r="K118" s="444" t="s">
        <v>814</v>
      </c>
      <c r="L118" s="445">
        <v>305.08</v>
      </c>
      <c r="M118" s="445">
        <v>305.08</v>
      </c>
      <c r="N118" s="444">
        <v>1</v>
      </c>
      <c r="O118" s="495">
        <v>1</v>
      </c>
      <c r="P118" s="445">
        <v>305.08</v>
      </c>
      <c r="Q118" s="471">
        <v>1</v>
      </c>
      <c r="R118" s="444">
        <v>1</v>
      </c>
      <c r="S118" s="471">
        <v>1</v>
      </c>
      <c r="T118" s="495">
        <v>1</v>
      </c>
      <c r="U118" s="472">
        <v>1</v>
      </c>
    </row>
    <row r="119" spans="1:21" ht="14.4" customHeight="1" x14ac:dyDescent="0.3">
      <c r="A119" s="443">
        <v>29</v>
      </c>
      <c r="B119" s="444" t="s">
        <v>439</v>
      </c>
      <c r="C119" s="444">
        <v>89301292</v>
      </c>
      <c r="D119" s="493" t="s">
        <v>896</v>
      </c>
      <c r="E119" s="494" t="s">
        <v>568</v>
      </c>
      <c r="F119" s="444" t="s">
        <v>558</v>
      </c>
      <c r="G119" s="444" t="s">
        <v>815</v>
      </c>
      <c r="H119" s="444" t="s">
        <v>438</v>
      </c>
      <c r="I119" s="444" t="s">
        <v>816</v>
      </c>
      <c r="J119" s="444" t="s">
        <v>817</v>
      </c>
      <c r="K119" s="444" t="s">
        <v>818</v>
      </c>
      <c r="L119" s="445">
        <v>194.73</v>
      </c>
      <c r="M119" s="445">
        <v>194.73</v>
      </c>
      <c r="N119" s="444">
        <v>1</v>
      </c>
      <c r="O119" s="495">
        <v>1</v>
      </c>
      <c r="P119" s="445">
        <v>194.73</v>
      </c>
      <c r="Q119" s="471">
        <v>1</v>
      </c>
      <c r="R119" s="444">
        <v>1</v>
      </c>
      <c r="S119" s="471">
        <v>1</v>
      </c>
      <c r="T119" s="495">
        <v>1</v>
      </c>
      <c r="U119" s="472">
        <v>1</v>
      </c>
    </row>
    <row r="120" spans="1:21" ht="14.4" customHeight="1" x14ac:dyDescent="0.3">
      <c r="A120" s="443">
        <v>29</v>
      </c>
      <c r="B120" s="444" t="s">
        <v>439</v>
      </c>
      <c r="C120" s="444">
        <v>89301292</v>
      </c>
      <c r="D120" s="493" t="s">
        <v>896</v>
      </c>
      <c r="E120" s="494" t="s">
        <v>568</v>
      </c>
      <c r="F120" s="444" t="s">
        <v>559</v>
      </c>
      <c r="G120" s="444" t="s">
        <v>634</v>
      </c>
      <c r="H120" s="444" t="s">
        <v>438</v>
      </c>
      <c r="I120" s="444" t="s">
        <v>769</v>
      </c>
      <c r="J120" s="444" t="s">
        <v>770</v>
      </c>
      <c r="K120" s="444" t="s">
        <v>771</v>
      </c>
      <c r="L120" s="445">
        <v>144.05000000000001</v>
      </c>
      <c r="M120" s="445">
        <v>432.15000000000003</v>
      </c>
      <c r="N120" s="444">
        <v>3</v>
      </c>
      <c r="O120" s="495">
        <v>1</v>
      </c>
      <c r="P120" s="445">
        <v>432.15000000000003</v>
      </c>
      <c r="Q120" s="471">
        <v>1</v>
      </c>
      <c r="R120" s="444">
        <v>3</v>
      </c>
      <c r="S120" s="471">
        <v>1</v>
      </c>
      <c r="T120" s="495">
        <v>1</v>
      </c>
      <c r="U120" s="472">
        <v>1</v>
      </c>
    </row>
    <row r="121" spans="1:21" ht="14.4" customHeight="1" x14ac:dyDescent="0.3">
      <c r="A121" s="443">
        <v>29</v>
      </c>
      <c r="B121" s="444" t="s">
        <v>439</v>
      </c>
      <c r="C121" s="444">
        <v>89301292</v>
      </c>
      <c r="D121" s="493" t="s">
        <v>896</v>
      </c>
      <c r="E121" s="494" t="s">
        <v>568</v>
      </c>
      <c r="F121" s="444" t="s">
        <v>559</v>
      </c>
      <c r="G121" s="444" t="s">
        <v>634</v>
      </c>
      <c r="H121" s="444" t="s">
        <v>438</v>
      </c>
      <c r="I121" s="444" t="s">
        <v>688</v>
      </c>
      <c r="J121" s="444" t="s">
        <v>636</v>
      </c>
      <c r="K121" s="444" t="s">
        <v>689</v>
      </c>
      <c r="L121" s="445">
        <v>175.15</v>
      </c>
      <c r="M121" s="445">
        <v>350.3</v>
      </c>
      <c r="N121" s="444">
        <v>2</v>
      </c>
      <c r="O121" s="495">
        <v>1</v>
      </c>
      <c r="P121" s="445">
        <v>350.3</v>
      </c>
      <c r="Q121" s="471">
        <v>1</v>
      </c>
      <c r="R121" s="444">
        <v>2</v>
      </c>
      <c r="S121" s="471">
        <v>1</v>
      </c>
      <c r="T121" s="495">
        <v>1</v>
      </c>
      <c r="U121" s="472">
        <v>1</v>
      </c>
    </row>
    <row r="122" spans="1:21" ht="14.4" customHeight="1" x14ac:dyDescent="0.3">
      <c r="A122" s="443">
        <v>29</v>
      </c>
      <c r="B122" s="444" t="s">
        <v>439</v>
      </c>
      <c r="C122" s="444">
        <v>89301292</v>
      </c>
      <c r="D122" s="493" t="s">
        <v>896</v>
      </c>
      <c r="E122" s="494" t="s">
        <v>568</v>
      </c>
      <c r="F122" s="444" t="s">
        <v>559</v>
      </c>
      <c r="G122" s="444" t="s">
        <v>634</v>
      </c>
      <c r="H122" s="444" t="s">
        <v>438</v>
      </c>
      <c r="I122" s="444" t="s">
        <v>638</v>
      </c>
      <c r="J122" s="444" t="s">
        <v>636</v>
      </c>
      <c r="K122" s="444" t="s">
        <v>639</v>
      </c>
      <c r="L122" s="445">
        <v>200</v>
      </c>
      <c r="M122" s="445">
        <v>400</v>
      </c>
      <c r="N122" s="444">
        <v>2</v>
      </c>
      <c r="O122" s="495">
        <v>1</v>
      </c>
      <c r="P122" s="445"/>
      <c r="Q122" s="471">
        <v>0</v>
      </c>
      <c r="R122" s="444"/>
      <c r="S122" s="471">
        <v>0</v>
      </c>
      <c r="T122" s="495"/>
      <c r="U122" s="472">
        <v>0</v>
      </c>
    </row>
    <row r="123" spans="1:21" ht="14.4" customHeight="1" x14ac:dyDescent="0.3">
      <c r="A123" s="443">
        <v>29</v>
      </c>
      <c r="B123" s="444" t="s">
        <v>439</v>
      </c>
      <c r="C123" s="444">
        <v>89301292</v>
      </c>
      <c r="D123" s="493" t="s">
        <v>896</v>
      </c>
      <c r="E123" s="494" t="s">
        <v>568</v>
      </c>
      <c r="F123" s="444" t="s">
        <v>559</v>
      </c>
      <c r="G123" s="444" t="s">
        <v>634</v>
      </c>
      <c r="H123" s="444" t="s">
        <v>438</v>
      </c>
      <c r="I123" s="444" t="s">
        <v>681</v>
      </c>
      <c r="J123" s="444" t="s">
        <v>644</v>
      </c>
      <c r="K123" s="444" t="s">
        <v>682</v>
      </c>
      <c r="L123" s="445">
        <v>156</v>
      </c>
      <c r="M123" s="445">
        <v>468</v>
      </c>
      <c r="N123" s="444">
        <v>3</v>
      </c>
      <c r="O123" s="495">
        <v>2</v>
      </c>
      <c r="P123" s="445"/>
      <c r="Q123" s="471">
        <v>0</v>
      </c>
      <c r="R123" s="444"/>
      <c r="S123" s="471">
        <v>0</v>
      </c>
      <c r="T123" s="495"/>
      <c r="U123" s="472">
        <v>0</v>
      </c>
    </row>
    <row r="124" spans="1:21" ht="14.4" customHeight="1" x14ac:dyDescent="0.3">
      <c r="A124" s="443">
        <v>29</v>
      </c>
      <c r="B124" s="444" t="s">
        <v>439</v>
      </c>
      <c r="C124" s="444">
        <v>89301292</v>
      </c>
      <c r="D124" s="493" t="s">
        <v>896</v>
      </c>
      <c r="E124" s="494" t="s">
        <v>568</v>
      </c>
      <c r="F124" s="444" t="s">
        <v>559</v>
      </c>
      <c r="G124" s="444" t="s">
        <v>634</v>
      </c>
      <c r="H124" s="444" t="s">
        <v>438</v>
      </c>
      <c r="I124" s="444" t="s">
        <v>819</v>
      </c>
      <c r="J124" s="444" t="s">
        <v>820</v>
      </c>
      <c r="K124" s="444" t="s">
        <v>821</v>
      </c>
      <c r="L124" s="445">
        <v>8.24</v>
      </c>
      <c r="M124" s="445">
        <v>82.4</v>
      </c>
      <c r="N124" s="444">
        <v>10</v>
      </c>
      <c r="O124" s="495">
        <v>1</v>
      </c>
      <c r="P124" s="445"/>
      <c r="Q124" s="471">
        <v>0</v>
      </c>
      <c r="R124" s="444"/>
      <c r="S124" s="471">
        <v>0</v>
      </c>
      <c r="T124" s="495"/>
      <c r="U124" s="472">
        <v>0</v>
      </c>
    </row>
    <row r="125" spans="1:21" ht="14.4" customHeight="1" x14ac:dyDescent="0.3">
      <c r="A125" s="443">
        <v>29</v>
      </c>
      <c r="B125" s="444" t="s">
        <v>439</v>
      </c>
      <c r="C125" s="444">
        <v>89301292</v>
      </c>
      <c r="D125" s="493" t="s">
        <v>896</v>
      </c>
      <c r="E125" s="494" t="s">
        <v>568</v>
      </c>
      <c r="F125" s="444" t="s">
        <v>559</v>
      </c>
      <c r="G125" s="444" t="s">
        <v>650</v>
      </c>
      <c r="H125" s="444" t="s">
        <v>438</v>
      </c>
      <c r="I125" s="444" t="s">
        <v>822</v>
      </c>
      <c r="J125" s="444" t="s">
        <v>744</v>
      </c>
      <c r="K125" s="444" t="s">
        <v>823</v>
      </c>
      <c r="L125" s="445">
        <v>50.5</v>
      </c>
      <c r="M125" s="445">
        <v>101</v>
      </c>
      <c r="N125" s="444">
        <v>2</v>
      </c>
      <c r="O125" s="495">
        <v>2</v>
      </c>
      <c r="P125" s="445">
        <v>50.5</v>
      </c>
      <c r="Q125" s="471">
        <v>0.5</v>
      </c>
      <c r="R125" s="444">
        <v>1</v>
      </c>
      <c r="S125" s="471">
        <v>0.5</v>
      </c>
      <c r="T125" s="495">
        <v>1</v>
      </c>
      <c r="U125" s="472">
        <v>0.5</v>
      </c>
    </row>
    <row r="126" spans="1:21" ht="14.4" customHeight="1" x14ac:dyDescent="0.3">
      <c r="A126" s="443">
        <v>29</v>
      </c>
      <c r="B126" s="444" t="s">
        <v>439</v>
      </c>
      <c r="C126" s="444">
        <v>89301292</v>
      </c>
      <c r="D126" s="493" t="s">
        <v>896</v>
      </c>
      <c r="E126" s="494" t="s">
        <v>568</v>
      </c>
      <c r="F126" s="444" t="s">
        <v>559</v>
      </c>
      <c r="G126" s="444" t="s">
        <v>650</v>
      </c>
      <c r="H126" s="444" t="s">
        <v>438</v>
      </c>
      <c r="I126" s="444" t="s">
        <v>824</v>
      </c>
      <c r="J126" s="444" t="s">
        <v>825</v>
      </c>
      <c r="K126" s="444" t="s">
        <v>826</v>
      </c>
      <c r="L126" s="445">
        <v>350</v>
      </c>
      <c r="M126" s="445">
        <v>350</v>
      </c>
      <c r="N126" s="444">
        <v>1</v>
      </c>
      <c r="O126" s="495">
        <v>1</v>
      </c>
      <c r="P126" s="445">
        <v>350</v>
      </c>
      <c r="Q126" s="471">
        <v>1</v>
      </c>
      <c r="R126" s="444">
        <v>1</v>
      </c>
      <c r="S126" s="471">
        <v>1</v>
      </c>
      <c r="T126" s="495">
        <v>1</v>
      </c>
      <c r="U126" s="472">
        <v>1</v>
      </c>
    </row>
    <row r="127" spans="1:21" ht="14.4" customHeight="1" x14ac:dyDescent="0.3">
      <c r="A127" s="443">
        <v>29</v>
      </c>
      <c r="B127" s="444" t="s">
        <v>439</v>
      </c>
      <c r="C127" s="444">
        <v>89301292</v>
      </c>
      <c r="D127" s="493" t="s">
        <v>896</v>
      </c>
      <c r="E127" s="494" t="s">
        <v>569</v>
      </c>
      <c r="F127" s="444" t="s">
        <v>558</v>
      </c>
      <c r="G127" s="444" t="s">
        <v>571</v>
      </c>
      <c r="H127" s="444" t="s">
        <v>897</v>
      </c>
      <c r="I127" s="444" t="s">
        <v>572</v>
      </c>
      <c r="J127" s="444" t="s">
        <v>573</v>
      </c>
      <c r="K127" s="444" t="s">
        <v>574</v>
      </c>
      <c r="L127" s="445">
        <v>333.31</v>
      </c>
      <c r="M127" s="445">
        <v>2666.48</v>
      </c>
      <c r="N127" s="444">
        <v>8</v>
      </c>
      <c r="O127" s="495">
        <v>5</v>
      </c>
      <c r="P127" s="445">
        <v>333.31</v>
      </c>
      <c r="Q127" s="471">
        <v>0.125</v>
      </c>
      <c r="R127" s="444">
        <v>1</v>
      </c>
      <c r="S127" s="471">
        <v>0.125</v>
      </c>
      <c r="T127" s="495">
        <v>1</v>
      </c>
      <c r="U127" s="472">
        <v>0.2</v>
      </c>
    </row>
    <row r="128" spans="1:21" ht="14.4" customHeight="1" x14ac:dyDescent="0.3">
      <c r="A128" s="443">
        <v>29</v>
      </c>
      <c r="B128" s="444" t="s">
        <v>439</v>
      </c>
      <c r="C128" s="444">
        <v>89301292</v>
      </c>
      <c r="D128" s="493" t="s">
        <v>896</v>
      </c>
      <c r="E128" s="494" t="s">
        <v>569</v>
      </c>
      <c r="F128" s="444" t="s">
        <v>558</v>
      </c>
      <c r="G128" s="444" t="s">
        <v>583</v>
      </c>
      <c r="H128" s="444" t="s">
        <v>438</v>
      </c>
      <c r="I128" s="444" t="s">
        <v>498</v>
      </c>
      <c r="J128" s="444" t="s">
        <v>499</v>
      </c>
      <c r="K128" s="444" t="s">
        <v>584</v>
      </c>
      <c r="L128" s="445">
        <v>50.27</v>
      </c>
      <c r="M128" s="445">
        <v>50.27</v>
      </c>
      <c r="N128" s="444">
        <v>1</v>
      </c>
      <c r="O128" s="495">
        <v>1</v>
      </c>
      <c r="P128" s="445">
        <v>50.27</v>
      </c>
      <c r="Q128" s="471">
        <v>1</v>
      </c>
      <c r="R128" s="444">
        <v>1</v>
      </c>
      <c r="S128" s="471">
        <v>1</v>
      </c>
      <c r="T128" s="495">
        <v>1</v>
      </c>
      <c r="U128" s="472">
        <v>1</v>
      </c>
    </row>
    <row r="129" spans="1:21" ht="14.4" customHeight="1" x14ac:dyDescent="0.3">
      <c r="A129" s="443">
        <v>29</v>
      </c>
      <c r="B129" s="444" t="s">
        <v>439</v>
      </c>
      <c r="C129" s="444">
        <v>89301292</v>
      </c>
      <c r="D129" s="493" t="s">
        <v>896</v>
      </c>
      <c r="E129" s="494" t="s">
        <v>569</v>
      </c>
      <c r="F129" s="444" t="s">
        <v>558</v>
      </c>
      <c r="G129" s="444" t="s">
        <v>660</v>
      </c>
      <c r="H129" s="444" t="s">
        <v>438</v>
      </c>
      <c r="I129" s="444" t="s">
        <v>664</v>
      </c>
      <c r="J129" s="444" t="s">
        <v>662</v>
      </c>
      <c r="K129" s="444" t="s">
        <v>665</v>
      </c>
      <c r="L129" s="445">
        <v>0</v>
      </c>
      <c r="M129" s="445">
        <v>0</v>
      </c>
      <c r="N129" s="444">
        <v>1</v>
      </c>
      <c r="O129" s="495">
        <v>0.5</v>
      </c>
      <c r="P129" s="445"/>
      <c r="Q129" s="471"/>
      <c r="R129" s="444"/>
      <c r="S129" s="471">
        <v>0</v>
      </c>
      <c r="T129" s="495"/>
      <c r="U129" s="472">
        <v>0</v>
      </c>
    </row>
    <row r="130" spans="1:21" ht="14.4" customHeight="1" x14ac:dyDescent="0.3">
      <c r="A130" s="443">
        <v>29</v>
      </c>
      <c r="B130" s="444" t="s">
        <v>439</v>
      </c>
      <c r="C130" s="444">
        <v>89301292</v>
      </c>
      <c r="D130" s="493" t="s">
        <v>896</v>
      </c>
      <c r="E130" s="494" t="s">
        <v>569</v>
      </c>
      <c r="F130" s="444" t="s">
        <v>558</v>
      </c>
      <c r="G130" s="444" t="s">
        <v>685</v>
      </c>
      <c r="H130" s="444" t="s">
        <v>438</v>
      </c>
      <c r="I130" s="444" t="s">
        <v>455</v>
      </c>
      <c r="J130" s="444" t="s">
        <v>456</v>
      </c>
      <c r="K130" s="444" t="s">
        <v>457</v>
      </c>
      <c r="L130" s="445">
        <v>378.97</v>
      </c>
      <c r="M130" s="445">
        <v>378.97</v>
      </c>
      <c r="N130" s="444">
        <v>1</v>
      </c>
      <c r="O130" s="495">
        <v>1</v>
      </c>
      <c r="P130" s="445">
        <v>378.97</v>
      </c>
      <c r="Q130" s="471">
        <v>1</v>
      </c>
      <c r="R130" s="444">
        <v>1</v>
      </c>
      <c r="S130" s="471">
        <v>1</v>
      </c>
      <c r="T130" s="495">
        <v>1</v>
      </c>
      <c r="U130" s="472">
        <v>1</v>
      </c>
    </row>
    <row r="131" spans="1:21" ht="14.4" customHeight="1" x14ac:dyDescent="0.3">
      <c r="A131" s="443">
        <v>29</v>
      </c>
      <c r="B131" s="444" t="s">
        <v>439</v>
      </c>
      <c r="C131" s="444">
        <v>89301292</v>
      </c>
      <c r="D131" s="493" t="s">
        <v>896</v>
      </c>
      <c r="E131" s="494" t="s">
        <v>569</v>
      </c>
      <c r="F131" s="444" t="s">
        <v>558</v>
      </c>
      <c r="G131" s="444" t="s">
        <v>593</v>
      </c>
      <c r="H131" s="444" t="s">
        <v>438</v>
      </c>
      <c r="I131" s="444" t="s">
        <v>502</v>
      </c>
      <c r="J131" s="444" t="s">
        <v>503</v>
      </c>
      <c r="K131" s="444" t="s">
        <v>594</v>
      </c>
      <c r="L131" s="445">
        <v>38.65</v>
      </c>
      <c r="M131" s="445">
        <v>115.94999999999999</v>
      </c>
      <c r="N131" s="444">
        <v>3</v>
      </c>
      <c r="O131" s="495">
        <v>3</v>
      </c>
      <c r="P131" s="445">
        <v>38.65</v>
      </c>
      <c r="Q131" s="471">
        <v>0.33333333333333337</v>
      </c>
      <c r="R131" s="444">
        <v>1</v>
      </c>
      <c r="S131" s="471">
        <v>0.33333333333333331</v>
      </c>
      <c r="T131" s="495">
        <v>1</v>
      </c>
      <c r="U131" s="472">
        <v>0.33333333333333331</v>
      </c>
    </row>
    <row r="132" spans="1:21" ht="14.4" customHeight="1" x14ac:dyDescent="0.3">
      <c r="A132" s="443">
        <v>29</v>
      </c>
      <c r="B132" s="444" t="s">
        <v>439</v>
      </c>
      <c r="C132" s="444">
        <v>89301292</v>
      </c>
      <c r="D132" s="493" t="s">
        <v>896</v>
      </c>
      <c r="E132" s="494" t="s">
        <v>569</v>
      </c>
      <c r="F132" s="444" t="s">
        <v>558</v>
      </c>
      <c r="G132" s="444" t="s">
        <v>717</v>
      </c>
      <c r="H132" s="444" t="s">
        <v>438</v>
      </c>
      <c r="I132" s="444" t="s">
        <v>827</v>
      </c>
      <c r="J132" s="444" t="s">
        <v>719</v>
      </c>
      <c r="K132" s="444" t="s">
        <v>828</v>
      </c>
      <c r="L132" s="445">
        <v>113.37</v>
      </c>
      <c r="M132" s="445">
        <v>340.11</v>
      </c>
      <c r="N132" s="444">
        <v>3</v>
      </c>
      <c r="O132" s="495">
        <v>0.5</v>
      </c>
      <c r="P132" s="445"/>
      <c r="Q132" s="471">
        <v>0</v>
      </c>
      <c r="R132" s="444"/>
      <c r="S132" s="471">
        <v>0</v>
      </c>
      <c r="T132" s="495"/>
      <c r="U132" s="472">
        <v>0</v>
      </c>
    </row>
    <row r="133" spans="1:21" ht="14.4" customHeight="1" x14ac:dyDescent="0.3">
      <c r="A133" s="443">
        <v>29</v>
      </c>
      <c r="B133" s="444" t="s">
        <v>439</v>
      </c>
      <c r="C133" s="444">
        <v>89301292</v>
      </c>
      <c r="D133" s="493" t="s">
        <v>896</v>
      </c>
      <c r="E133" s="494" t="s">
        <v>569</v>
      </c>
      <c r="F133" s="444" t="s">
        <v>558</v>
      </c>
      <c r="G133" s="444" t="s">
        <v>616</v>
      </c>
      <c r="H133" s="444" t="s">
        <v>438</v>
      </c>
      <c r="I133" s="444" t="s">
        <v>617</v>
      </c>
      <c r="J133" s="444" t="s">
        <v>618</v>
      </c>
      <c r="K133" s="444" t="s">
        <v>619</v>
      </c>
      <c r="L133" s="445">
        <v>0</v>
      </c>
      <c r="M133" s="445">
        <v>0</v>
      </c>
      <c r="N133" s="444">
        <v>1</v>
      </c>
      <c r="O133" s="495">
        <v>0.5</v>
      </c>
      <c r="P133" s="445"/>
      <c r="Q133" s="471"/>
      <c r="R133" s="444"/>
      <c r="S133" s="471">
        <v>0</v>
      </c>
      <c r="T133" s="495"/>
      <c r="U133" s="472">
        <v>0</v>
      </c>
    </row>
    <row r="134" spans="1:21" ht="14.4" customHeight="1" x14ac:dyDescent="0.3">
      <c r="A134" s="443">
        <v>29</v>
      </c>
      <c r="B134" s="444" t="s">
        <v>439</v>
      </c>
      <c r="C134" s="444">
        <v>89301292</v>
      </c>
      <c r="D134" s="493" t="s">
        <v>896</v>
      </c>
      <c r="E134" s="494" t="s">
        <v>569</v>
      </c>
      <c r="F134" s="444" t="s">
        <v>558</v>
      </c>
      <c r="G134" s="444" t="s">
        <v>620</v>
      </c>
      <c r="H134" s="444" t="s">
        <v>438</v>
      </c>
      <c r="I134" s="444" t="s">
        <v>829</v>
      </c>
      <c r="J134" s="444" t="s">
        <v>511</v>
      </c>
      <c r="K134" s="444" t="s">
        <v>830</v>
      </c>
      <c r="L134" s="445">
        <v>0</v>
      </c>
      <c r="M134" s="445">
        <v>0</v>
      </c>
      <c r="N134" s="444">
        <v>1</v>
      </c>
      <c r="O134" s="495">
        <v>1</v>
      </c>
      <c r="P134" s="445">
        <v>0</v>
      </c>
      <c r="Q134" s="471"/>
      <c r="R134" s="444">
        <v>1</v>
      </c>
      <c r="S134" s="471">
        <v>1</v>
      </c>
      <c r="T134" s="495">
        <v>1</v>
      </c>
      <c r="U134" s="472">
        <v>1</v>
      </c>
    </row>
    <row r="135" spans="1:21" ht="14.4" customHeight="1" x14ac:dyDescent="0.3">
      <c r="A135" s="443">
        <v>29</v>
      </c>
      <c r="B135" s="444" t="s">
        <v>439</v>
      </c>
      <c r="C135" s="444">
        <v>89301292</v>
      </c>
      <c r="D135" s="493" t="s">
        <v>896</v>
      </c>
      <c r="E135" s="494" t="s">
        <v>569</v>
      </c>
      <c r="F135" s="444" t="s">
        <v>558</v>
      </c>
      <c r="G135" s="444" t="s">
        <v>620</v>
      </c>
      <c r="H135" s="444" t="s">
        <v>438</v>
      </c>
      <c r="I135" s="444" t="s">
        <v>510</v>
      </c>
      <c r="J135" s="444" t="s">
        <v>511</v>
      </c>
      <c r="K135" s="444" t="s">
        <v>621</v>
      </c>
      <c r="L135" s="445">
        <v>314.69</v>
      </c>
      <c r="M135" s="445">
        <v>1258.76</v>
      </c>
      <c r="N135" s="444">
        <v>4</v>
      </c>
      <c r="O135" s="495">
        <v>3</v>
      </c>
      <c r="P135" s="445">
        <v>314.69</v>
      </c>
      <c r="Q135" s="471">
        <v>0.25</v>
      </c>
      <c r="R135" s="444">
        <v>1</v>
      </c>
      <c r="S135" s="471">
        <v>0.25</v>
      </c>
      <c r="T135" s="495">
        <v>1</v>
      </c>
      <c r="U135" s="472">
        <v>0.33333333333333331</v>
      </c>
    </row>
    <row r="136" spans="1:21" ht="14.4" customHeight="1" x14ac:dyDescent="0.3">
      <c r="A136" s="443">
        <v>29</v>
      </c>
      <c r="B136" s="444" t="s">
        <v>439</v>
      </c>
      <c r="C136" s="444">
        <v>89301292</v>
      </c>
      <c r="D136" s="493" t="s">
        <v>896</v>
      </c>
      <c r="E136" s="494" t="s">
        <v>569</v>
      </c>
      <c r="F136" s="444" t="s">
        <v>558</v>
      </c>
      <c r="G136" s="444" t="s">
        <v>728</v>
      </c>
      <c r="H136" s="444" t="s">
        <v>438</v>
      </c>
      <c r="I136" s="444" t="s">
        <v>831</v>
      </c>
      <c r="J136" s="444" t="s">
        <v>832</v>
      </c>
      <c r="K136" s="444" t="s">
        <v>731</v>
      </c>
      <c r="L136" s="445">
        <v>20.329999999999998</v>
      </c>
      <c r="M136" s="445">
        <v>20.329999999999998</v>
      </c>
      <c r="N136" s="444">
        <v>1</v>
      </c>
      <c r="O136" s="495">
        <v>1</v>
      </c>
      <c r="P136" s="445">
        <v>20.329999999999998</v>
      </c>
      <c r="Q136" s="471">
        <v>1</v>
      </c>
      <c r="R136" s="444">
        <v>1</v>
      </c>
      <c r="S136" s="471">
        <v>1</v>
      </c>
      <c r="T136" s="495">
        <v>1</v>
      </c>
      <c r="U136" s="472">
        <v>1</v>
      </c>
    </row>
    <row r="137" spans="1:21" ht="14.4" customHeight="1" x14ac:dyDescent="0.3">
      <c r="A137" s="443">
        <v>29</v>
      </c>
      <c r="B137" s="444" t="s">
        <v>439</v>
      </c>
      <c r="C137" s="444">
        <v>89301292</v>
      </c>
      <c r="D137" s="493" t="s">
        <v>896</v>
      </c>
      <c r="E137" s="494" t="s">
        <v>569</v>
      </c>
      <c r="F137" s="444" t="s">
        <v>558</v>
      </c>
      <c r="G137" s="444" t="s">
        <v>833</v>
      </c>
      <c r="H137" s="444" t="s">
        <v>438</v>
      </c>
      <c r="I137" s="444" t="s">
        <v>834</v>
      </c>
      <c r="J137" s="444" t="s">
        <v>835</v>
      </c>
      <c r="K137" s="444" t="s">
        <v>836</v>
      </c>
      <c r="L137" s="445">
        <v>17.53</v>
      </c>
      <c r="M137" s="445">
        <v>35.06</v>
      </c>
      <c r="N137" s="444">
        <v>2</v>
      </c>
      <c r="O137" s="495">
        <v>0.5</v>
      </c>
      <c r="P137" s="445"/>
      <c r="Q137" s="471">
        <v>0</v>
      </c>
      <c r="R137" s="444"/>
      <c r="S137" s="471">
        <v>0</v>
      </c>
      <c r="T137" s="495"/>
      <c r="U137" s="472">
        <v>0</v>
      </c>
    </row>
    <row r="138" spans="1:21" ht="14.4" customHeight="1" x14ac:dyDescent="0.3">
      <c r="A138" s="443">
        <v>29</v>
      </c>
      <c r="B138" s="444" t="s">
        <v>439</v>
      </c>
      <c r="C138" s="444">
        <v>89301292</v>
      </c>
      <c r="D138" s="493" t="s">
        <v>896</v>
      </c>
      <c r="E138" s="494" t="s">
        <v>569</v>
      </c>
      <c r="F138" s="444" t="s">
        <v>558</v>
      </c>
      <c r="G138" s="444" t="s">
        <v>837</v>
      </c>
      <c r="H138" s="444" t="s">
        <v>438</v>
      </c>
      <c r="I138" s="444" t="s">
        <v>838</v>
      </c>
      <c r="J138" s="444" t="s">
        <v>839</v>
      </c>
      <c r="K138" s="444" t="s">
        <v>840</v>
      </c>
      <c r="L138" s="445">
        <v>0</v>
      </c>
      <c r="M138" s="445">
        <v>0</v>
      </c>
      <c r="N138" s="444">
        <v>1</v>
      </c>
      <c r="O138" s="495">
        <v>1</v>
      </c>
      <c r="P138" s="445"/>
      <c r="Q138" s="471"/>
      <c r="R138" s="444"/>
      <c r="S138" s="471">
        <v>0</v>
      </c>
      <c r="T138" s="495"/>
      <c r="U138" s="472">
        <v>0</v>
      </c>
    </row>
    <row r="139" spans="1:21" ht="14.4" customHeight="1" x14ac:dyDescent="0.3">
      <c r="A139" s="443">
        <v>29</v>
      </c>
      <c r="B139" s="444" t="s">
        <v>439</v>
      </c>
      <c r="C139" s="444">
        <v>89301292</v>
      </c>
      <c r="D139" s="493" t="s">
        <v>896</v>
      </c>
      <c r="E139" s="494" t="s">
        <v>569</v>
      </c>
      <c r="F139" s="444" t="s">
        <v>559</v>
      </c>
      <c r="G139" s="444" t="s">
        <v>630</v>
      </c>
      <c r="H139" s="444" t="s">
        <v>438</v>
      </c>
      <c r="I139" s="444" t="s">
        <v>631</v>
      </c>
      <c r="J139" s="444" t="s">
        <v>632</v>
      </c>
      <c r="K139" s="444" t="s">
        <v>633</v>
      </c>
      <c r="L139" s="445">
        <v>410</v>
      </c>
      <c r="M139" s="445">
        <v>13530</v>
      </c>
      <c r="N139" s="444">
        <v>33</v>
      </c>
      <c r="O139" s="495">
        <v>17</v>
      </c>
      <c r="P139" s="445">
        <v>12710</v>
      </c>
      <c r="Q139" s="471">
        <v>0.93939393939393945</v>
      </c>
      <c r="R139" s="444">
        <v>31</v>
      </c>
      <c r="S139" s="471">
        <v>0.93939393939393945</v>
      </c>
      <c r="T139" s="495">
        <v>16</v>
      </c>
      <c r="U139" s="472">
        <v>0.94117647058823528</v>
      </c>
    </row>
    <row r="140" spans="1:21" ht="14.4" customHeight="1" x14ac:dyDescent="0.3">
      <c r="A140" s="443">
        <v>29</v>
      </c>
      <c r="B140" s="444" t="s">
        <v>439</v>
      </c>
      <c r="C140" s="444">
        <v>89301292</v>
      </c>
      <c r="D140" s="493" t="s">
        <v>896</v>
      </c>
      <c r="E140" s="494" t="s">
        <v>569</v>
      </c>
      <c r="F140" s="444" t="s">
        <v>559</v>
      </c>
      <c r="G140" s="444" t="s">
        <v>634</v>
      </c>
      <c r="H140" s="444" t="s">
        <v>438</v>
      </c>
      <c r="I140" s="444" t="s">
        <v>638</v>
      </c>
      <c r="J140" s="444" t="s">
        <v>636</v>
      </c>
      <c r="K140" s="444" t="s">
        <v>639</v>
      </c>
      <c r="L140" s="445">
        <v>200</v>
      </c>
      <c r="M140" s="445">
        <v>400</v>
      </c>
      <c r="N140" s="444">
        <v>2</v>
      </c>
      <c r="O140" s="495">
        <v>1</v>
      </c>
      <c r="P140" s="445">
        <v>400</v>
      </c>
      <c r="Q140" s="471">
        <v>1</v>
      </c>
      <c r="R140" s="444">
        <v>2</v>
      </c>
      <c r="S140" s="471">
        <v>1</v>
      </c>
      <c r="T140" s="495">
        <v>1</v>
      </c>
      <c r="U140" s="472">
        <v>1</v>
      </c>
    </row>
    <row r="141" spans="1:21" ht="14.4" customHeight="1" x14ac:dyDescent="0.3">
      <c r="A141" s="443">
        <v>29</v>
      </c>
      <c r="B141" s="444" t="s">
        <v>439</v>
      </c>
      <c r="C141" s="444">
        <v>89301292</v>
      </c>
      <c r="D141" s="493" t="s">
        <v>896</v>
      </c>
      <c r="E141" s="494" t="s">
        <v>569</v>
      </c>
      <c r="F141" s="444" t="s">
        <v>559</v>
      </c>
      <c r="G141" s="444" t="s">
        <v>634</v>
      </c>
      <c r="H141" s="444" t="s">
        <v>438</v>
      </c>
      <c r="I141" s="444" t="s">
        <v>681</v>
      </c>
      <c r="J141" s="444" t="s">
        <v>644</v>
      </c>
      <c r="K141" s="444" t="s">
        <v>682</v>
      </c>
      <c r="L141" s="445">
        <v>156</v>
      </c>
      <c r="M141" s="445">
        <v>312</v>
      </c>
      <c r="N141" s="444">
        <v>2</v>
      </c>
      <c r="O141" s="495">
        <v>1</v>
      </c>
      <c r="P141" s="445"/>
      <c r="Q141" s="471">
        <v>0</v>
      </c>
      <c r="R141" s="444"/>
      <c r="S141" s="471">
        <v>0</v>
      </c>
      <c r="T141" s="495"/>
      <c r="U141" s="472">
        <v>0</v>
      </c>
    </row>
    <row r="142" spans="1:21" ht="14.4" customHeight="1" x14ac:dyDescent="0.3">
      <c r="A142" s="443">
        <v>29</v>
      </c>
      <c r="B142" s="444" t="s">
        <v>439</v>
      </c>
      <c r="C142" s="444">
        <v>89301292</v>
      </c>
      <c r="D142" s="493" t="s">
        <v>896</v>
      </c>
      <c r="E142" s="494" t="s">
        <v>569</v>
      </c>
      <c r="F142" s="444" t="s">
        <v>559</v>
      </c>
      <c r="G142" s="444" t="s">
        <v>634</v>
      </c>
      <c r="H142" s="444" t="s">
        <v>438</v>
      </c>
      <c r="I142" s="444" t="s">
        <v>841</v>
      </c>
      <c r="J142" s="444" t="s">
        <v>641</v>
      </c>
      <c r="K142" s="444" t="s">
        <v>842</v>
      </c>
      <c r="L142" s="445">
        <v>1021.02</v>
      </c>
      <c r="M142" s="445">
        <v>2042.04</v>
      </c>
      <c r="N142" s="444">
        <v>2</v>
      </c>
      <c r="O142" s="495">
        <v>1</v>
      </c>
      <c r="P142" s="445"/>
      <c r="Q142" s="471">
        <v>0</v>
      </c>
      <c r="R142" s="444"/>
      <c r="S142" s="471">
        <v>0</v>
      </c>
      <c r="T142" s="495"/>
      <c r="U142" s="472">
        <v>0</v>
      </c>
    </row>
    <row r="143" spans="1:21" ht="14.4" customHeight="1" x14ac:dyDescent="0.3">
      <c r="A143" s="443">
        <v>29</v>
      </c>
      <c r="B143" s="444" t="s">
        <v>439</v>
      </c>
      <c r="C143" s="444">
        <v>89301292</v>
      </c>
      <c r="D143" s="493" t="s">
        <v>896</v>
      </c>
      <c r="E143" s="494" t="s">
        <v>569</v>
      </c>
      <c r="F143" s="444" t="s">
        <v>559</v>
      </c>
      <c r="G143" s="444" t="s">
        <v>634</v>
      </c>
      <c r="H143" s="444" t="s">
        <v>438</v>
      </c>
      <c r="I143" s="444" t="s">
        <v>690</v>
      </c>
      <c r="J143" s="444" t="s">
        <v>641</v>
      </c>
      <c r="K143" s="444" t="s">
        <v>691</v>
      </c>
      <c r="L143" s="445">
        <v>1333.95</v>
      </c>
      <c r="M143" s="445">
        <v>2667.9</v>
      </c>
      <c r="N143" s="444">
        <v>2</v>
      </c>
      <c r="O143" s="495">
        <v>1</v>
      </c>
      <c r="P143" s="445"/>
      <c r="Q143" s="471">
        <v>0</v>
      </c>
      <c r="R143" s="444"/>
      <c r="S143" s="471">
        <v>0</v>
      </c>
      <c r="T143" s="495"/>
      <c r="U143" s="472">
        <v>0</v>
      </c>
    </row>
    <row r="144" spans="1:21" ht="14.4" customHeight="1" x14ac:dyDescent="0.3">
      <c r="A144" s="443">
        <v>29</v>
      </c>
      <c r="B144" s="444" t="s">
        <v>439</v>
      </c>
      <c r="C144" s="444">
        <v>89301292</v>
      </c>
      <c r="D144" s="493" t="s">
        <v>896</v>
      </c>
      <c r="E144" s="494" t="s">
        <v>569</v>
      </c>
      <c r="F144" s="444" t="s">
        <v>559</v>
      </c>
      <c r="G144" s="444" t="s">
        <v>650</v>
      </c>
      <c r="H144" s="444" t="s">
        <v>438</v>
      </c>
      <c r="I144" s="444" t="s">
        <v>843</v>
      </c>
      <c r="J144" s="444" t="s">
        <v>844</v>
      </c>
      <c r="K144" s="444" t="s">
        <v>845</v>
      </c>
      <c r="L144" s="445">
        <v>350</v>
      </c>
      <c r="M144" s="445">
        <v>350</v>
      </c>
      <c r="N144" s="444">
        <v>1</v>
      </c>
      <c r="O144" s="495">
        <v>1</v>
      </c>
      <c r="P144" s="445"/>
      <c r="Q144" s="471">
        <v>0</v>
      </c>
      <c r="R144" s="444"/>
      <c r="S144" s="471">
        <v>0</v>
      </c>
      <c r="T144" s="495"/>
      <c r="U144" s="472">
        <v>0</v>
      </c>
    </row>
    <row r="145" spans="1:21" ht="14.4" customHeight="1" x14ac:dyDescent="0.3">
      <c r="A145" s="443">
        <v>29</v>
      </c>
      <c r="B145" s="444" t="s">
        <v>439</v>
      </c>
      <c r="C145" s="444">
        <v>89301292</v>
      </c>
      <c r="D145" s="493" t="s">
        <v>896</v>
      </c>
      <c r="E145" s="494" t="s">
        <v>569</v>
      </c>
      <c r="F145" s="444" t="s">
        <v>559</v>
      </c>
      <c r="G145" s="444" t="s">
        <v>650</v>
      </c>
      <c r="H145" s="444" t="s">
        <v>438</v>
      </c>
      <c r="I145" s="444" t="s">
        <v>846</v>
      </c>
      <c r="J145" s="444" t="s">
        <v>847</v>
      </c>
      <c r="K145" s="444" t="s">
        <v>848</v>
      </c>
      <c r="L145" s="445">
        <v>378.48</v>
      </c>
      <c r="M145" s="445">
        <v>378.48</v>
      </c>
      <c r="N145" s="444">
        <v>1</v>
      </c>
      <c r="O145" s="495">
        <v>1</v>
      </c>
      <c r="P145" s="445">
        <v>378.48</v>
      </c>
      <c r="Q145" s="471">
        <v>1</v>
      </c>
      <c r="R145" s="444">
        <v>1</v>
      </c>
      <c r="S145" s="471">
        <v>1</v>
      </c>
      <c r="T145" s="495">
        <v>1</v>
      </c>
      <c r="U145" s="472">
        <v>1</v>
      </c>
    </row>
    <row r="146" spans="1:21" ht="14.4" customHeight="1" x14ac:dyDescent="0.3">
      <c r="A146" s="443">
        <v>29</v>
      </c>
      <c r="B146" s="444" t="s">
        <v>439</v>
      </c>
      <c r="C146" s="444">
        <v>89301292</v>
      </c>
      <c r="D146" s="493" t="s">
        <v>896</v>
      </c>
      <c r="E146" s="494" t="s">
        <v>569</v>
      </c>
      <c r="F146" s="444" t="s">
        <v>559</v>
      </c>
      <c r="G146" s="444" t="s">
        <v>650</v>
      </c>
      <c r="H146" s="444" t="s">
        <v>438</v>
      </c>
      <c r="I146" s="444" t="s">
        <v>849</v>
      </c>
      <c r="J146" s="444" t="s">
        <v>850</v>
      </c>
      <c r="K146" s="444" t="s">
        <v>851</v>
      </c>
      <c r="L146" s="445">
        <v>195.56</v>
      </c>
      <c r="M146" s="445">
        <v>195.56</v>
      </c>
      <c r="N146" s="444">
        <v>1</v>
      </c>
      <c r="O146" s="495">
        <v>1</v>
      </c>
      <c r="P146" s="445"/>
      <c r="Q146" s="471">
        <v>0</v>
      </c>
      <c r="R146" s="444"/>
      <c r="S146" s="471">
        <v>0</v>
      </c>
      <c r="T146" s="495"/>
      <c r="U146" s="472">
        <v>0</v>
      </c>
    </row>
    <row r="147" spans="1:21" ht="14.4" customHeight="1" x14ac:dyDescent="0.3">
      <c r="A147" s="443">
        <v>29</v>
      </c>
      <c r="B147" s="444" t="s">
        <v>439</v>
      </c>
      <c r="C147" s="444">
        <v>89301292</v>
      </c>
      <c r="D147" s="493" t="s">
        <v>896</v>
      </c>
      <c r="E147" s="494" t="s">
        <v>569</v>
      </c>
      <c r="F147" s="444" t="s">
        <v>559</v>
      </c>
      <c r="G147" s="444" t="s">
        <v>695</v>
      </c>
      <c r="H147" s="444" t="s">
        <v>438</v>
      </c>
      <c r="I147" s="444" t="s">
        <v>696</v>
      </c>
      <c r="J147" s="444" t="s">
        <v>697</v>
      </c>
      <c r="K147" s="444"/>
      <c r="L147" s="445">
        <v>0</v>
      </c>
      <c r="M147" s="445">
        <v>0</v>
      </c>
      <c r="N147" s="444">
        <v>1</v>
      </c>
      <c r="O147" s="495">
        <v>1</v>
      </c>
      <c r="P147" s="445"/>
      <c r="Q147" s="471"/>
      <c r="R147" s="444"/>
      <c r="S147" s="471">
        <v>0</v>
      </c>
      <c r="T147" s="495"/>
      <c r="U147" s="472">
        <v>0</v>
      </c>
    </row>
    <row r="148" spans="1:21" ht="14.4" customHeight="1" x14ac:dyDescent="0.3">
      <c r="A148" s="443">
        <v>29</v>
      </c>
      <c r="B148" s="444" t="s">
        <v>439</v>
      </c>
      <c r="C148" s="444">
        <v>89301292</v>
      </c>
      <c r="D148" s="493" t="s">
        <v>896</v>
      </c>
      <c r="E148" s="494" t="s">
        <v>570</v>
      </c>
      <c r="F148" s="444" t="s">
        <v>558</v>
      </c>
      <c r="G148" s="444" t="s">
        <v>571</v>
      </c>
      <c r="H148" s="444" t="s">
        <v>897</v>
      </c>
      <c r="I148" s="444" t="s">
        <v>572</v>
      </c>
      <c r="J148" s="444" t="s">
        <v>573</v>
      </c>
      <c r="K148" s="444" t="s">
        <v>574</v>
      </c>
      <c r="L148" s="445">
        <v>333.31</v>
      </c>
      <c r="M148" s="445">
        <v>1333.24</v>
      </c>
      <c r="N148" s="444">
        <v>4</v>
      </c>
      <c r="O148" s="495">
        <v>2</v>
      </c>
      <c r="P148" s="445">
        <v>666.62</v>
      </c>
      <c r="Q148" s="471">
        <v>0.5</v>
      </c>
      <c r="R148" s="444">
        <v>2</v>
      </c>
      <c r="S148" s="471">
        <v>0.5</v>
      </c>
      <c r="T148" s="495">
        <v>1</v>
      </c>
      <c r="U148" s="472">
        <v>0.5</v>
      </c>
    </row>
    <row r="149" spans="1:21" ht="14.4" customHeight="1" x14ac:dyDescent="0.3">
      <c r="A149" s="443">
        <v>29</v>
      </c>
      <c r="B149" s="444" t="s">
        <v>439</v>
      </c>
      <c r="C149" s="444">
        <v>89301292</v>
      </c>
      <c r="D149" s="493" t="s">
        <v>896</v>
      </c>
      <c r="E149" s="494" t="s">
        <v>570</v>
      </c>
      <c r="F149" s="444" t="s">
        <v>558</v>
      </c>
      <c r="G149" s="444" t="s">
        <v>571</v>
      </c>
      <c r="H149" s="444" t="s">
        <v>897</v>
      </c>
      <c r="I149" s="444" t="s">
        <v>748</v>
      </c>
      <c r="J149" s="444" t="s">
        <v>749</v>
      </c>
      <c r="K149" s="444" t="s">
        <v>750</v>
      </c>
      <c r="L149" s="445">
        <v>333.31</v>
      </c>
      <c r="M149" s="445">
        <v>333.31</v>
      </c>
      <c r="N149" s="444">
        <v>1</v>
      </c>
      <c r="O149" s="495">
        <v>0.5</v>
      </c>
      <c r="P149" s="445">
        <v>333.31</v>
      </c>
      <c r="Q149" s="471">
        <v>1</v>
      </c>
      <c r="R149" s="444">
        <v>1</v>
      </c>
      <c r="S149" s="471">
        <v>1</v>
      </c>
      <c r="T149" s="495">
        <v>0.5</v>
      </c>
      <c r="U149" s="472">
        <v>1</v>
      </c>
    </row>
    <row r="150" spans="1:21" ht="14.4" customHeight="1" x14ac:dyDescent="0.3">
      <c r="A150" s="443">
        <v>29</v>
      </c>
      <c r="B150" s="444" t="s">
        <v>439</v>
      </c>
      <c r="C150" s="444">
        <v>89301292</v>
      </c>
      <c r="D150" s="493" t="s">
        <v>896</v>
      </c>
      <c r="E150" s="494" t="s">
        <v>570</v>
      </c>
      <c r="F150" s="444" t="s">
        <v>558</v>
      </c>
      <c r="G150" s="444" t="s">
        <v>852</v>
      </c>
      <c r="H150" s="444" t="s">
        <v>897</v>
      </c>
      <c r="I150" s="444" t="s">
        <v>853</v>
      </c>
      <c r="J150" s="444" t="s">
        <v>854</v>
      </c>
      <c r="K150" s="444" t="s">
        <v>855</v>
      </c>
      <c r="L150" s="445">
        <v>222.25</v>
      </c>
      <c r="M150" s="445">
        <v>222.25</v>
      </c>
      <c r="N150" s="444">
        <v>1</v>
      </c>
      <c r="O150" s="495">
        <v>0.5</v>
      </c>
      <c r="P150" s="445">
        <v>222.25</v>
      </c>
      <c r="Q150" s="471">
        <v>1</v>
      </c>
      <c r="R150" s="444">
        <v>1</v>
      </c>
      <c r="S150" s="471">
        <v>1</v>
      </c>
      <c r="T150" s="495">
        <v>0.5</v>
      </c>
      <c r="U150" s="472">
        <v>1</v>
      </c>
    </row>
    <row r="151" spans="1:21" ht="14.4" customHeight="1" x14ac:dyDescent="0.3">
      <c r="A151" s="443">
        <v>29</v>
      </c>
      <c r="B151" s="444" t="s">
        <v>439</v>
      </c>
      <c r="C151" s="444">
        <v>89301292</v>
      </c>
      <c r="D151" s="493" t="s">
        <v>896</v>
      </c>
      <c r="E151" s="494" t="s">
        <v>570</v>
      </c>
      <c r="F151" s="444" t="s">
        <v>558</v>
      </c>
      <c r="G151" s="444" t="s">
        <v>579</v>
      </c>
      <c r="H151" s="444" t="s">
        <v>897</v>
      </c>
      <c r="I151" s="444" t="s">
        <v>580</v>
      </c>
      <c r="J151" s="444" t="s">
        <v>581</v>
      </c>
      <c r="K151" s="444" t="s">
        <v>582</v>
      </c>
      <c r="L151" s="445">
        <v>184.22</v>
      </c>
      <c r="M151" s="445">
        <v>1105.32</v>
      </c>
      <c r="N151" s="444">
        <v>6</v>
      </c>
      <c r="O151" s="495">
        <v>5.5</v>
      </c>
      <c r="P151" s="445">
        <v>552.66</v>
      </c>
      <c r="Q151" s="471">
        <v>0.5</v>
      </c>
      <c r="R151" s="444">
        <v>3</v>
      </c>
      <c r="S151" s="471">
        <v>0.5</v>
      </c>
      <c r="T151" s="495">
        <v>3</v>
      </c>
      <c r="U151" s="472">
        <v>0.54545454545454541</v>
      </c>
    </row>
    <row r="152" spans="1:21" ht="14.4" customHeight="1" x14ac:dyDescent="0.3">
      <c r="A152" s="443">
        <v>29</v>
      </c>
      <c r="B152" s="444" t="s">
        <v>439</v>
      </c>
      <c r="C152" s="444">
        <v>89301292</v>
      </c>
      <c r="D152" s="493" t="s">
        <v>896</v>
      </c>
      <c r="E152" s="494" t="s">
        <v>570</v>
      </c>
      <c r="F152" s="444" t="s">
        <v>558</v>
      </c>
      <c r="G152" s="444" t="s">
        <v>856</v>
      </c>
      <c r="H152" s="444" t="s">
        <v>438</v>
      </c>
      <c r="I152" s="444" t="s">
        <v>857</v>
      </c>
      <c r="J152" s="444" t="s">
        <v>858</v>
      </c>
      <c r="K152" s="444" t="s">
        <v>859</v>
      </c>
      <c r="L152" s="445">
        <v>84.78</v>
      </c>
      <c r="M152" s="445">
        <v>84.78</v>
      </c>
      <c r="N152" s="444">
        <v>1</v>
      </c>
      <c r="O152" s="495">
        <v>0.5</v>
      </c>
      <c r="P152" s="445"/>
      <c r="Q152" s="471">
        <v>0</v>
      </c>
      <c r="R152" s="444"/>
      <c r="S152" s="471">
        <v>0</v>
      </c>
      <c r="T152" s="495"/>
      <c r="U152" s="472">
        <v>0</v>
      </c>
    </row>
    <row r="153" spans="1:21" ht="14.4" customHeight="1" x14ac:dyDescent="0.3">
      <c r="A153" s="443">
        <v>29</v>
      </c>
      <c r="B153" s="444" t="s">
        <v>439</v>
      </c>
      <c r="C153" s="444">
        <v>89301292</v>
      </c>
      <c r="D153" s="493" t="s">
        <v>896</v>
      </c>
      <c r="E153" s="494" t="s">
        <v>570</v>
      </c>
      <c r="F153" s="444" t="s">
        <v>558</v>
      </c>
      <c r="G153" s="444" t="s">
        <v>702</v>
      </c>
      <c r="H153" s="444" t="s">
        <v>438</v>
      </c>
      <c r="I153" s="444" t="s">
        <v>860</v>
      </c>
      <c r="J153" s="444" t="s">
        <v>704</v>
      </c>
      <c r="K153" s="444" t="s">
        <v>705</v>
      </c>
      <c r="L153" s="445">
        <v>115.3</v>
      </c>
      <c r="M153" s="445">
        <v>115.3</v>
      </c>
      <c r="N153" s="444">
        <v>1</v>
      </c>
      <c r="O153" s="495">
        <v>1</v>
      </c>
      <c r="P153" s="445">
        <v>115.3</v>
      </c>
      <c r="Q153" s="471">
        <v>1</v>
      </c>
      <c r="R153" s="444">
        <v>1</v>
      </c>
      <c r="S153" s="471">
        <v>1</v>
      </c>
      <c r="T153" s="495">
        <v>1</v>
      </c>
      <c r="U153" s="472">
        <v>1</v>
      </c>
    </row>
    <row r="154" spans="1:21" ht="14.4" customHeight="1" x14ac:dyDescent="0.3">
      <c r="A154" s="443">
        <v>29</v>
      </c>
      <c r="B154" s="444" t="s">
        <v>439</v>
      </c>
      <c r="C154" s="444">
        <v>89301292</v>
      </c>
      <c r="D154" s="493" t="s">
        <v>896</v>
      </c>
      <c r="E154" s="494" t="s">
        <v>570</v>
      </c>
      <c r="F154" s="444" t="s">
        <v>558</v>
      </c>
      <c r="G154" s="444" t="s">
        <v>861</v>
      </c>
      <c r="H154" s="444" t="s">
        <v>438</v>
      </c>
      <c r="I154" s="444" t="s">
        <v>862</v>
      </c>
      <c r="J154" s="444" t="s">
        <v>863</v>
      </c>
      <c r="K154" s="444" t="s">
        <v>864</v>
      </c>
      <c r="L154" s="445">
        <v>0</v>
      </c>
      <c r="M154" s="445">
        <v>0</v>
      </c>
      <c r="N154" s="444">
        <v>2</v>
      </c>
      <c r="O154" s="495">
        <v>1</v>
      </c>
      <c r="P154" s="445"/>
      <c r="Q154" s="471"/>
      <c r="R154" s="444"/>
      <c r="S154" s="471">
        <v>0</v>
      </c>
      <c r="T154" s="495"/>
      <c r="U154" s="472">
        <v>0</v>
      </c>
    </row>
    <row r="155" spans="1:21" ht="14.4" customHeight="1" x14ac:dyDescent="0.3">
      <c r="A155" s="443">
        <v>29</v>
      </c>
      <c r="B155" s="444" t="s">
        <v>439</v>
      </c>
      <c r="C155" s="444">
        <v>89301292</v>
      </c>
      <c r="D155" s="493" t="s">
        <v>896</v>
      </c>
      <c r="E155" s="494" t="s">
        <v>570</v>
      </c>
      <c r="F155" s="444" t="s">
        <v>558</v>
      </c>
      <c r="G155" s="444" t="s">
        <v>583</v>
      </c>
      <c r="H155" s="444" t="s">
        <v>438</v>
      </c>
      <c r="I155" s="444" t="s">
        <v>498</v>
      </c>
      <c r="J155" s="444" t="s">
        <v>499</v>
      </c>
      <c r="K155" s="444" t="s">
        <v>584</v>
      </c>
      <c r="L155" s="445">
        <v>50.27</v>
      </c>
      <c r="M155" s="445">
        <v>301.62</v>
      </c>
      <c r="N155" s="444">
        <v>6</v>
      </c>
      <c r="O155" s="495">
        <v>6</v>
      </c>
      <c r="P155" s="445">
        <v>100.54</v>
      </c>
      <c r="Q155" s="471">
        <v>0.33333333333333337</v>
      </c>
      <c r="R155" s="444">
        <v>2</v>
      </c>
      <c r="S155" s="471">
        <v>0.33333333333333331</v>
      </c>
      <c r="T155" s="495">
        <v>2</v>
      </c>
      <c r="U155" s="472">
        <v>0.33333333333333331</v>
      </c>
    </row>
    <row r="156" spans="1:21" ht="14.4" customHeight="1" x14ac:dyDescent="0.3">
      <c r="A156" s="443">
        <v>29</v>
      </c>
      <c r="B156" s="444" t="s">
        <v>439</v>
      </c>
      <c r="C156" s="444">
        <v>89301292</v>
      </c>
      <c r="D156" s="493" t="s">
        <v>896</v>
      </c>
      <c r="E156" s="494" t="s">
        <v>570</v>
      </c>
      <c r="F156" s="444" t="s">
        <v>558</v>
      </c>
      <c r="G156" s="444" t="s">
        <v>865</v>
      </c>
      <c r="H156" s="444" t="s">
        <v>897</v>
      </c>
      <c r="I156" s="444" t="s">
        <v>866</v>
      </c>
      <c r="J156" s="444" t="s">
        <v>867</v>
      </c>
      <c r="K156" s="444" t="s">
        <v>868</v>
      </c>
      <c r="L156" s="445">
        <v>154.01</v>
      </c>
      <c r="M156" s="445">
        <v>308.02</v>
      </c>
      <c r="N156" s="444">
        <v>2</v>
      </c>
      <c r="O156" s="495">
        <v>1.5</v>
      </c>
      <c r="P156" s="445">
        <v>154.01</v>
      </c>
      <c r="Q156" s="471">
        <v>0.5</v>
      </c>
      <c r="R156" s="444">
        <v>1</v>
      </c>
      <c r="S156" s="471">
        <v>0.5</v>
      </c>
      <c r="T156" s="495">
        <v>0.5</v>
      </c>
      <c r="U156" s="472">
        <v>0.33333333333333331</v>
      </c>
    </row>
    <row r="157" spans="1:21" ht="14.4" customHeight="1" x14ac:dyDescent="0.3">
      <c r="A157" s="443">
        <v>29</v>
      </c>
      <c r="B157" s="444" t="s">
        <v>439</v>
      </c>
      <c r="C157" s="444">
        <v>89301292</v>
      </c>
      <c r="D157" s="493" t="s">
        <v>896</v>
      </c>
      <c r="E157" s="494" t="s">
        <v>570</v>
      </c>
      <c r="F157" s="444" t="s">
        <v>558</v>
      </c>
      <c r="G157" s="444" t="s">
        <v>593</v>
      </c>
      <c r="H157" s="444" t="s">
        <v>438</v>
      </c>
      <c r="I157" s="444" t="s">
        <v>502</v>
      </c>
      <c r="J157" s="444" t="s">
        <v>503</v>
      </c>
      <c r="K157" s="444" t="s">
        <v>594</v>
      </c>
      <c r="L157" s="445">
        <v>38.65</v>
      </c>
      <c r="M157" s="445">
        <v>618.4</v>
      </c>
      <c r="N157" s="444">
        <v>16</v>
      </c>
      <c r="O157" s="495">
        <v>13.5</v>
      </c>
      <c r="P157" s="445">
        <v>463.79999999999995</v>
      </c>
      <c r="Q157" s="471">
        <v>0.75</v>
      </c>
      <c r="R157" s="444">
        <v>12</v>
      </c>
      <c r="S157" s="471">
        <v>0.75</v>
      </c>
      <c r="T157" s="495">
        <v>9.5</v>
      </c>
      <c r="U157" s="472">
        <v>0.70370370370370372</v>
      </c>
    </row>
    <row r="158" spans="1:21" ht="14.4" customHeight="1" x14ac:dyDescent="0.3">
      <c r="A158" s="443">
        <v>29</v>
      </c>
      <c r="B158" s="444" t="s">
        <v>439</v>
      </c>
      <c r="C158" s="444">
        <v>89301292</v>
      </c>
      <c r="D158" s="493" t="s">
        <v>896</v>
      </c>
      <c r="E158" s="494" t="s">
        <v>570</v>
      </c>
      <c r="F158" s="444" t="s">
        <v>558</v>
      </c>
      <c r="G158" s="444" t="s">
        <v>869</v>
      </c>
      <c r="H158" s="444" t="s">
        <v>438</v>
      </c>
      <c r="I158" s="444" t="s">
        <v>870</v>
      </c>
      <c r="J158" s="444" t="s">
        <v>871</v>
      </c>
      <c r="K158" s="444" t="s">
        <v>872</v>
      </c>
      <c r="L158" s="445">
        <v>30.65</v>
      </c>
      <c r="M158" s="445">
        <v>30.65</v>
      </c>
      <c r="N158" s="444">
        <v>1</v>
      </c>
      <c r="O158" s="495">
        <v>0.5</v>
      </c>
      <c r="P158" s="445">
        <v>30.65</v>
      </c>
      <c r="Q158" s="471">
        <v>1</v>
      </c>
      <c r="R158" s="444">
        <v>1</v>
      </c>
      <c r="S158" s="471">
        <v>1</v>
      </c>
      <c r="T158" s="495">
        <v>0.5</v>
      </c>
      <c r="U158" s="472">
        <v>1</v>
      </c>
    </row>
    <row r="159" spans="1:21" ht="14.4" customHeight="1" x14ac:dyDescent="0.3">
      <c r="A159" s="443">
        <v>29</v>
      </c>
      <c r="B159" s="444" t="s">
        <v>439</v>
      </c>
      <c r="C159" s="444">
        <v>89301292</v>
      </c>
      <c r="D159" s="493" t="s">
        <v>896</v>
      </c>
      <c r="E159" s="494" t="s">
        <v>570</v>
      </c>
      <c r="F159" s="444" t="s">
        <v>558</v>
      </c>
      <c r="G159" s="444" t="s">
        <v>600</v>
      </c>
      <c r="H159" s="444" t="s">
        <v>897</v>
      </c>
      <c r="I159" s="444" t="s">
        <v>604</v>
      </c>
      <c r="J159" s="444" t="s">
        <v>602</v>
      </c>
      <c r="K159" s="444" t="s">
        <v>605</v>
      </c>
      <c r="L159" s="445">
        <v>625.29</v>
      </c>
      <c r="M159" s="445">
        <v>625.29</v>
      </c>
      <c r="N159" s="444">
        <v>1</v>
      </c>
      <c r="O159" s="495">
        <v>0.5</v>
      </c>
      <c r="P159" s="445">
        <v>625.29</v>
      </c>
      <c r="Q159" s="471">
        <v>1</v>
      </c>
      <c r="R159" s="444">
        <v>1</v>
      </c>
      <c r="S159" s="471">
        <v>1</v>
      </c>
      <c r="T159" s="495">
        <v>0.5</v>
      </c>
      <c r="U159" s="472">
        <v>1</v>
      </c>
    </row>
    <row r="160" spans="1:21" ht="14.4" customHeight="1" x14ac:dyDescent="0.3">
      <c r="A160" s="443">
        <v>29</v>
      </c>
      <c r="B160" s="444" t="s">
        <v>439</v>
      </c>
      <c r="C160" s="444">
        <v>89301292</v>
      </c>
      <c r="D160" s="493" t="s">
        <v>896</v>
      </c>
      <c r="E160" s="494" t="s">
        <v>570</v>
      </c>
      <c r="F160" s="444" t="s">
        <v>558</v>
      </c>
      <c r="G160" s="444" t="s">
        <v>757</v>
      </c>
      <c r="H160" s="444" t="s">
        <v>897</v>
      </c>
      <c r="I160" s="444" t="s">
        <v>873</v>
      </c>
      <c r="J160" s="444" t="s">
        <v>759</v>
      </c>
      <c r="K160" s="444" t="s">
        <v>874</v>
      </c>
      <c r="L160" s="445">
        <v>96.63</v>
      </c>
      <c r="M160" s="445">
        <v>96.63</v>
      </c>
      <c r="N160" s="444">
        <v>1</v>
      </c>
      <c r="O160" s="495">
        <v>0.5</v>
      </c>
      <c r="P160" s="445">
        <v>96.63</v>
      </c>
      <c r="Q160" s="471">
        <v>1</v>
      </c>
      <c r="R160" s="444">
        <v>1</v>
      </c>
      <c r="S160" s="471">
        <v>1</v>
      </c>
      <c r="T160" s="495">
        <v>0.5</v>
      </c>
      <c r="U160" s="472">
        <v>1</v>
      </c>
    </row>
    <row r="161" spans="1:21" ht="14.4" customHeight="1" x14ac:dyDescent="0.3">
      <c r="A161" s="443">
        <v>29</v>
      </c>
      <c r="B161" s="444" t="s">
        <v>439</v>
      </c>
      <c r="C161" s="444">
        <v>89301292</v>
      </c>
      <c r="D161" s="493" t="s">
        <v>896</v>
      </c>
      <c r="E161" s="494" t="s">
        <v>570</v>
      </c>
      <c r="F161" s="444" t="s">
        <v>558</v>
      </c>
      <c r="G161" s="444" t="s">
        <v>757</v>
      </c>
      <c r="H161" s="444" t="s">
        <v>438</v>
      </c>
      <c r="I161" s="444" t="s">
        <v>758</v>
      </c>
      <c r="J161" s="444" t="s">
        <v>759</v>
      </c>
      <c r="K161" s="444" t="s">
        <v>760</v>
      </c>
      <c r="L161" s="445">
        <v>96.63</v>
      </c>
      <c r="M161" s="445">
        <v>96.63</v>
      </c>
      <c r="N161" s="444">
        <v>1</v>
      </c>
      <c r="O161" s="495">
        <v>0.5</v>
      </c>
      <c r="P161" s="445"/>
      <c r="Q161" s="471">
        <v>0</v>
      </c>
      <c r="R161" s="444"/>
      <c r="S161" s="471">
        <v>0</v>
      </c>
      <c r="T161" s="495"/>
      <c r="U161" s="472">
        <v>0</v>
      </c>
    </row>
    <row r="162" spans="1:21" ht="14.4" customHeight="1" x14ac:dyDescent="0.3">
      <c r="A162" s="443">
        <v>29</v>
      </c>
      <c r="B162" s="444" t="s">
        <v>439</v>
      </c>
      <c r="C162" s="444">
        <v>89301292</v>
      </c>
      <c r="D162" s="493" t="s">
        <v>896</v>
      </c>
      <c r="E162" s="494" t="s">
        <v>570</v>
      </c>
      <c r="F162" s="444" t="s">
        <v>558</v>
      </c>
      <c r="G162" s="444" t="s">
        <v>875</v>
      </c>
      <c r="H162" s="444" t="s">
        <v>438</v>
      </c>
      <c r="I162" s="444" t="s">
        <v>876</v>
      </c>
      <c r="J162" s="444" t="s">
        <v>877</v>
      </c>
      <c r="K162" s="444" t="s">
        <v>878</v>
      </c>
      <c r="L162" s="445">
        <v>152.6</v>
      </c>
      <c r="M162" s="445">
        <v>152.6</v>
      </c>
      <c r="N162" s="444">
        <v>1</v>
      </c>
      <c r="O162" s="495">
        <v>0.5</v>
      </c>
      <c r="P162" s="445">
        <v>152.6</v>
      </c>
      <c r="Q162" s="471">
        <v>1</v>
      </c>
      <c r="R162" s="444">
        <v>1</v>
      </c>
      <c r="S162" s="471">
        <v>1</v>
      </c>
      <c r="T162" s="495">
        <v>0.5</v>
      </c>
      <c r="U162" s="472">
        <v>1</v>
      </c>
    </row>
    <row r="163" spans="1:21" ht="14.4" customHeight="1" x14ac:dyDescent="0.3">
      <c r="A163" s="443">
        <v>29</v>
      </c>
      <c r="B163" s="444" t="s">
        <v>439</v>
      </c>
      <c r="C163" s="444">
        <v>89301292</v>
      </c>
      <c r="D163" s="493" t="s">
        <v>896</v>
      </c>
      <c r="E163" s="494" t="s">
        <v>570</v>
      </c>
      <c r="F163" s="444" t="s">
        <v>558</v>
      </c>
      <c r="G163" s="444" t="s">
        <v>616</v>
      </c>
      <c r="H163" s="444" t="s">
        <v>438</v>
      </c>
      <c r="I163" s="444" t="s">
        <v>617</v>
      </c>
      <c r="J163" s="444" t="s">
        <v>618</v>
      </c>
      <c r="K163" s="444" t="s">
        <v>619</v>
      </c>
      <c r="L163" s="445">
        <v>0</v>
      </c>
      <c r="M163" s="445">
        <v>0</v>
      </c>
      <c r="N163" s="444">
        <v>1</v>
      </c>
      <c r="O163" s="495">
        <v>1</v>
      </c>
      <c r="P163" s="445">
        <v>0</v>
      </c>
      <c r="Q163" s="471"/>
      <c r="R163" s="444">
        <v>1</v>
      </c>
      <c r="S163" s="471">
        <v>1</v>
      </c>
      <c r="T163" s="495">
        <v>1</v>
      </c>
      <c r="U163" s="472">
        <v>1</v>
      </c>
    </row>
    <row r="164" spans="1:21" ht="14.4" customHeight="1" x14ac:dyDescent="0.3">
      <c r="A164" s="443">
        <v>29</v>
      </c>
      <c r="B164" s="444" t="s">
        <v>439</v>
      </c>
      <c r="C164" s="444">
        <v>89301292</v>
      </c>
      <c r="D164" s="493" t="s">
        <v>896</v>
      </c>
      <c r="E164" s="494" t="s">
        <v>570</v>
      </c>
      <c r="F164" s="444" t="s">
        <v>558</v>
      </c>
      <c r="G164" s="444" t="s">
        <v>620</v>
      </c>
      <c r="H164" s="444" t="s">
        <v>438</v>
      </c>
      <c r="I164" s="444" t="s">
        <v>510</v>
      </c>
      <c r="J164" s="444" t="s">
        <v>511</v>
      </c>
      <c r="K164" s="444" t="s">
        <v>621</v>
      </c>
      <c r="L164" s="445">
        <v>314.69</v>
      </c>
      <c r="M164" s="445">
        <v>944.06999999999994</v>
      </c>
      <c r="N164" s="444">
        <v>3</v>
      </c>
      <c r="O164" s="495">
        <v>1.5</v>
      </c>
      <c r="P164" s="445">
        <v>944.06999999999994</v>
      </c>
      <c r="Q164" s="471">
        <v>1</v>
      </c>
      <c r="R164" s="444">
        <v>3</v>
      </c>
      <c r="S164" s="471">
        <v>1</v>
      </c>
      <c r="T164" s="495">
        <v>1.5</v>
      </c>
      <c r="U164" s="472">
        <v>1</v>
      </c>
    </row>
    <row r="165" spans="1:21" ht="14.4" customHeight="1" x14ac:dyDescent="0.3">
      <c r="A165" s="443">
        <v>29</v>
      </c>
      <c r="B165" s="444" t="s">
        <v>439</v>
      </c>
      <c r="C165" s="444">
        <v>89301292</v>
      </c>
      <c r="D165" s="493" t="s">
        <v>896</v>
      </c>
      <c r="E165" s="494" t="s">
        <v>570</v>
      </c>
      <c r="F165" s="444" t="s">
        <v>558</v>
      </c>
      <c r="G165" s="444" t="s">
        <v>815</v>
      </c>
      <c r="H165" s="444" t="s">
        <v>438</v>
      </c>
      <c r="I165" s="444" t="s">
        <v>816</v>
      </c>
      <c r="J165" s="444" t="s">
        <v>817</v>
      </c>
      <c r="K165" s="444" t="s">
        <v>818</v>
      </c>
      <c r="L165" s="445">
        <v>194.73</v>
      </c>
      <c r="M165" s="445">
        <v>194.73</v>
      </c>
      <c r="N165" s="444">
        <v>1</v>
      </c>
      <c r="O165" s="495">
        <v>1</v>
      </c>
      <c r="P165" s="445"/>
      <c r="Q165" s="471">
        <v>0</v>
      </c>
      <c r="R165" s="444"/>
      <c r="S165" s="471">
        <v>0</v>
      </c>
      <c r="T165" s="495"/>
      <c r="U165" s="472">
        <v>0</v>
      </c>
    </row>
    <row r="166" spans="1:21" ht="14.4" customHeight="1" x14ac:dyDescent="0.3">
      <c r="A166" s="443">
        <v>29</v>
      </c>
      <c r="B166" s="444" t="s">
        <v>439</v>
      </c>
      <c r="C166" s="444">
        <v>89301292</v>
      </c>
      <c r="D166" s="493" t="s">
        <v>896</v>
      </c>
      <c r="E166" s="494" t="s">
        <v>570</v>
      </c>
      <c r="F166" s="444" t="s">
        <v>558</v>
      </c>
      <c r="G166" s="444" t="s">
        <v>677</v>
      </c>
      <c r="H166" s="444" t="s">
        <v>897</v>
      </c>
      <c r="I166" s="444" t="s">
        <v>879</v>
      </c>
      <c r="J166" s="444" t="s">
        <v>880</v>
      </c>
      <c r="K166" s="444" t="s">
        <v>881</v>
      </c>
      <c r="L166" s="445">
        <v>32.74</v>
      </c>
      <c r="M166" s="445">
        <v>65.48</v>
      </c>
      <c r="N166" s="444">
        <v>2</v>
      </c>
      <c r="O166" s="495">
        <v>1</v>
      </c>
      <c r="P166" s="445">
        <v>32.74</v>
      </c>
      <c r="Q166" s="471">
        <v>0.5</v>
      </c>
      <c r="R166" s="444">
        <v>1</v>
      </c>
      <c r="S166" s="471">
        <v>0.5</v>
      </c>
      <c r="T166" s="495">
        <v>0.5</v>
      </c>
      <c r="U166" s="472">
        <v>0.5</v>
      </c>
    </row>
    <row r="167" spans="1:21" ht="14.4" customHeight="1" x14ac:dyDescent="0.3">
      <c r="A167" s="443">
        <v>29</v>
      </c>
      <c r="B167" s="444" t="s">
        <v>439</v>
      </c>
      <c r="C167" s="444">
        <v>89301292</v>
      </c>
      <c r="D167" s="493" t="s">
        <v>896</v>
      </c>
      <c r="E167" s="494" t="s">
        <v>570</v>
      </c>
      <c r="F167" s="444" t="s">
        <v>558</v>
      </c>
      <c r="G167" s="444" t="s">
        <v>677</v>
      </c>
      <c r="H167" s="444" t="s">
        <v>897</v>
      </c>
      <c r="I167" s="444" t="s">
        <v>882</v>
      </c>
      <c r="J167" s="444" t="s">
        <v>679</v>
      </c>
      <c r="K167" s="444" t="s">
        <v>883</v>
      </c>
      <c r="L167" s="445">
        <v>98.23</v>
      </c>
      <c r="M167" s="445">
        <v>98.23</v>
      </c>
      <c r="N167" s="444">
        <v>1</v>
      </c>
      <c r="O167" s="495">
        <v>1</v>
      </c>
      <c r="P167" s="445"/>
      <c r="Q167" s="471">
        <v>0</v>
      </c>
      <c r="R167" s="444"/>
      <c r="S167" s="471">
        <v>0</v>
      </c>
      <c r="T167" s="495"/>
      <c r="U167" s="472">
        <v>0</v>
      </c>
    </row>
    <row r="168" spans="1:21" ht="14.4" customHeight="1" x14ac:dyDescent="0.3">
      <c r="A168" s="443">
        <v>29</v>
      </c>
      <c r="B168" s="444" t="s">
        <v>439</v>
      </c>
      <c r="C168" s="444">
        <v>89301292</v>
      </c>
      <c r="D168" s="493" t="s">
        <v>896</v>
      </c>
      <c r="E168" s="494" t="s">
        <v>570</v>
      </c>
      <c r="F168" s="444" t="s">
        <v>558</v>
      </c>
      <c r="G168" s="444" t="s">
        <v>833</v>
      </c>
      <c r="H168" s="444" t="s">
        <v>438</v>
      </c>
      <c r="I168" s="444" t="s">
        <v>834</v>
      </c>
      <c r="J168" s="444" t="s">
        <v>835</v>
      </c>
      <c r="K168" s="444" t="s">
        <v>836</v>
      </c>
      <c r="L168" s="445">
        <v>17.53</v>
      </c>
      <c r="M168" s="445">
        <v>17.53</v>
      </c>
      <c r="N168" s="444">
        <v>1</v>
      </c>
      <c r="O168" s="495">
        <v>1</v>
      </c>
      <c r="P168" s="445">
        <v>17.53</v>
      </c>
      <c r="Q168" s="471">
        <v>1</v>
      </c>
      <c r="R168" s="444">
        <v>1</v>
      </c>
      <c r="S168" s="471">
        <v>1</v>
      </c>
      <c r="T168" s="495">
        <v>1</v>
      </c>
      <c r="U168" s="472">
        <v>1</v>
      </c>
    </row>
    <row r="169" spans="1:21" ht="14.4" customHeight="1" x14ac:dyDescent="0.3">
      <c r="A169" s="443">
        <v>29</v>
      </c>
      <c r="B169" s="444" t="s">
        <v>439</v>
      </c>
      <c r="C169" s="444">
        <v>89301292</v>
      </c>
      <c r="D169" s="493" t="s">
        <v>896</v>
      </c>
      <c r="E169" s="494" t="s">
        <v>570</v>
      </c>
      <c r="F169" s="444" t="s">
        <v>558</v>
      </c>
      <c r="G169" s="444" t="s">
        <v>884</v>
      </c>
      <c r="H169" s="444" t="s">
        <v>438</v>
      </c>
      <c r="I169" s="444" t="s">
        <v>885</v>
      </c>
      <c r="J169" s="444" t="s">
        <v>886</v>
      </c>
      <c r="K169" s="444" t="s">
        <v>887</v>
      </c>
      <c r="L169" s="445">
        <v>0</v>
      </c>
      <c r="M169" s="445">
        <v>0</v>
      </c>
      <c r="N169" s="444">
        <v>1</v>
      </c>
      <c r="O169" s="495">
        <v>1</v>
      </c>
      <c r="P169" s="445">
        <v>0</v>
      </c>
      <c r="Q169" s="471"/>
      <c r="R169" s="444">
        <v>1</v>
      </c>
      <c r="S169" s="471">
        <v>1</v>
      </c>
      <c r="T169" s="495">
        <v>1</v>
      </c>
      <c r="U169" s="472">
        <v>1</v>
      </c>
    </row>
    <row r="170" spans="1:21" ht="14.4" customHeight="1" x14ac:dyDescent="0.3">
      <c r="A170" s="443">
        <v>29</v>
      </c>
      <c r="B170" s="444" t="s">
        <v>439</v>
      </c>
      <c r="C170" s="444">
        <v>89301292</v>
      </c>
      <c r="D170" s="493" t="s">
        <v>896</v>
      </c>
      <c r="E170" s="494" t="s">
        <v>570</v>
      </c>
      <c r="F170" s="444" t="s">
        <v>559</v>
      </c>
      <c r="G170" s="444" t="s">
        <v>630</v>
      </c>
      <c r="H170" s="444" t="s">
        <v>438</v>
      </c>
      <c r="I170" s="444" t="s">
        <v>631</v>
      </c>
      <c r="J170" s="444" t="s">
        <v>632</v>
      </c>
      <c r="K170" s="444" t="s">
        <v>633</v>
      </c>
      <c r="L170" s="445">
        <v>410</v>
      </c>
      <c r="M170" s="445">
        <v>6560</v>
      </c>
      <c r="N170" s="444">
        <v>16</v>
      </c>
      <c r="O170" s="495">
        <v>8</v>
      </c>
      <c r="P170" s="445">
        <v>4920</v>
      </c>
      <c r="Q170" s="471">
        <v>0.75</v>
      </c>
      <c r="R170" s="444">
        <v>12</v>
      </c>
      <c r="S170" s="471">
        <v>0.75</v>
      </c>
      <c r="T170" s="495">
        <v>6</v>
      </c>
      <c r="U170" s="472">
        <v>0.75</v>
      </c>
    </row>
    <row r="171" spans="1:21" ht="14.4" customHeight="1" x14ac:dyDescent="0.3">
      <c r="A171" s="443">
        <v>29</v>
      </c>
      <c r="B171" s="444" t="s">
        <v>439</v>
      </c>
      <c r="C171" s="444">
        <v>89301292</v>
      </c>
      <c r="D171" s="493" t="s">
        <v>896</v>
      </c>
      <c r="E171" s="494" t="s">
        <v>570</v>
      </c>
      <c r="F171" s="444" t="s">
        <v>559</v>
      </c>
      <c r="G171" s="444" t="s">
        <v>630</v>
      </c>
      <c r="H171" s="444" t="s">
        <v>438</v>
      </c>
      <c r="I171" s="444" t="s">
        <v>888</v>
      </c>
      <c r="J171" s="444" t="s">
        <v>889</v>
      </c>
      <c r="K171" s="444" t="s">
        <v>890</v>
      </c>
      <c r="L171" s="445">
        <v>566</v>
      </c>
      <c r="M171" s="445">
        <v>1132</v>
      </c>
      <c r="N171" s="444">
        <v>2</v>
      </c>
      <c r="O171" s="495">
        <v>1</v>
      </c>
      <c r="P171" s="445">
        <v>1132</v>
      </c>
      <c r="Q171" s="471">
        <v>1</v>
      </c>
      <c r="R171" s="444">
        <v>2</v>
      </c>
      <c r="S171" s="471">
        <v>1</v>
      </c>
      <c r="T171" s="495">
        <v>1</v>
      </c>
      <c r="U171" s="472">
        <v>1</v>
      </c>
    </row>
    <row r="172" spans="1:21" ht="14.4" customHeight="1" x14ac:dyDescent="0.3">
      <c r="A172" s="443">
        <v>29</v>
      </c>
      <c r="B172" s="444" t="s">
        <v>439</v>
      </c>
      <c r="C172" s="444">
        <v>89301292</v>
      </c>
      <c r="D172" s="493" t="s">
        <v>896</v>
      </c>
      <c r="E172" s="494" t="s">
        <v>570</v>
      </c>
      <c r="F172" s="444" t="s">
        <v>559</v>
      </c>
      <c r="G172" s="444" t="s">
        <v>634</v>
      </c>
      <c r="H172" s="444" t="s">
        <v>438</v>
      </c>
      <c r="I172" s="444" t="s">
        <v>688</v>
      </c>
      <c r="J172" s="444" t="s">
        <v>636</v>
      </c>
      <c r="K172" s="444" t="s">
        <v>689</v>
      </c>
      <c r="L172" s="445">
        <v>175.15</v>
      </c>
      <c r="M172" s="445">
        <v>700.6</v>
      </c>
      <c r="N172" s="444">
        <v>4</v>
      </c>
      <c r="O172" s="495">
        <v>2</v>
      </c>
      <c r="P172" s="445">
        <v>700.6</v>
      </c>
      <c r="Q172" s="471">
        <v>1</v>
      </c>
      <c r="R172" s="444">
        <v>4</v>
      </c>
      <c r="S172" s="471">
        <v>1</v>
      </c>
      <c r="T172" s="495">
        <v>2</v>
      </c>
      <c r="U172" s="472">
        <v>1</v>
      </c>
    </row>
    <row r="173" spans="1:21" ht="14.4" customHeight="1" x14ac:dyDescent="0.3">
      <c r="A173" s="443">
        <v>29</v>
      </c>
      <c r="B173" s="444" t="s">
        <v>439</v>
      </c>
      <c r="C173" s="444">
        <v>89301292</v>
      </c>
      <c r="D173" s="493" t="s">
        <v>896</v>
      </c>
      <c r="E173" s="494" t="s">
        <v>570</v>
      </c>
      <c r="F173" s="444" t="s">
        <v>559</v>
      </c>
      <c r="G173" s="444" t="s">
        <v>634</v>
      </c>
      <c r="H173" s="444" t="s">
        <v>438</v>
      </c>
      <c r="I173" s="444" t="s">
        <v>638</v>
      </c>
      <c r="J173" s="444" t="s">
        <v>636</v>
      </c>
      <c r="K173" s="444" t="s">
        <v>639</v>
      </c>
      <c r="L173" s="445">
        <v>200</v>
      </c>
      <c r="M173" s="445">
        <v>1000</v>
      </c>
      <c r="N173" s="444">
        <v>5</v>
      </c>
      <c r="O173" s="495">
        <v>3</v>
      </c>
      <c r="P173" s="445">
        <v>600</v>
      </c>
      <c r="Q173" s="471">
        <v>0.6</v>
      </c>
      <c r="R173" s="444">
        <v>3</v>
      </c>
      <c r="S173" s="471">
        <v>0.6</v>
      </c>
      <c r="T173" s="495">
        <v>2</v>
      </c>
      <c r="U173" s="472">
        <v>0.66666666666666663</v>
      </c>
    </row>
    <row r="174" spans="1:21" ht="14.4" customHeight="1" x14ac:dyDescent="0.3">
      <c r="A174" s="443">
        <v>29</v>
      </c>
      <c r="B174" s="444" t="s">
        <v>439</v>
      </c>
      <c r="C174" s="444">
        <v>89301292</v>
      </c>
      <c r="D174" s="493" t="s">
        <v>896</v>
      </c>
      <c r="E174" s="494" t="s">
        <v>570</v>
      </c>
      <c r="F174" s="444" t="s">
        <v>559</v>
      </c>
      <c r="G174" s="444" t="s">
        <v>634</v>
      </c>
      <c r="H174" s="444" t="s">
        <v>438</v>
      </c>
      <c r="I174" s="444" t="s">
        <v>640</v>
      </c>
      <c r="J174" s="444" t="s">
        <v>641</v>
      </c>
      <c r="K174" s="444" t="s">
        <v>642</v>
      </c>
      <c r="L174" s="445">
        <v>841.47</v>
      </c>
      <c r="M174" s="445">
        <v>1682.94</v>
      </c>
      <c r="N174" s="444">
        <v>2</v>
      </c>
      <c r="O174" s="495">
        <v>1</v>
      </c>
      <c r="P174" s="445">
        <v>1682.94</v>
      </c>
      <c r="Q174" s="471">
        <v>1</v>
      </c>
      <c r="R174" s="444">
        <v>2</v>
      </c>
      <c r="S174" s="471">
        <v>1</v>
      </c>
      <c r="T174" s="495">
        <v>1</v>
      </c>
      <c r="U174" s="472">
        <v>1</v>
      </c>
    </row>
    <row r="175" spans="1:21" ht="14.4" customHeight="1" x14ac:dyDescent="0.3">
      <c r="A175" s="443">
        <v>29</v>
      </c>
      <c r="B175" s="444" t="s">
        <v>439</v>
      </c>
      <c r="C175" s="444">
        <v>89301292</v>
      </c>
      <c r="D175" s="493" t="s">
        <v>896</v>
      </c>
      <c r="E175" s="494" t="s">
        <v>570</v>
      </c>
      <c r="F175" s="444" t="s">
        <v>559</v>
      </c>
      <c r="G175" s="444" t="s">
        <v>650</v>
      </c>
      <c r="H175" s="444" t="s">
        <v>438</v>
      </c>
      <c r="I175" s="444" t="s">
        <v>891</v>
      </c>
      <c r="J175" s="444" t="s">
        <v>892</v>
      </c>
      <c r="K175" s="444"/>
      <c r="L175" s="445">
        <v>80.349999999999994</v>
      </c>
      <c r="M175" s="445">
        <v>80.349999999999994</v>
      </c>
      <c r="N175" s="444">
        <v>1</v>
      </c>
      <c r="O175" s="495">
        <v>1</v>
      </c>
      <c r="P175" s="445">
        <v>80.349999999999994</v>
      </c>
      <c r="Q175" s="471">
        <v>1</v>
      </c>
      <c r="R175" s="444">
        <v>1</v>
      </c>
      <c r="S175" s="471">
        <v>1</v>
      </c>
      <c r="T175" s="495">
        <v>1</v>
      </c>
      <c r="U175" s="472">
        <v>1</v>
      </c>
    </row>
    <row r="176" spans="1:21" ht="14.4" customHeight="1" thickBot="1" x14ac:dyDescent="0.35">
      <c r="A176" s="449">
        <v>29</v>
      </c>
      <c r="B176" s="450" t="s">
        <v>439</v>
      </c>
      <c r="C176" s="450">
        <v>89301292</v>
      </c>
      <c r="D176" s="496" t="s">
        <v>896</v>
      </c>
      <c r="E176" s="497" t="s">
        <v>570</v>
      </c>
      <c r="F176" s="450" t="s">
        <v>559</v>
      </c>
      <c r="G176" s="450" t="s">
        <v>650</v>
      </c>
      <c r="H176" s="450" t="s">
        <v>438</v>
      </c>
      <c r="I176" s="450" t="s">
        <v>893</v>
      </c>
      <c r="J176" s="450" t="s">
        <v>894</v>
      </c>
      <c r="K176" s="450" t="s">
        <v>895</v>
      </c>
      <c r="L176" s="451">
        <v>350</v>
      </c>
      <c r="M176" s="451">
        <v>350</v>
      </c>
      <c r="N176" s="450">
        <v>1</v>
      </c>
      <c r="O176" s="498">
        <v>1</v>
      </c>
      <c r="P176" s="451"/>
      <c r="Q176" s="473">
        <v>0</v>
      </c>
      <c r="R176" s="450"/>
      <c r="S176" s="473">
        <v>0</v>
      </c>
      <c r="T176" s="498"/>
      <c r="U176" s="47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6" customWidth="1"/>
    <col min="2" max="2" width="10" style="215" customWidth="1"/>
    <col min="3" max="3" width="5.5546875" style="218" customWidth="1"/>
    <col min="4" max="4" width="10" style="215" customWidth="1"/>
    <col min="5" max="5" width="5.5546875" style="218" customWidth="1"/>
    <col min="6" max="6" width="10" style="215" customWidth="1"/>
    <col min="7" max="7" width="8.88671875" style="136" customWidth="1"/>
    <col min="8" max="16384" width="8.88671875" style="136"/>
  </cols>
  <sheetData>
    <row r="1" spans="1:6" ht="37.799999999999997" customHeight="1" thickBot="1" x14ac:dyDescent="0.4">
      <c r="A1" s="349" t="s">
        <v>899</v>
      </c>
      <c r="B1" s="350"/>
      <c r="C1" s="350"/>
      <c r="D1" s="350"/>
      <c r="E1" s="350"/>
      <c r="F1" s="350"/>
    </row>
    <row r="2" spans="1:6" ht="14.4" customHeight="1" thickBot="1" x14ac:dyDescent="0.35">
      <c r="A2" s="243" t="s">
        <v>249</v>
      </c>
      <c r="B2" s="63"/>
      <c r="C2" s="64"/>
      <c r="D2" s="65"/>
      <c r="E2" s="64"/>
      <c r="F2" s="65"/>
    </row>
    <row r="3" spans="1:6" ht="14.4" customHeight="1" thickBot="1" x14ac:dyDescent="0.35">
      <c r="A3" s="104"/>
      <c r="B3" s="351" t="s">
        <v>138</v>
      </c>
      <c r="C3" s="352"/>
      <c r="D3" s="353" t="s">
        <v>137</v>
      </c>
      <c r="E3" s="352"/>
      <c r="F3" s="80" t="s">
        <v>6</v>
      </c>
    </row>
    <row r="4" spans="1:6" ht="14.4" customHeight="1" thickBot="1" x14ac:dyDescent="0.35">
      <c r="A4" s="499" t="s">
        <v>195</v>
      </c>
      <c r="B4" s="500" t="s">
        <v>17</v>
      </c>
      <c r="C4" s="501" t="s">
        <v>5</v>
      </c>
      <c r="D4" s="500" t="s">
        <v>17</v>
      </c>
      <c r="E4" s="501" t="s">
        <v>5</v>
      </c>
      <c r="F4" s="502" t="s">
        <v>17</v>
      </c>
    </row>
    <row r="5" spans="1:6" ht="14.4" customHeight="1" x14ac:dyDescent="0.3">
      <c r="A5" s="511" t="s">
        <v>569</v>
      </c>
      <c r="B5" s="122"/>
      <c r="C5" s="492">
        <v>0</v>
      </c>
      <c r="D5" s="122">
        <v>2666.48</v>
      </c>
      <c r="E5" s="492">
        <v>1</v>
      </c>
      <c r="F5" s="503">
        <v>2666.48</v>
      </c>
    </row>
    <row r="6" spans="1:6" ht="14.4" customHeight="1" x14ac:dyDescent="0.3">
      <c r="A6" s="512" t="s">
        <v>568</v>
      </c>
      <c r="B6" s="447"/>
      <c r="C6" s="471">
        <v>0</v>
      </c>
      <c r="D6" s="447">
        <v>666.62</v>
      </c>
      <c r="E6" s="471">
        <v>1</v>
      </c>
      <c r="F6" s="448">
        <v>666.62</v>
      </c>
    </row>
    <row r="7" spans="1:6" ht="14.4" customHeight="1" x14ac:dyDescent="0.3">
      <c r="A7" s="512" t="s">
        <v>567</v>
      </c>
      <c r="B7" s="447"/>
      <c r="C7" s="471">
        <v>0</v>
      </c>
      <c r="D7" s="447">
        <v>3480.82</v>
      </c>
      <c r="E7" s="471">
        <v>1</v>
      </c>
      <c r="F7" s="448">
        <v>3480.82</v>
      </c>
    </row>
    <row r="8" spans="1:6" ht="14.4" customHeight="1" x14ac:dyDescent="0.3">
      <c r="A8" s="512" t="s">
        <v>564</v>
      </c>
      <c r="B8" s="447"/>
      <c r="C8" s="471">
        <v>0</v>
      </c>
      <c r="D8" s="447">
        <v>1657.2000000000003</v>
      </c>
      <c r="E8" s="471">
        <v>1</v>
      </c>
      <c r="F8" s="448">
        <v>1657.2000000000003</v>
      </c>
    </row>
    <row r="9" spans="1:6" ht="14.4" customHeight="1" x14ac:dyDescent="0.3">
      <c r="A9" s="512" t="s">
        <v>570</v>
      </c>
      <c r="B9" s="447"/>
      <c r="C9" s="471">
        <v>0</v>
      </c>
      <c r="D9" s="447">
        <v>4187.7699999999995</v>
      </c>
      <c r="E9" s="471">
        <v>1</v>
      </c>
      <c r="F9" s="448">
        <v>4187.7699999999995</v>
      </c>
    </row>
    <row r="10" spans="1:6" ht="14.4" customHeight="1" x14ac:dyDescent="0.3">
      <c r="A10" s="512" t="s">
        <v>565</v>
      </c>
      <c r="B10" s="447"/>
      <c r="C10" s="471">
        <v>0</v>
      </c>
      <c r="D10" s="447">
        <v>552.66</v>
      </c>
      <c r="E10" s="471">
        <v>1</v>
      </c>
      <c r="F10" s="448">
        <v>552.66</v>
      </c>
    </row>
    <row r="11" spans="1:6" ht="14.4" customHeight="1" x14ac:dyDescent="0.3">
      <c r="A11" s="512" t="s">
        <v>563</v>
      </c>
      <c r="B11" s="447"/>
      <c r="C11" s="471">
        <v>0</v>
      </c>
      <c r="D11" s="447">
        <v>4166.57</v>
      </c>
      <c r="E11" s="471">
        <v>1</v>
      </c>
      <c r="F11" s="448">
        <v>4166.57</v>
      </c>
    </row>
    <row r="12" spans="1:6" ht="14.4" customHeight="1" thickBot="1" x14ac:dyDescent="0.35">
      <c r="A12" s="513" t="s">
        <v>566</v>
      </c>
      <c r="B12" s="504"/>
      <c r="C12" s="505">
        <v>0</v>
      </c>
      <c r="D12" s="504">
        <v>439.15</v>
      </c>
      <c r="E12" s="505">
        <v>1</v>
      </c>
      <c r="F12" s="506">
        <v>439.15</v>
      </c>
    </row>
    <row r="13" spans="1:6" ht="14.4" customHeight="1" thickBot="1" x14ac:dyDescent="0.35">
      <c r="A13" s="507" t="s">
        <v>6</v>
      </c>
      <c r="B13" s="508"/>
      <c r="C13" s="509">
        <v>0</v>
      </c>
      <c r="D13" s="508">
        <v>17817.27</v>
      </c>
      <c r="E13" s="509">
        <v>1</v>
      </c>
      <c r="F13" s="510">
        <v>17817.27</v>
      </c>
    </row>
    <row r="14" spans="1:6" ht="14.4" customHeight="1" thickBot="1" x14ac:dyDescent="0.35"/>
    <row r="15" spans="1:6" ht="14.4" customHeight="1" x14ac:dyDescent="0.3">
      <c r="A15" s="511" t="s">
        <v>900</v>
      </c>
      <c r="B15" s="122"/>
      <c r="C15" s="492">
        <v>0</v>
      </c>
      <c r="D15" s="122">
        <v>139.72</v>
      </c>
      <c r="E15" s="492">
        <v>1</v>
      </c>
      <c r="F15" s="503">
        <v>139.72</v>
      </c>
    </row>
    <row r="16" spans="1:6" ht="14.4" customHeight="1" x14ac:dyDescent="0.3">
      <c r="A16" s="512" t="s">
        <v>901</v>
      </c>
      <c r="B16" s="447"/>
      <c r="C16" s="471">
        <v>0</v>
      </c>
      <c r="D16" s="447">
        <v>137.74</v>
      </c>
      <c r="E16" s="471">
        <v>1</v>
      </c>
      <c r="F16" s="448">
        <v>137.74</v>
      </c>
    </row>
    <row r="17" spans="1:6" ht="14.4" customHeight="1" x14ac:dyDescent="0.3">
      <c r="A17" s="512" t="s">
        <v>902</v>
      </c>
      <c r="B17" s="447"/>
      <c r="C17" s="471">
        <v>0</v>
      </c>
      <c r="D17" s="447">
        <v>196.45</v>
      </c>
      <c r="E17" s="471">
        <v>1</v>
      </c>
      <c r="F17" s="448">
        <v>196.45</v>
      </c>
    </row>
    <row r="18" spans="1:6" ht="14.4" customHeight="1" x14ac:dyDescent="0.3">
      <c r="A18" s="512" t="s">
        <v>903</v>
      </c>
      <c r="B18" s="447"/>
      <c r="C18" s="471">
        <v>0</v>
      </c>
      <c r="D18" s="447">
        <v>176.39999999999998</v>
      </c>
      <c r="E18" s="471">
        <v>1</v>
      </c>
      <c r="F18" s="448">
        <v>176.39999999999998</v>
      </c>
    </row>
    <row r="19" spans="1:6" ht="14.4" customHeight="1" x14ac:dyDescent="0.3">
      <c r="A19" s="512" t="s">
        <v>904</v>
      </c>
      <c r="B19" s="447"/>
      <c r="C19" s="471">
        <v>0</v>
      </c>
      <c r="D19" s="447">
        <v>308.02</v>
      </c>
      <c r="E19" s="471">
        <v>1</v>
      </c>
      <c r="F19" s="448">
        <v>308.02</v>
      </c>
    </row>
    <row r="20" spans="1:6" ht="14.4" customHeight="1" x14ac:dyDescent="0.3">
      <c r="A20" s="512" t="s">
        <v>905</v>
      </c>
      <c r="B20" s="447"/>
      <c r="C20" s="471">
        <v>0</v>
      </c>
      <c r="D20" s="447">
        <v>9665.9900000000016</v>
      </c>
      <c r="E20" s="471">
        <v>1</v>
      </c>
      <c r="F20" s="448">
        <v>9665.9900000000016</v>
      </c>
    </row>
    <row r="21" spans="1:6" ht="14.4" customHeight="1" x14ac:dyDescent="0.3">
      <c r="A21" s="512" t="s">
        <v>906</v>
      </c>
      <c r="B21" s="447"/>
      <c r="C21" s="471">
        <v>0</v>
      </c>
      <c r="D21" s="447">
        <v>96.63</v>
      </c>
      <c r="E21" s="471">
        <v>1</v>
      </c>
      <c r="F21" s="448">
        <v>96.63</v>
      </c>
    </row>
    <row r="22" spans="1:6" ht="14.4" customHeight="1" x14ac:dyDescent="0.3">
      <c r="A22" s="512" t="s">
        <v>907</v>
      </c>
      <c r="B22" s="447"/>
      <c r="C22" s="471">
        <v>0</v>
      </c>
      <c r="D22" s="447">
        <v>1842.1999999999998</v>
      </c>
      <c r="E22" s="471">
        <v>1</v>
      </c>
      <c r="F22" s="448">
        <v>1842.1999999999998</v>
      </c>
    </row>
    <row r="23" spans="1:6" ht="14.4" customHeight="1" x14ac:dyDescent="0.3">
      <c r="A23" s="512" t="s">
        <v>908</v>
      </c>
      <c r="B23" s="447"/>
      <c r="C23" s="471">
        <v>0</v>
      </c>
      <c r="D23" s="447">
        <v>94.8</v>
      </c>
      <c r="E23" s="471">
        <v>1</v>
      </c>
      <c r="F23" s="448">
        <v>94.8</v>
      </c>
    </row>
    <row r="24" spans="1:6" ht="14.4" customHeight="1" x14ac:dyDescent="0.3">
      <c r="A24" s="512" t="s">
        <v>909</v>
      </c>
      <c r="B24" s="447"/>
      <c r="C24" s="471">
        <v>0</v>
      </c>
      <c r="D24" s="447">
        <v>175.19</v>
      </c>
      <c r="E24" s="471">
        <v>1</v>
      </c>
      <c r="F24" s="448">
        <v>175.19</v>
      </c>
    </row>
    <row r="25" spans="1:6" ht="14.4" customHeight="1" x14ac:dyDescent="0.3">
      <c r="A25" s="512" t="s">
        <v>910</v>
      </c>
      <c r="B25" s="447"/>
      <c r="C25" s="471">
        <v>0</v>
      </c>
      <c r="D25" s="447">
        <v>4761.88</v>
      </c>
      <c r="E25" s="471">
        <v>1</v>
      </c>
      <c r="F25" s="448">
        <v>4761.88</v>
      </c>
    </row>
    <row r="26" spans="1:6" ht="14.4" customHeight="1" thickBot="1" x14ac:dyDescent="0.35">
      <c r="A26" s="513" t="s">
        <v>911</v>
      </c>
      <c r="B26" s="504"/>
      <c r="C26" s="505">
        <v>0</v>
      </c>
      <c r="D26" s="504">
        <v>222.25</v>
      </c>
      <c r="E26" s="505">
        <v>1</v>
      </c>
      <c r="F26" s="506">
        <v>222.25</v>
      </c>
    </row>
    <row r="27" spans="1:6" ht="14.4" customHeight="1" thickBot="1" x14ac:dyDescent="0.35">
      <c r="A27" s="507" t="s">
        <v>6</v>
      </c>
      <c r="B27" s="508"/>
      <c r="C27" s="509">
        <v>0</v>
      </c>
      <c r="D27" s="508">
        <v>17817.270000000004</v>
      </c>
      <c r="E27" s="509">
        <v>1</v>
      </c>
      <c r="F27" s="510">
        <v>17817.270000000004</v>
      </c>
    </row>
  </sheetData>
  <mergeCells count="3">
    <mergeCell ref="A1:F1"/>
    <mergeCell ref="B3:C3"/>
    <mergeCell ref="D3:E3"/>
  </mergeCells>
  <conditionalFormatting sqref="C5:C1048576">
    <cfRule type="cellIs" dxfId="17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{63F936C0-A7B8-4297-9F96-2459B4C58052}</x14:id>
        </ext>
      </extLst>
    </cfRule>
  </conditionalFormatting>
  <conditionalFormatting sqref="F15:F2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{1114C3C6-21D6-4319-A649-F88C5A14218B}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F936C0-A7B8-4297-9F96-2459B4C580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1114C3C6-21D6-4319-A649-F88C5A14218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F15:F26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6" customWidth="1"/>
    <col min="2" max="2" width="8.88671875" style="136" bestFit="1" customWidth="1"/>
    <col min="3" max="3" width="7" style="136" bestFit="1" customWidth="1"/>
    <col min="4" max="5" width="22.21875" style="136" customWidth="1"/>
    <col min="6" max="6" width="6.6640625" style="215" customWidth="1"/>
    <col min="7" max="7" width="10" style="215" customWidth="1"/>
    <col min="8" max="8" width="6.77734375" style="218" customWidth="1"/>
    <col min="9" max="9" width="6.6640625" style="215" customWidth="1"/>
    <col min="10" max="10" width="10" style="215" customWidth="1"/>
    <col min="11" max="11" width="6.77734375" style="218" customWidth="1"/>
    <col min="12" max="12" width="6.6640625" style="215" customWidth="1"/>
    <col min="13" max="13" width="10" style="215" customWidth="1"/>
    <col min="14" max="16384" width="8.88671875" style="136"/>
  </cols>
  <sheetData>
    <row r="1" spans="1:13" ht="18.600000000000001" customHeight="1" thickBot="1" x14ac:dyDescent="0.4">
      <c r="A1" s="350" t="s">
        <v>924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18"/>
      <c r="M1" s="318"/>
    </row>
    <row r="2" spans="1:13" ht="14.4" customHeight="1" thickBot="1" x14ac:dyDescent="0.35">
      <c r="A2" s="243" t="s">
        <v>249</v>
      </c>
      <c r="B2" s="214"/>
      <c r="C2" s="214"/>
      <c r="D2" s="214"/>
      <c r="E2" s="214"/>
      <c r="F2" s="222"/>
      <c r="G2" s="222"/>
      <c r="H2" s="223"/>
      <c r="I2" s="222"/>
      <c r="J2" s="222"/>
      <c r="K2" s="223"/>
      <c r="L2" s="222"/>
    </row>
    <row r="3" spans="1:13" ht="14.4" customHeight="1" thickBot="1" x14ac:dyDescent="0.35">
      <c r="E3" s="79" t="s">
        <v>136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69</v>
      </c>
      <c r="J3" s="43">
        <f>SUBTOTAL(9,J6:J1048576)</f>
        <v>17817.27</v>
      </c>
      <c r="K3" s="44">
        <f>IF(M3=0,0,J3/M3)</f>
        <v>1</v>
      </c>
      <c r="L3" s="43">
        <f>SUBTOTAL(9,L6:L1048576)</f>
        <v>69</v>
      </c>
      <c r="M3" s="45">
        <f>SUBTOTAL(9,M6:M1048576)</f>
        <v>17817.27</v>
      </c>
    </row>
    <row r="4" spans="1:13" ht="14.4" customHeight="1" thickBot="1" x14ac:dyDescent="0.35">
      <c r="A4" s="41"/>
      <c r="B4" s="41"/>
      <c r="C4" s="41"/>
      <c r="D4" s="41"/>
      <c r="E4" s="42"/>
      <c r="F4" s="354" t="s">
        <v>138</v>
      </c>
      <c r="G4" s="355"/>
      <c r="H4" s="356"/>
      <c r="I4" s="357" t="s">
        <v>137</v>
      </c>
      <c r="J4" s="355"/>
      <c r="K4" s="356"/>
      <c r="L4" s="358" t="s">
        <v>6</v>
      </c>
      <c r="M4" s="359"/>
    </row>
    <row r="5" spans="1:13" ht="14.4" customHeight="1" thickBot="1" x14ac:dyDescent="0.35">
      <c r="A5" s="499" t="s">
        <v>143</v>
      </c>
      <c r="B5" s="515" t="s">
        <v>139</v>
      </c>
      <c r="C5" s="515" t="s">
        <v>74</v>
      </c>
      <c r="D5" s="515" t="s">
        <v>140</v>
      </c>
      <c r="E5" s="515" t="s">
        <v>141</v>
      </c>
      <c r="F5" s="516" t="s">
        <v>31</v>
      </c>
      <c r="G5" s="516" t="s">
        <v>17</v>
      </c>
      <c r="H5" s="501" t="s">
        <v>142</v>
      </c>
      <c r="I5" s="500" t="s">
        <v>31</v>
      </c>
      <c r="J5" s="516" t="s">
        <v>17</v>
      </c>
      <c r="K5" s="501" t="s">
        <v>142</v>
      </c>
      <c r="L5" s="500" t="s">
        <v>31</v>
      </c>
      <c r="M5" s="517" t="s">
        <v>17</v>
      </c>
    </row>
    <row r="6" spans="1:13" ht="14.4" customHeight="1" x14ac:dyDescent="0.3">
      <c r="A6" s="486" t="s">
        <v>563</v>
      </c>
      <c r="B6" s="487" t="s">
        <v>912</v>
      </c>
      <c r="C6" s="487" t="s">
        <v>601</v>
      </c>
      <c r="D6" s="487" t="s">
        <v>602</v>
      </c>
      <c r="E6" s="487" t="s">
        <v>603</v>
      </c>
      <c r="F6" s="122"/>
      <c r="G6" s="122"/>
      <c r="H6" s="492">
        <v>0</v>
      </c>
      <c r="I6" s="122">
        <v>1</v>
      </c>
      <c r="J6" s="122">
        <v>468.96</v>
      </c>
      <c r="K6" s="492">
        <v>1</v>
      </c>
      <c r="L6" s="122">
        <v>1</v>
      </c>
      <c r="M6" s="503">
        <v>468.96</v>
      </c>
    </row>
    <row r="7" spans="1:13" ht="14.4" customHeight="1" x14ac:dyDescent="0.3">
      <c r="A7" s="443" t="s">
        <v>563</v>
      </c>
      <c r="B7" s="444" t="s">
        <v>912</v>
      </c>
      <c r="C7" s="444" t="s">
        <v>604</v>
      </c>
      <c r="D7" s="444" t="s">
        <v>602</v>
      </c>
      <c r="E7" s="444" t="s">
        <v>605</v>
      </c>
      <c r="F7" s="447"/>
      <c r="G7" s="447"/>
      <c r="H7" s="471">
        <v>0</v>
      </c>
      <c r="I7" s="447">
        <v>3</v>
      </c>
      <c r="J7" s="447">
        <v>1875.87</v>
      </c>
      <c r="K7" s="471">
        <v>1</v>
      </c>
      <c r="L7" s="447">
        <v>3</v>
      </c>
      <c r="M7" s="448">
        <v>1875.87</v>
      </c>
    </row>
    <row r="8" spans="1:13" ht="14.4" customHeight="1" x14ac:dyDescent="0.3">
      <c r="A8" s="443" t="s">
        <v>563</v>
      </c>
      <c r="B8" s="444" t="s">
        <v>912</v>
      </c>
      <c r="C8" s="444" t="s">
        <v>606</v>
      </c>
      <c r="D8" s="444" t="s">
        <v>602</v>
      </c>
      <c r="E8" s="444" t="s">
        <v>607</v>
      </c>
      <c r="F8" s="447"/>
      <c r="G8" s="447"/>
      <c r="H8" s="471">
        <v>0</v>
      </c>
      <c r="I8" s="447">
        <v>1</v>
      </c>
      <c r="J8" s="447">
        <v>1166.47</v>
      </c>
      <c r="K8" s="471">
        <v>1</v>
      </c>
      <c r="L8" s="447">
        <v>1</v>
      </c>
      <c r="M8" s="448">
        <v>1166.47</v>
      </c>
    </row>
    <row r="9" spans="1:13" ht="14.4" customHeight="1" x14ac:dyDescent="0.3">
      <c r="A9" s="443" t="s">
        <v>563</v>
      </c>
      <c r="B9" s="444" t="s">
        <v>913</v>
      </c>
      <c r="C9" s="444" t="s">
        <v>572</v>
      </c>
      <c r="D9" s="444" t="s">
        <v>573</v>
      </c>
      <c r="E9" s="444" t="s">
        <v>574</v>
      </c>
      <c r="F9" s="447"/>
      <c r="G9" s="447"/>
      <c r="H9" s="471">
        <v>0</v>
      </c>
      <c r="I9" s="447">
        <v>1</v>
      </c>
      <c r="J9" s="447">
        <v>333.31</v>
      </c>
      <c r="K9" s="471">
        <v>1</v>
      </c>
      <c r="L9" s="447">
        <v>1</v>
      </c>
      <c r="M9" s="448">
        <v>333.31</v>
      </c>
    </row>
    <row r="10" spans="1:13" ht="14.4" customHeight="1" x14ac:dyDescent="0.3">
      <c r="A10" s="443" t="s">
        <v>563</v>
      </c>
      <c r="B10" s="444" t="s">
        <v>914</v>
      </c>
      <c r="C10" s="444" t="s">
        <v>580</v>
      </c>
      <c r="D10" s="444" t="s">
        <v>581</v>
      </c>
      <c r="E10" s="444" t="s">
        <v>582</v>
      </c>
      <c r="F10" s="447"/>
      <c r="G10" s="447"/>
      <c r="H10" s="471">
        <v>0</v>
      </c>
      <c r="I10" s="447">
        <v>1</v>
      </c>
      <c r="J10" s="447">
        <v>184.22</v>
      </c>
      <c r="K10" s="471">
        <v>1</v>
      </c>
      <c r="L10" s="447">
        <v>1</v>
      </c>
      <c r="M10" s="448">
        <v>184.22</v>
      </c>
    </row>
    <row r="11" spans="1:13" ht="14.4" customHeight="1" x14ac:dyDescent="0.3">
      <c r="A11" s="443" t="s">
        <v>563</v>
      </c>
      <c r="B11" s="444" t="s">
        <v>915</v>
      </c>
      <c r="C11" s="444" t="s">
        <v>596</v>
      </c>
      <c r="D11" s="444" t="s">
        <v>597</v>
      </c>
      <c r="E11" s="444" t="s">
        <v>598</v>
      </c>
      <c r="F11" s="447"/>
      <c r="G11" s="447"/>
      <c r="H11" s="471">
        <v>0</v>
      </c>
      <c r="I11" s="447">
        <v>1</v>
      </c>
      <c r="J11" s="447">
        <v>137.74</v>
      </c>
      <c r="K11" s="471">
        <v>1</v>
      </c>
      <c r="L11" s="447">
        <v>1</v>
      </c>
      <c r="M11" s="448">
        <v>137.74</v>
      </c>
    </row>
    <row r="12" spans="1:13" ht="14.4" customHeight="1" x14ac:dyDescent="0.3">
      <c r="A12" s="443" t="s">
        <v>564</v>
      </c>
      <c r="B12" s="444" t="s">
        <v>912</v>
      </c>
      <c r="C12" s="444" t="s">
        <v>604</v>
      </c>
      <c r="D12" s="444" t="s">
        <v>602</v>
      </c>
      <c r="E12" s="444" t="s">
        <v>605</v>
      </c>
      <c r="F12" s="447"/>
      <c r="G12" s="447"/>
      <c r="H12" s="471">
        <v>0</v>
      </c>
      <c r="I12" s="447">
        <v>1</v>
      </c>
      <c r="J12" s="447">
        <v>625.29</v>
      </c>
      <c r="K12" s="471">
        <v>1</v>
      </c>
      <c r="L12" s="447">
        <v>1</v>
      </c>
      <c r="M12" s="448">
        <v>625.29</v>
      </c>
    </row>
    <row r="13" spans="1:13" ht="14.4" customHeight="1" x14ac:dyDescent="0.3">
      <c r="A13" s="443" t="s">
        <v>564</v>
      </c>
      <c r="B13" s="444" t="s">
        <v>916</v>
      </c>
      <c r="C13" s="444" t="s">
        <v>674</v>
      </c>
      <c r="D13" s="444" t="s">
        <v>675</v>
      </c>
      <c r="E13" s="444" t="s">
        <v>676</v>
      </c>
      <c r="F13" s="447"/>
      <c r="G13" s="447"/>
      <c r="H13" s="471">
        <v>0</v>
      </c>
      <c r="I13" s="447">
        <v>1</v>
      </c>
      <c r="J13" s="447">
        <v>17.64</v>
      </c>
      <c r="K13" s="471">
        <v>1</v>
      </c>
      <c r="L13" s="447">
        <v>1</v>
      </c>
      <c r="M13" s="448">
        <v>17.64</v>
      </c>
    </row>
    <row r="14" spans="1:13" ht="14.4" customHeight="1" x14ac:dyDescent="0.3">
      <c r="A14" s="443" t="s">
        <v>564</v>
      </c>
      <c r="B14" s="444" t="s">
        <v>913</v>
      </c>
      <c r="C14" s="444" t="s">
        <v>572</v>
      </c>
      <c r="D14" s="444" t="s">
        <v>573</v>
      </c>
      <c r="E14" s="444" t="s">
        <v>574</v>
      </c>
      <c r="F14" s="447"/>
      <c r="G14" s="447"/>
      <c r="H14" s="471">
        <v>0</v>
      </c>
      <c r="I14" s="447">
        <v>2</v>
      </c>
      <c r="J14" s="447">
        <v>666.62</v>
      </c>
      <c r="K14" s="471">
        <v>1</v>
      </c>
      <c r="L14" s="447">
        <v>2</v>
      </c>
      <c r="M14" s="448">
        <v>666.62</v>
      </c>
    </row>
    <row r="15" spans="1:13" ht="14.4" customHeight="1" x14ac:dyDescent="0.3">
      <c r="A15" s="443" t="s">
        <v>564</v>
      </c>
      <c r="B15" s="444" t="s">
        <v>917</v>
      </c>
      <c r="C15" s="444" t="s">
        <v>667</v>
      </c>
      <c r="D15" s="444" t="s">
        <v>668</v>
      </c>
      <c r="E15" s="444" t="s">
        <v>669</v>
      </c>
      <c r="F15" s="447"/>
      <c r="G15" s="447"/>
      <c r="H15" s="471">
        <v>0</v>
      </c>
      <c r="I15" s="447">
        <v>1</v>
      </c>
      <c r="J15" s="447">
        <v>175.19</v>
      </c>
      <c r="K15" s="471">
        <v>1</v>
      </c>
      <c r="L15" s="447">
        <v>1</v>
      </c>
      <c r="M15" s="448">
        <v>175.19</v>
      </c>
    </row>
    <row r="16" spans="1:13" ht="14.4" customHeight="1" x14ac:dyDescent="0.3">
      <c r="A16" s="443" t="s">
        <v>564</v>
      </c>
      <c r="B16" s="444" t="s">
        <v>918</v>
      </c>
      <c r="C16" s="444" t="s">
        <v>658</v>
      </c>
      <c r="D16" s="444" t="s">
        <v>659</v>
      </c>
      <c r="E16" s="444" t="s">
        <v>582</v>
      </c>
      <c r="F16" s="447"/>
      <c r="G16" s="447"/>
      <c r="H16" s="471">
        <v>0</v>
      </c>
      <c r="I16" s="447">
        <v>2</v>
      </c>
      <c r="J16" s="447">
        <v>139.72</v>
      </c>
      <c r="K16" s="471">
        <v>1</v>
      </c>
      <c r="L16" s="447">
        <v>2</v>
      </c>
      <c r="M16" s="448">
        <v>139.72</v>
      </c>
    </row>
    <row r="17" spans="1:13" ht="14.4" customHeight="1" x14ac:dyDescent="0.3">
      <c r="A17" s="443" t="s">
        <v>564</v>
      </c>
      <c r="B17" s="444" t="s">
        <v>919</v>
      </c>
      <c r="C17" s="444" t="s">
        <v>678</v>
      </c>
      <c r="D17" s="444" t="s">
        <v>679</v>
      </c>
      <c r="E17" s="444" t="s">
        <v>680</v>
      </c>
      <c r="F17" s="447"/>
      <c r="G17" s="447"/>
      <c r="H17" s="471">
        <v>0</v>
      </c>
      <c r="I17" s="447">
        <v>1</v>
      </c>
      <c r="J17" s="447">
        <v>32.74</v>
      </c>
      <c r="K17" s="471">
        <v>1</v>
      </c>
      <c r="L17" s="447">
        <v>1</v>
      </c>
      <c r="M17" s="448">
        <v>32.74</v>
      </c>
    </row>
    <row r="18" spans="1:13" ht="14.4" customHeight="1" x14ac:dyDescent="0.3">
      <c r="A18" s="443" t="s">
        <v>565</v>
      </c>
      <c r="B18" s="444" t="s">
        <v>914</v>
      </c>
      <c r="C18" s="444" t="s">
        <v>580</v>
      </c>
      <c r="D18" s="444" t="s">
        <v>581</v>
      </c>
      <c r="E18" s="444" t="s">
        <v>582</v>
      </c>
      <c r="F18" s="447"/>
      <c r="G18" s="447"/>
      <c r="H18" s="471">
        <v>0</v>
      </c>
      <c r="I18" s="447">
        <v>3</v>
      </c>
      <c r="J18" s="447">
        <v>552.66</v>
      </c>
      <c r="K18" s="471">
        <v>1</v>
      </c>
      <c r="L18" s="447">
        <v>3</v>
      </c>
      <c r="M18" s="448">
        <v>552.66</v>
      </c>
    </row>
    <row r="19" spans="1:13" ht="14.4" customHeight="1" x14ac:dyDescent="0.3">
      <c r="A19" s="443" t="s">
        <v>570</v>
      </c>
      <c r="B19" s="444" t="s">
        <v>912</v>
      </c>
      <c r="C19" s="444" t="s">
        <v>604</v>
      </c>
      <c r="D19" s="444" t="s">
        <v>602</v>
      </c>
      <c r="E19" s="444" t="s">
        <v>605</v>
      </c>
      <c r="F19" s="447"/>
      <c r="G19" s="447"/>
      <c r="H19" s="471">
        <v>0</v>
      </c>
      <c r="I19" s="447">
        <v>1</v>
      </c>
      <c r="J19" s="447">
        <v>625.29</v>
      </c>
      <c r="K19" s="471">
        <v>1</v>
      </c>
      <c r="L19" s="447">
        <v>1</v>
      </c>
      <c r="M19" s="448">
        <v>625.29</v>
      </c>
    </row>
    <row r="20" spans="1:13" ht="14.4" customHeight="1" x14ac:dyDescent="0.3">
      <c r="A20" s="443" t="s">
        <v>570</v>
      </c>
      <c r="B20" s="444" t="s">
        <v>913</v>
      </c>
      <c r="C20" s="444" t="s">
        <v>572</v>
      </c>
      <c r="D20" s="444" t="s">
        <v>573</v>
      </c>
      <c r="E20" s="444" t="s">
        <v>574</v>
      </c>
      <c r="F20" s="447"/>
      <c r="G20" s="447"/>
      <c r="H20" s="471">
        <v>0</v>
      </c>
      <c r="I20" s="447">
        <v>4</v>
      </c>
      <c r="J20" s="447">
        <v>1333.24</v>
      </c>
      <c r="K20" s="471">
        <v>1</v>
      </c>
      <c r="L20" s="447">
        <v>4</v>
      </c>
      <c r="M20" s="448">
        <v>1333.24</v>
      </c>
    </row>
    <row r="21" spans="1:13" ht="14.4" customHeight="1" x14ac:dyDescent="0.3">
      <c r="A21" s="443" t="s">
        <v>570</v>
      </c>
      <c r="B21" s="444" t="s">
        <v>913</v>
      </c>
      <c r="C21" s="444" t="s">
        <v>748</v>
      </c>
      <c r="D21" s="444" t="s">
        <v>749</v>
      </c>
      <c r="E21" s="444" t="s">
        <v>750</v>
      </c>
      <c r="F21" s="447"/>
      <c r="G21" s="447"/>
      <c r="H21" s="471">
        <v>0</v>
      </c>
      <c r="I21" s="447">
        <v>1</v>
      </c>
      <c r="J21" s="447">
        <v>333.31</v>
      </c>
      <c r="K21" s="471">
        <v>1</v>
      </c>
      <c r="L21" s="447">
        <v>1</v>
      </c>
      <c r="M21" s="448">
        <v>333.31</v>
      </c>
    </row>
    <row r="22" spans="1:13" ht="14.4" customHeight="1" x14ac:dyDescent="0.3">
      <c r="A22" s="443" t="s">
        <v>570</v>
      </c>
      <c r="B22" s="444" t="s">
        <v>914</v>
      </c>
      <c r="C22" s="444" t="s">
        <v>580</v>
      </c>
      <c r="D22" s="444" t="s">
        <v>581</v>
      </c>
      <c r="E22" s="444" t="s">
        <v>582</v>
      </c>
      <c r="F22" s="447"/>
      <c r="G22" s="447"/>
      <c r="H22" s="471">
        <v>0</v>
      </c>
      <c r="I22" s="447">
        <v>6</v>
      </c>
      <c r="J22" s="447">
        <v>1105.32</v>
      </c>
      <c r="K22" s="471">
        <v>1</v>
      </c>
      <c r="L22" s="447">
        <v>6</v>
      </c>
      <c r="M22" s="448">
        <v>1105.32</v>
      </c>
    </row>
    <row r="23" spans="1:13" ht="14.4" customHeight="1" x14ac:dyDescent="0.3">
      <c r="A23" s="443" t="s">
        <v>570</v>
      </c>
      <c r="B23" s="444" t="s">
        <v>920</v>
      </c>
      <c r="C23" s="444" t="s">
        <v>853</v>
      </c>
      <c r="D23" s="444" t="s">
        <v>854</v>
      </c>
      <c r="E23" s="444" t="s">
        <v>855</v>
      </c>
      <c r="F23" s="447"/>
      <c r="G23" s="447"/>
      <c r="H23" s="471">
        <v>0</v>
      </c>
      <c r="I23" s="447">
        <v>1</v>
      </c>
      <c r="J23" s="447">
        <v>222.25</v>
      </c>
      <c r="K23" s="471">
        <v>1</v>
      </c>
      <c r="L23" s="447">
        <v>1</v>
      </c>
      <c r="M23" s="448">
        <v>222.25</v>
      </c>
    </row>
    <row r="24" spans="1:13" ht="14.4" customHeight="1" x14ac:dyDescent="0.3">
      <c r="A24" s="443" t="s">
        <v>570</v>
      </c>
      <c r="B24" s="444" t="s">
        <v>921</v>
      </c>
      <c r="C24" s="444" t="s">
        <v>866</v>
      </c>
      <c r="D24" s="444" t="s">
        <v>867</v>
      </c>
      <c r="E24" s="444" t="s">
        <v>868</v>
      </c>
      <c r="F24" s="447"/>
      <c r="G24" s="447"/>
      <c r="H24" s="471">
        <v>0</v>
      </c>
      <c r="I24" s="447">
        <v>2</v>
      </c>
      <c r="J24" s="447">
        <v>308.02</v>
      </c>
      <c r="K24" s="471">
        <v>1</v>
      </c>
      <c r="L24" s="447">
        <v>2</v>
      </c>
      <c r="M24" s="448">
        <v>308.02</v>
      </c>
    </row>
    <row r="25" spans="1:13" ht="14.4" customHeight="1" x14ac:dyDescent="0.3">
      <c r="A25" s="443" t="s">
        <v>570</v>
      </c>
      <c r="B25" s="444" t="s">
        <v>922</v>
      </c>
      <c r="C25" s="444" t="s">
        <v>873</v>
      </c>
      <c r="D25" s="444" t="s">
        <v>759</v>
      </c>
      <c r="E25" s="444" t="s">
        <v>874</v>
      </c>
      <c r="F25" s="447"/>
      <c r="G25" s="447"/>
      <c r="H25" s="471">
        <v>0</v>
      </c>
      <c r="I25" s="447">
        <v>1</v>
      </c>
      <c r="J25" s="447">
        <v>96.63</v>
      </c>
      <c r="K25" s="471">
        <v>1</v>
      </c>
      <c r="L25" s="447">
        <v>1</v>
      </c>
      <c r="M25" s="448">
        <v>96.63</v>
      </c>
    </row>
    <row r="26" spans="1:13" ht="14.4" customHeight="1" x14ac:dyDescent="0.3">
      <c r="A26" s="443" t="s">
        <v>570</v>
      </c>
      <c r="B26" s="444" t="s">
        <v>919</v>
      </c>
      <c r="C26" s="444" t="s">
        <v>879</v>
      </c>
      <c r="D26" s="444" t="s">
        <v>880</v>
      </c>
      <c r="E26" s="444" t="s">
        <v>881</v>
      </c>
      <c r="F26" s="447"/>
      <c r="G26" s="447"/>
      <c r="H26" s="471">
        <v>0</v>
      </c>
      <c r="I26" s="447">
        <v>2</v>
      </c>
      <c r="J26" s="447">
        <v>65.48</v>
      </c>
      <c r="K26" s="471">
        <v>1</v>
      </c>
      <c r="L26" s="447">
        <v>2</v>
      </c>
      <c r="M26" s="448">
        <v>65.48</v>
      </c>
    </row>
    <row r="27" spans="1:13" ht="14.4" customHeight="1" x14ac:dyDescent="0.3">
      <c r="A27" s="443" t="s">
        <v>570</v>
      </c>
      <c r="B27" s="444" t="s">
        <v>919</v>
      </c>
      <c r="C27" s="444" t="s">
        <v>882</v>
      </c>
      <c r="D27" s="444" t="s">
        <v>679</v>
      </c>
      <c r="E27" s="444" t="s">
        <v>883</v>
      </c>
      <c r="F27" s="447"/>
      <c r="G27" s="447"/>
      <c r="H27" s="471">
        <v>0</v>
      </c>
      <c r="I27" s="447">
        <v>1</v>
      </c>
      <c r="J27" s="447">
        <v>98.23</v>
      </c>
      <c r="K27" s="471">
        <v>1</v>
      </c>
      <c r="L27" s="447">
        <v>1</v>
      </c>
      <c r="M27" s="448">
        <v>98.23</v>
      </c>
    </row>
    <row r="28" spans="1:13" ht="14.4" customHeight="1" x14ac:dyDescent="0.3">
      <c r="A28" s="443" t="s">
        <v>566</v>
      </c>
      <c r="B28" s="444" t="s">
        <v>916</v>
      </c>
      <c r="C28" s="444" t="s">
        <v>674</v>
      </c>
      <c r="D28" s="444" t="s">
        <v>675</v>
      </c>
      <c r="E28" s="444" t="s">
        <v>676</v>
      </c>
      <c r="F28" s="447"/>
      <c r="G28" s="447"/>
      <c r="H28" s="471">
        <v>0</v>
      </c>
      <c r="I28" s="447">
        <v>6</v>
      </c>
      <c r="J28" s="447">
        <v>105.84</v>
      </c>
      <c r="K28" s="471">
        <v>1</v>
      </c>
      <c r="L28" s="447">
        <v>6</v>
      </c>
      <c r="M28" s="448">
        <v>105.84</v>
      </c>
    </row>
    <row r="29" spans="1:13" ht="14.4" customHeight="1" x14ac:dyDescent="0.3">
      <c r="A29" s="443" t="s">
        <v>566</v>
      </c>
      <c r="B29" s="444" t="s">
        <v>913</v>
      </c>
      <c r="C29" s="444" t="s">
        <v>572</v>
      </c>
      <c r="D29" s="444" t="s">
        <v>573</v>
      </c>
      <c r="E29" s="444" t="s">
        <v>574</v>
      </c>
      <c r="F29" s="447"/>
      <c r="G29" s="447"/>
      <c r="H29" s="471">
        <v>0</v>
      </c>
      <c r="I29" s="447">
        <v>1</v>
      </c>
      <c r="J29" s="447">
        <v>333.31</v>
      </c>
      <c r="K29" s="471">
        <v>1</v>
      </c>
      <c r="L29" s="447">
        <v>1</v>
      </c>
      <c r="M29" s="448">
        <v>333.31</v>
      </c>
    </row>
    <row r="30" spans="1:13" ht="14.4" customHeight="1" x14ac:dyDescent="0.3">
      <c r="A30" s="443" t="s">
        <v>567</v>
      </c>
      <c r="B30" s="444" t="s">
        <v>916</v>
      </c>
      <c r="C30" s="444" t="s">
        <v>674</v>
      </c>
      <c r="D30" s="444" t="s">
        <v>675</v>
      </c>
      <c r="E30" s="444" t="s">
        <v>676</v>
      </c>
      <c r="F30" s="447"/>
      <c r="G30" s="447"/>
      <c r="H30" s="471">
        <v>0</v>
      </c>
      <c r="I30" s="447">
        <v>3</v>
      </c>
      <c r="J30" s="447">
        <v>52.92</v>
      </c>
      <c r="K30" s="471">
        <v>1</v>
      </c>
      <c r="L30" s="447">
        <v>3</v>
      </c>
      <c r="M30" s="448">
        <v>52.92</v>
      </c>
    </row>
    <row r="31" spans="1:13" ht="14.4" customHeight="1" x14ac:dyDescent="0.3">
      <c r="A31" s="443" t="s">
        <v>567</v>
      </c>
      <c r="B31" s="444" t="s">
        <v>913</v>
      </c>
      <c r="C31" s="444" t="s">
        <v>572</v>
      </c>
      <c r="D31" s="444" t="s">
        <v>573</v>
      </c>
      <c r="E31" s="444" t="s">
        <v>574</v>
      </c>
      <c r="F31" s="447"/>
      <c r="G31" s="447"/>
      <c r="H31" s="471">
        <v>0</v>
      </c>
      <c r="I31" s="447">
        <v>8</v>
      </c>
      <c r="J31" s="447">
        <v>2666.48</v>
      </c>
      <c r="K31" s="471">
        <v>1</v>
      </c>
      <c r="L31" s="447">
        <v>8</v>
      </c>
      <c r="M31" s="448">
        <v>2666.48</v>
      </c>
    </row>
    <row r="32" spans="1:13" ht="14.4" customHeight="1" x14ac:dyDescent="0.3">
      <c r="A32" s="443" t="s">
        <v>567</v>
      </c>
      <c r="B32" s="444" t="s">
        <v>913</v>
      </c>
      <c r="C32" s="444" t="s">
        <v>748</v>
      </c>
      <c r="D32" s="444" t="s">
        <v>749</v>
      </c>
      <c r="E32" s="444" t="s">
        <v>750</v>
      </c>
      <c r="F32" s="447"/>
      <c r="G32" s="447"/>
      <c r="H32" s="471">
        <v>0</v>
      </c>
      <c r="I32" s="447">
        <v>2</v>
      </c>
      <c r="J32" s="447">
        <v>666.62</v>
      </c>
      <c r="K32" s="471">
        <v>1</v>
      </c>
      <c r="L32" s="447">
        <v>2</v>
      </c>
      <c r="M32" s="448">
        <v>666.62</v>
      </c>
    </row>
    <row r="33" spans="1:13" ht="14.4" customHeight="1" x14ac:dyDescent="0.3">
      <c r="A33" s="443" t="s">
        <v>567</v>
      </c>
      <c r="B33" s="444" t="s">
        <v>923</v>
      </c>
      <c r="C33" s="444" t="s">
        <v>766</v>
      </c>
      <c r="D33" s="444" t="s">
        <v>767</v>
      </c>
      <c r="E33" s="444" t="s">
        <v>768</v>
      </c>
      <c r="F33" s="447"/>
      <c r="G33" s="447"/>
      <c r="H33" s="471">
        <v>0</v>
      </c>
      <c r="I33" s="447">
        <v>1</v>
      </c>
      <c r="J33" s="447">
        <v>94.8</v>
      </c>
      <c r="K33" s="471">
        <v>1</v>
      </c>
      <c r="L33" s="447">
        <v>1</v>
      </c>
      <c r="M33" s="448">
        <v>94.8</v>
      </c>
    </row>
    <row r="34" spans="1:13" ht="14.4" customHeight="1" x14ac:dyDescent="0.3">
      <c r="A34" s="443" t="s">
        <v>569</v>
      </c>
      <c r="B34" s="444" t="s">
        <v>913</v>
      </c>
      <c r="C34" s="444" t="s">
        <v>572</v>
      </c>
      <c r="D34" s="444" t="s">
        <v>573</v>
      </c>
      <c r="E34" s="444" t="s">
        <v>574</v>
      </c>
      <c r="F34" s="447"/>
      <c r="G34" s="447"/>
      <c r="H34" s="471">
        <v>0</v>
      </c>
      <c r="I34" s="447">
        <v>8</v>
      </c>
      <c r="J34" s="447">
        <v>2666.48</v>
      </c>
      <c r="K34" s="471">
        <v>1</v>
      </c>
      <c r="L34" s="447">
        <v>8</v>
      </c>
      <c r="M34" s="448">
        <v>2666.48</v>
      </c>
    </row>
    <row r="35" spans="1:13" ht="14.4" customHeight="1" x14ac:dyDescent="0.3">
      <c r="A35" s="443" t="s">
        <v>568</v>
      </c>
      <c r="B35" s="444" t="s">
        <v>913</v>
      </c>
      <c r="C35" s="444" t="s">
        <v>783</v>
      </c>
      <c r="D35" s="444" t="s">
        <v>784</v>
      </c>
      <c r="E35" s="444" t="s">
        <v>785</v>
      </c>
      <c r="F35" s="447"/>
      <c r="G35" s="447"/>
      <c r="H35" s="471">
        <v>0</v>
      </c>
      <c r="I35" s="447">
        <v>1</v>
      </c>
      <c r="J35" s="447">
        <v>333.31</v>
      </c>
      <c r="K35" s="471">
        <v>1</v>
      </c>
      <c r="L35" s="447">
        <v>1</v>
      </c>
      <c r="M35" s="448">
        <v>333.31</v>
      </c>
    </row>
    <row r="36" spans="1:13" ht="14.4" customHeight="1" thickBot="1" x14ac:dyDescent="0.35">
      <c r="A36" s="449" t="s">
        <v>568</v>
      </c>
      <c r="B36" s="450" t="s">
        <v>913</v>
      </c>
      <c r="C36" s="450" t="s">
        <v>748</v>
      </c>
      <c r="D36" s="450" t="s">
        <v>749</v>
      </c>
      <c r="E36" s="450" t="s">
        <v>750</v>
      </c>
      <c r="F36" s="453"/>
      <c r="G36" s="453"/>
      <c r="H36" s="473">
        <v>0</v>
      </c>
      <c r="I36" s="453">
        <v>1</v>
      </c>
      <c r="J36" s="453">
        <v>333.31</v>
      </c>
      <c r="K36" s="473">
        <v>1</v>
      </c>
      <c r="L36" s="453">
        <v>1</v>
      </c>
      <c r="M36" s="454">
        <v>333.31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37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216" bestFit="1" customWidth="1"/>
    <col min="2" max="2" width="9.33203125" style="216" customWidth="1"/>
    <col min="3" max="3" width="28.88671875" style="136" bestFit="1" customWidth="1"/>
    <col min="4" max="5" width="11.109375" style="217" customWidth="1"/>
    <col min="6" max="6" width="6.6640625" style="218" customWidth="1"/>
    <col min="7" max="7" width="12.21875" style="215" bestFit="1" customWidth="1"/>
    <col min="8" max="8" width="0" style="136" hidden="1" customWidth="1"/>
    <col min="9" max="16384" width="8.88671875" style="136"/>
  </cols>
  <sheetData>
    <row r="1" spans="1:9" ht="18.600000000000001" customHeight="1" thickBot="1" x14ac:dyDescent="0.4">
      <c r="A1" s="342" t="s">
        <v>147</v>
      </c>
      <c r="B1" s="343"/>
      <c r="C1" s="343"/>
      <c r="D1" s="343"/>
      <c r="E1" s="343"/>
      <c r="F1" s="343"/>
      <c r="G1" s="319"/>
    </row>
    <row r="2" spans="1:9" ht="14.4" customHeight="1" thickBot="1" x14ac:dyDescent="0.35">
      <c r="A2" s="243" t="s">
        <v>249</v>
      </c>
      <c r="B2" s="214"/>
      <c r="C2" s="214"/>
      <c r="D2" s="214"/>
      <c r="E2" s="214"/>
      <c r="F2" s="214"/>
    </row>
    <row r="3" spans="1:9" ht="14.4" customHeight="1" thickBot="1" x14ac:dyDescent="0.35">
      <c r="A3" s="81" t="s">
        <v>0</v>
      </c>
      <c r="B3" s="82" t="s">
        <v>1</v>
      </c>
      <c r="C3" s="99" t="s">
        <v>2</v>
      </c>
      <c r="D3" s="100" t="s">
        <v>3</v>
      </c>
      <c r="E3" s="100" t="s">
        <v>4</v>
      </c>
      <c r="F3" s="100" t="s">
        <v>5</v>
      </c>
      <c r="G3" s="101" t="s">
        <v>150</v>
      </c>
    </row>
    <row r="4" spans="1:9" ht="14.4" customHeight="1" x14ac:dyDescent="0.3">
      <c r="A4" s="428" t="s">
        <v>437</v>
      </c>
      <c r="B4" s="429" t="s">
        <v>438</v>
      </c>
      <c r="C4" s="430" t="s">
        <v>439</v>
      </c>
      <c r="D4" s="430" t="s">
        <v>438</v>
      </c>
      <c r="E4" s="430" t="s">
        <v>438</v>
      </c>
      <c r="F4" s="431" t="s">
        <v>438</v>
      </c>
      <c r="G4" s="430" t="s">
        <v>438</v>
      </c>
      <c r="H4" s="430" t="s">
        <v>72</v>
      </c>
      <c r="I4"/>
    </row>
    <row r="5" spans="1:9" ht="14.4" customHeight="1" x14ac:dyDescent="0.3">
      <c r="A5" s="428" t="s">
        <v>437</v>
      </c>
      <c r="B5" s="429" t="s">
        <v>925</v>
      </c>
      <c r="C5" s="430" t="s">
        <v>926</v>
      </c>
      <c r="D5" s="430">
        <v>28669.952355617967</v>
      </c>
      <c r="E5" s="430">
        <v>10168.969999999999</v>
      </c>
      <c r="F5" s="431">
        <v>0.3546908580058159</v>
      </c>
      <c r="G5" s="430">
        <v>-18500.982355617969</v>
      </c>
      <c r="H5" s="430" t="s">
        <v>2</v>
      </c>
      <c r="I5"/>
    </row>
    <row r="6" spans="1:9" ht="14.4" customHeight="1" x14ac:dyDescent="0.3">
      <c r="A6" s="428" t="s">
        <v>437</v>
      </c>
      <c r="B6" s="429" t="s">
        <v>927</v>
      </c>
      <c r="C6" s="430" t="s">
        <v>928</v>
      </c>
      <c r="D6" s="430">
        <v>20518.517092532551</v>
      </c>
      <c r="E6" s="430">
        <v>13172.16</v>
      </c>
      <c r="F6" s="431">
        <v>0.64196452114923241</v>
      </c>
      <c r="G6" s="430">
        <v>-7346.3570925325512</v>
      </c>
      <c r="H6" s="430" t="s">
        <v>2</v>
      </c>
      <c r="I6"/>
    </row>
    <row r="7" spans="1:9" ht="14.4" customHeight="1" x14ac:dyDescent="0.3">
      <c r="A7" s="428" t="s">
        <v>437</v>
      </c>
      <c r="B7" s="429" t="s">
        <v>929</v>
      </c>
      <c r="C7" s="430" t="s">
        <v>930</v>
      </c>
      <c r="D7" s="430">
        <v>2999.99838468095</v>
      </c>
      <c r="E7" s="430">
        <v>2831.8</v>
      </c>
      <c r="F7" s="431">
        <v>0.94393384158477212</v>
      </c>
      <c r="G7" s="430">
        <v>-168.19838468094986</v>
      </c>
      <c r="H7" s="430" t="s">
        <v>2</v>
      </c>
      <c r="I7"/>
    </row>
    <row r="8" spans="1:9" ht="14.4" customHeight="1" x14ac:dyDescent="0.3">
      <c r="A8" s="428" t="s">
        <v>437</v>
      </c>
      <c r="B8" s="429" t="s">
        <v>931</v>
      </c>
      <c r="C8" s="430" t="s">
        <v>932</v>
      </c>
      <c r="D8" s="430">
        <v>63999.965539860168</v>
      </c>
      <c r="E8" s="430">
        <v>47885.24</v>
      </c>
      <c r="F8" s="431">
        <v>0.74820727786449093</v>
      </c>
      <c r="G8" s="430">
        <v>-16114.72553986017</v>
      </c>
      <c r="H8" s="430" t="s">
        <v>2</v>
      </c>
      <c r="I8"/>
    </row>
    <row r="9" spans="1:9" ht="14.4" customHeight="1" x14ac:dyDescent="0.3">
      <c r="A9" s="428" t="s">
        <v>437</v>
      </c>
      <c r="B9" s="429" t="s">
        <v>933</v>
      </c>
      <c r="C9" s="430" t="s">
        <v>934</v>
      </c>
      <c r="D9" s="430">
        <v>66666.630770688833</v>
      </c>
      <c r="E9" s="430">
        <v>69565.22</v>
      </c>
      <c r="F9" s="431">
        <v>1.0434788618504114</v>
      </c>
      <c r="G9" s="430">
        <v>2898.5892293111683</v>
      </c>
      <c r="H9" s="430" t="s">
        <v>2</v>
      </c>
      <c r="I9"/>
    </row>
    <row r="10" spans="1:9" ht="14.4" customHeight="1" x14ac:dyDescent="0.3">
      <c r="A10" s="428" t="s">
        <v>437</v>
      </c>
      <c r="B10" s="429" t="s">
        <v>935</v>
      </c>
      <c r="C10" s="430" t="s">
        <v>936</v>
      </c>
      <c r="D10" s="430">
        <v>6999.9864935841506</v>
      </c>
      <c r="E10" s="430">
        <v>2998.21</v>
      </c>
      <c r="F10" s="431">
        <v>0.42831654071733061</v>
      </c>
      <c r="G10" s="430">
        <v>-4001.7764935841506</v>
      </c>
      <c r="H10" s="430" t="s">
        <v>2</v>
      </c>
      <c r="I10"/>
    </row>
    <row r="11" spans="1:9" ht="14.4" customHeight="1" x14ac:dyDescent="0.3">
      <c r="A11" s="428" t="s">
        <v>437</v>
      </c>
      <c r="B11" s="429" t="s">
        <v>937</v>
      </c>
      <c r="C11" s="430" t="s">
        <v>938</v>
      </c>
      <c r="D11" s="430">
        <v>80100.660016922004</v>
      </c>
      <c r="E11" s="430">
        <v>72371.56</v>
      </c>
      <c r="F11" s="431">
        <v>0.90350766129406224</v>
      </c>
      <c r="G11" s="430">
        <v>-7729.100016922006</v>
      </c>
      <c r="H11" s="430" t="s">
        <v>2</v>
      </c>
      <c r="I11"/>
    </row>
    <row r="12" spans="1:9" ht="14.4" customHeight="1" x14ac:dyDescent="0.3">
      <c r="A12" s="428" t="s">
        <v>437</v>
      </c>
      <c r="B12" s="429" t="s">
        <v>939</v>
      </c>
      <c r="C12" s="430" t="s">
        <v>940</v>
      </c>
      <c r="D12" s="430">
        <v>118.31075160882034</v>
      </c>
      <c r="E12" s="430">
        <v>124</v>
      </c>
      <c r="F12" s="431">
        <v>1.0480873319949013</v>
      </c>
      <c r="G12" s="430">
        <v>5.6892483911796603</v>
      </c>
      <c r="H12" s="430" t="s">
        <v>2</v>
      </c>
      <c r="I12"/>
    </row>
    <row r="13" spans="1:9" ht="14.4" customHeight="1" x14ac:dyDescent="0.3">
      <c r="A13" s="428" t="s">
        <v>437</v>
      </c>
      <c r="B13" s="429" t="s">
        <v>941</v>
      </c>
      <c r="C13" s="430" t="s">
        <v>942</v>
      </c>
      <c r="D13" s="430">
        <v>5259.7782249259481</v>
      </c>
      <c r="E13" s="430">
        <v>4978.9900000000007</v>
      </c>
      <c r="F13" s="431">
        <v>0.94661595738099769</v>
      </c>
      <c r="G13" s="430">
        <v>-280.78822492594736</v>
      </c>
      <c r="H13" s="430" t="s">
        <v>2</v>
      </c>
      <c r="I13"/>
    </row>
    <row r="14" spans="1:9" ht="14.4" customHeight="1" x14ac:dyDescent="0.3">
      <c r="A14" s="428" t="s">
        <v>437</v>
      </c>
      <c r="B14" s="429" t="s">
        <v>6</v>
      </c>
      <c r="C14" s="430" t="s">
        <v>439</v>
      </c>
      <c r="D14" s="430">
        <v>276833.81626375299</v>
      </c>
      <c r="E14" s="430">
        <v>224096.15</v>
      </c>
      <c r="F14" s="431">
        <v>0.80949702252593569</v>
      </c>
      <c r="G14" s="430">
        <v>-52737.666263752995</v>
      </c>
      <c r="H14" s="430" t="s">
        <v>444</v>
      </c>
      <c r="I14"/>
    </row>
    <row r="16" spans="1:9" ht="14.4" customHeight="1" x14ac:dyDescent="0.3">
      <c r="A16" s="428" t="s">
        <v>437</v>
      </c>
      <c r="B16" s="429" t="s">
        <v>438</v>
      </c>
      <c r="C16" s="430" t="s">
        <v>439</v>
      </c>
      <c r="D16" s="430" t="s">
        <v>438</v>
      </c>
      <c r="E16" s="430" t="s">
        <v>438</v>
      </c>
      <c r="F16" s="431" t="s">
        <v>438</v>
      </c>
      <c r="G16" s="430" t="s">
        <v>438</v>
      </c>
      <c r="H16" s="430" t="s">
        <v>72</v>
      </c>
      <c r="I16"/>
    </row>
    <row r="17" spans="1:9" ht="14.4" customHeight="1" x14ac:dyDescent="0.3">
      <c r="A17" s="428" t="s">
        <v>445</v>
      </c>
      <c r="B17" s="429" t="s">
        <v>925</v>
      </c>
      <c r="C17" s="430" t="s">
        <v>926</v>
      </c>
      <c r="D17" s="430">
        <v>16866.543363389665</v>
      </c>
      <c r="E17" s="430">
        <v>6991.92</v>
      </c>
      <c r="F17" s="431">
        <v>0.41454374197244148</v>
      </c>
      <c r="G17" s="430">
        <v>-9874.6233633896645</v>
      </c>
      <c r="H17" s="430" t="s">
        <v>2</v>
      </c>
      <c r="I17"/>
    </row>
    <row r="18" spans="1:9" ht="14.4" customHeight="1" x14ac:dyDescent="0.3">
      <c r="A18" s="428" t="s">
        <v>445</v>
      </c>
      <c r="B18" s="429" t="s">
        <v>927</v>
      </c>
      <c r="C18" s="430" t="s">
        <v>928</v>
      </c>
      <c r="D18" s="430">
        <v>9438.5955619796332</v>
      </c>
      <c r="E18" s="430">
        <v>9404.16</v>
      </c>
      <c r="F18" s="431">
        <v>0.99635162225635077</v>
      </c>
      <c r="G18" s="430">
        <v>-34.435561979633349</v>
      </c>
      <c r="H18" s="430" t="s">
        <v>2</v>
      </c>
      <c r="I18"/>
    </row>
    <row r="19" spans="1:9" ht="14.4" customHeight="1" x14ac:dyDescent="0.3">
      <c r="A19" s="428" t="s">
        <v>445</v>
      </c>
      <c r="B19" s="429" t="s">
        <v>939</v>
      </c>
      <c r="C19" s="430" t="s">
        <v>940</v>
      </c>
      <c r="D19" s="430">
        <v>67.361901927565341</v>
      </c>
      <c r="E19" s="430">
        <v>124</v>
      </c>
      <c r="F19" s="431">
        <v>1.8408031313209943</v>
      </c>
      <c r="G19" s="430">
        <v>56.638098072434659</v>
      </c>
      <c r="H19" s="430" t="s">
        <v>2</v>
      </c>
      <c r="I19"/>
    </row>
    <row r="20" spans="1:9" ht="14.4" customHeight="1" x14ac:dyDescent="0.3">
      <c r="A20" s="428" t="s">
        <v>445</v>
      </c>
      <c r="B20" s="429" t="s">
        <v>941</v>
      </c>
      <c r="C20" s="430" t="s">
        <v>942</v>
      </c>
      <c r="D20" s="430">
        <v>1974.8957984301833</v>
      </c>
      <c r="E20" s="430">
        <v>1948.55</v>
      </c>
      <c r="F20" s="431">
        <v>0.98665965138458178</v>
      </c>
      <c r="G20" s="430">
        <v>-26.345798430183322</v>
      </c>
      <c r="H20" s="430" t="s">
        <v>2</v>
      </c>
      <c r="I20"/>
    </row>
    <row r="21" spans="1:9" ht="14.4" customHeight="1" x14ac:dyDescent="0.3">
      <c r="A21" s="428" t="s">
        <v>445</v>
      </c>
      <c r="B21" s="429" t="s">
        <v>6</v>
      </c>
      <c r="C21" s="430" t="s">
        <v>446</v>
      </c>
      <c r="D21" s="430">
        <v>29847.413259058652</v>
      </c>
      <c r="E21" s="430">
        <v>18468.63</v>
      </c>
      <c r="F21" s="431">
        <v>0.61876819407104888</v>
      </c>
      <c r="G21" s="430">
        <v>-11378.783259058651</v>
      </c>
      <c r="H21" s="430" t="s">
        <v>447</v>
      </c>
      <c r="I21"/>
    </row>
    <row r="22" spans="1:9" ht="14.4" customHeight="1" x14ac:dyDescent="0.3">
      <c r="A22" s="428" t="s">
        <v>438</v>
      </c>
      <c r="B22" s="429" t="s">
        <v>438</v>
      </c>
      <c r="C22" s="430" t="s">
        <v>438</v>
      </c>
      <c r="D22" s="430" t="s">
        <v>438</v>
      </c>
      <c r="E22" s="430" t="s">
        <v>438</v>
      </c>
      <c r="F22" s="431" t="s">
        <v>438</v>
      </c>
      <c r="G22" s="430" t="s">
        <v>438</v>
      </c>
      <c r="H22" s="430" t="s">
        <v>448</v>
      </c>
      <c r="I22"/>
    </row>
    <row r="23" spans="1:9" ht="14.4" customHeight="1" x14ac:dyDescent="0.3">
      <c r="A23" s="428" t="s">
        <v>449</v>
      </c>
      <c r="B23" s="429" t="s">
        <v>925</v>
      </c>
      <c r="C23" s="430" t="s">
        <v>926</v>
      </c>
      <c r="D23" s="430">
        <v>5162.2826612456838</v>
      </c>
      <c r="E23" s="430">
        <v>120</v>
      </c>
      <c r="F23" s="431">
        <v>2.3245530683715685E-2</v>
      </c>
      <c r="G23" s="430">
        <v>-5042.2826612456838</v>
      </c>
      <c r="H23" s="430" t="s">
        <v>2</v>
      </c>
      <c r="I23"/>
    </row>
    <row r="24" spans="1:9" ht="14.4" customHeight="1" x14ac:dyDescent="0.3">
      <c r="A24" s="428" t="s">
        <v>449</v>
      </c>
      <c r="B24" s="429" t="s">
        <v>927</v>
      </c>
      <c r="C24" s="430" t="s">
        <v>928</v>
      </c>
      <c r="D24" s="430">
        <v>4358.3205003749672</v>
      </c>
      <c r="E24" s="430">
        <v>3768</v>
      </c>
      <c r="F24" s="431">
        <v>0.8645532148624272</v>
      </c>
      <c r="G24" s="430">
        <v>-590.3205003749672</v>
      </c>
      <c r="H24" s="430" t="s">
        <v>2</v>
      </c>
      <c r="I24"/>
    </row>
    <row r="25" spans="1:9" ht="14.4" customHeight="1" x14ac:dyDescent="0.3">
      <c r="A25" s="428" t="s">
        <v>449</v>
      </c>
      <c r="B25" s="429" t="s">
        <v>931</v>
      </c>
      <c r="C25" s="430" t="s">
        <v>932</v>
      </c>
      <c r="D25" s="430">
        <v>63999.965539860168</v>
      </c>
      <c r="E25" s="430">
        <v>47885.24</v>
      </c>
      <c r="F25" s="431">
        <v>0.74820727786449093</v>
      </c>
      <c r="G25" s="430">
        <v>-16114.72553986017</v>
      </c>
      <c r="H25" s="430" t="s">
        <v>2</v>
      </c>
      <c r="I25"/>
    </row>
    <row r="26" spans="1:9" ht="14.4" customHeight="1" x14ac:dyDescent="0.3">
      <c r="A26" s="428" t="s">
        <v>449</v>
      </c>
      <c r="B26" s="429" t="s">
        <v>933</v>
      </c>
      <c r="C26" s="430" t="s">
        <v>934</v>
      </c>
      <c r="D26" s="430">
        <v>66666.630770688833</v>
      </c>
      <c r="E26" s="430">
        <v>69565.22</v>
      </c>
      <c r="F26" s="431">
        <v>1.0434788618504114</v>
      </c>
      <c r="G26" s="430">
        <v>2898.5892293111683</v>
      </c>
      <c r="H26" s="430" t="s">
        <v>2</v>
      </c>
      <c r="I26"/>
    </row>
    <row r="27" spans="1:9" ht="14.4" customHeight="1" x14ac:dyDescent="0.3">
      <c r="A27" s="428" t="s">
        <v>449</v>
      </c>
      <c r="B27" s="429" t="s">
        <v>937</v>
      </c>
      <c r="C27" s="430" t="s">
        <v>938</v>
      </c>
      <c r="D27" s="430">
        <v>21168.846322848502</v>
      </c>
      <c r="E27" s="430">
        <v>19996.77</v>
      </c>
      <c r="F27" s="431">
        <v>0.94463201702289157</v>
      </c>
      <c r="G27" s="430">
        <v>-1172.0763228485011</v>
      </c>
      <c r="H27" s="430" t="s">
        <v>2</v>
      </c>
      <c r="I27"/>
    </row>
    <row r="28" spans="1:9" ht="14.4" customHeight="1" x14ac:dyDescent="0.3">
      <c r="A28" s="428" t="s">
        <v>449</v>
      </c>
      <c r="B28" s="429" t="s">
        <v>941</v>
      </c>
      <c r="C28" s="430" t="s">
        <v>942</v>
      </c>
      <c r="D28" s="430">
        <v>2587.7553855882165</v>
      </c>
      <c r="E28" s="430">
        <v>3030.4400000000005</v>
      </c>
      <c r="F28" s="431">
        <v>1.1710689568562751</v>
      </c>
      <c r="G28" s="430">
        <v>442.68461441178397</v>
      </c>
      <c r="H28" s="430" t="s">
        <v>2</v>
      </c>
      <c r="I28"/>
    </row>
    <row r="29" spans="1:9" ht="14.4" customHeight="1" x14ac:dyDescent="0.3">
      <c r="A29" s="428" t="s">
        <v>449</v>
      </c>
      <c r="B29" s="429" t="s">
        <v>6</v>
      </c>
      <c r="C29" s="430" t="s">
        <v>450</v>
      </c>
      <c r="D29" s="430">
        <v>163994.75003028763</v>
      </c>
      <c r="E29" s="430">
        <v>144365.66999999998</v>
      </c>
      <c r="F29" s="431">
        <v>0.8803066559956193</v>
      </c>
      <c r="G29" s="430">
        <v>-19629.080030287645</v>
      </c>
      <c r="H29" s="430" t="s">
        <v>447</v>
      </c>
      <c r="I29"/>
    </row>
    <row r="30" spans="1:9" ht="14.4" customHeight="1" x14ac:dyDescent="0.3">
      <c r="A30" s="428" t="s">
        <v>438</v>
      </c>
      <c r="B30" s="429" t="s">
        <v>438</v>
      </c>
      <c r="C30" s="430" t="s">
        <v>438</v>
      </c>
      <c r="D30" s="430" t="s">
        <v>438</v>
      </c>
      <c r="E30" s="430" t="s">
        <v>438</v>
      </c>
      <c r="F30" s="431" t="s">
        <v>438</v>
      </c>
      <c r="G30" s="430" t="s">
        <v>438</v>
      </c>
      <c r="H30" s="430" t="s">
        <v>448</v>
      </c>
      <c r="I30"/>
    </row>
    <row r="31" spans="1:9" ht="14.4" customHeight="1" x14ac:dyDescent="0.3">
      <c r="A31" s="428" t="s">
        <v>451</v>
      </c>
      <c r="B31" s="429" t="s">
        <v>925</v>
      </c>
      <c r="C31" s="430" t="s">
        <v>926</v>
      </c>
      <c r="D31" s="430">
        <v>6641.1263309826172</v>
      </c>
      <c r="E31" s="430">
        <v>3057.05</v>
      </c>
      <c r="F31" s="431">
        <v>0.46032101297908617</v>
      </c>
      <c r="G31" s="430">
        <v>-3584.076330982617</v>
      </c>
      <c r="H31" s="430" t="s">
        <v>2</v>
      </c>
      <c r="I31"/>
    </row>
    <row r="32" spans="1:9" ht="14.4" customHeight="1" x14ac:dyDescent="0.3">
      <c r="A32" s="428" t="s">
        <v>451</v>
      </c>
      <c r="B32" s="429" t="s">
        <v>929</v>
      </c>
      <c r="C32" s="430" t="s">
        <v>930</v>
      </c>
      <c r="D32" s="430">
        <v>2999.99838468095</v>
      </c>
      <c r="E32" s="430">
        <v>2831.8</v>
      </c>
      <c r="F32" s="431">
        <v>0.94393384158477212</v>
      </c>
      <c r="G32" s="430">
        <v>-168.19838468094986</v>
      </c>
      <c r="H32" s="430" t="s">
        <v>2</v>
      </c>
      <c r="I32"/>
    </row>
    <row r="33" spans="1:9" ht="14.4" customHeight="1" x14ac:dyDescent="0.3">
      <c r="A33" s="428" t="s">
        <v>451</v>
      </c>
      <c r="B33" s="429" t="s">
        <v>935</v>
      </c>
      <c r="C33" s="430" t="s">
        <v>936</v>
      </c>
      <c r="D33" s="430">
        <v>6999.9864935841506</v>
      </c>
      <c r="E33" s="430">
        <v>2998.21</v>
      </c>
      <c r="F33" s="431">
        <v>0.42831654071733061</v>
      </c>
      <c r="G33" s="430">
        <v>-4001.7764935841506</v>
      </c>
      <c r="H33" s="430" t="s">
        <v>2</v>
      </c>
      <c r="I33"/>
    </row>
    <row r="34" spans="1:9" ht="14.4" customHeight="1" x14ac:dyDescent="0.3">
      <c r="A34" s="428" t="s">
        <v>451</v>
      </c>
      <c r="B34" s="429" t="s">
        <v>937</v>
      </c>
      <c r="C34" s="430" t="s">
        <v>938</v>
      </c>
      <c r="D34" s="430">
        <v>58931.813694073498</v>
      </c>
      <c r="E34" s="430">
        <v>52374.789999999994</v>
      </c>
      <c r="F34" s="431">
        <v>0.88873541669509293</v>
      </c>
      <c r="G34" s="430">
        <v>-6557.0236940735049</v>
      </c>
      <c r="H34" s="430" t="s">
        <v>2</v>
      </c>
      <c r="I34"/>
    </row>
    <row r="35" spans="1:9" ht="14.4" customHeight="1" x14ac:dyDescent="0.3">
      <c r="A35" s="428" t="s">
        <v>451</v>
      </c>
      <c r="B35" s="429" t="s">
        <v>6</v>
      </c>
      <c r="C35" s="430" t="s">
        <v>452</v>
      </c>
      <c r="D35" s="430">
        <v>82991.652974406708</v>
      </c>
      <c r="E35" s="430">
        <v>61261.849999999991</v>
      </c>
      <c r="F35" s="431">
        <v>0.73816881342141916</v>
      </c>
      <c r="G35" s="430">
        <v>-21729.802974406717</v>
      </c>
      <c r="H35" s="430" t="s">
        <v>447</v>
      </c>
      <c r="I35"/>
    </row>
    <row r="36" spans="1:9" ht="14.4" customHeight="1" x14ac:dyDescent="0.3">
      <c r="A36" s="428" t="s">
        <v>438</v>
      </c>
      <c r="B36" s="429" t="s">
        <v>438</v>
      </c>
      <c r="C36" s="430" t="s">
        <v>438</v>
      </c>
      <c r="D36" s="430" t="s">
        <v>438</v>
      </c>
      <c r="E36" s="430" t="s">
        <v>438</v>
      </c>
      <c r="F36" s="431" t="s">
        <v>438</v>
      </c>
      <c r="G36" s="430" t="s">
        <v>438</v>
      </c>
      <c r="H36" s="430" t="s">
        <v>448</v>
      </c>
      <c r="I36"/>
    </row>
    <row r="37" spans="1:9" ht="14.4" customHeight="1" x14ac:dyDescent="0.3">
      <c r="A37" s="428" t="s">
        <v>437</v>
      </c>
      <c r="B37" s="429" t="s">
        <v>6</v>
      </c>
      <c r="C37" s="430" t="s">
        <v>439</v>
      </c>
      <c r="D37" s="430">
        <v>276833.81626375299</v>
      </c>
      <c r="E37" s="430">
        <v>224096.14999999997</v>
      </c>
      <c r="F37" s="431">
        <v>0.80949702252593558</v>
      </c>
      <c r="G37" s="430">
        <v>-52737.666263753024</v>
      </c>
      <c r="H37" s="430" t="s">
        <v>444</v>
      </c>
      <c r="I37"/>
    </row>
  </sheetData>
  <autoFilter ref="A3:G3"/>
  <mergeCells count="1">
    <mergeCell ref="A1:G1"/>
  </mergeCells>
  <conditionalFormatting sqref="F15 F38:F65536">
    <cfRule type="cellIs" dxfId="16" priority="15" stopIfTrue="1" operator="greaterThan">
      <formula>1</formula>
    </cfRule>
  </conditionalFormatting>
  <conditionalFormatting sqref="G4:G14">
    <cfRule type="cellIs" dxfId="15" priority="9" operator="greaterThan">
      <formula>0</formula>
    </cfRule>
  </conditionalFormatting>
  <conditionalFormatting sqref="B4:B14">
    <cfRule type="expression" dxfId="14" priority="12">
      <formula>AND(LEFT(H4,6)&lt;&gt;"mezera",H4&lt;&gt;"")</formula>
    </cfRule>
  </conditionalFormatting>
  <conditionalFormatting sqref="A4:A14">
    <cfRule type="expression" dxfId="13" priority="10">
      <formula>AND(H4&lt;&gt;"",H4&lt;&gt;"mezeraKL")</formula>
    </cfRule>
  </conditionalFormatting>
  <conditionalFormatting sqref="F4:F14">
    <cfRule type="cellIs" dxfId="12" priority="8" operator="greaterThan">
      <formula>1</formula>
    </cfRule>
  </conditionalFormatting>
  <conditionalFormatting sqref="B4:G14">
    <cfRule type="expression" dxfId="11" priority="11">
      <formula>OR($H4="KL",$H4="SumaKL")</formula>
    </cfRule>
    <cfRule type="expression" dxfId="10" priority="13">
      <formula>$H4="SumaNS"</formula>
    </cfRule>
  </conditionalFormatting>
  <conditionalFormatting sqref="A4:G14">
    <cfRule type="expression" dxfId="9" priority="14">
      <formula>$H4&lt;&gt;""</formula>
    </cfRule>
  </conditionalFormatting>
  <conditionalFormatting sqref="G16:G37">
    <cfRule type="cellIs" dxfId="8" priority="1" operator="greaterThan">
      <formula>0</formula>
    </cfRule>
  </conditionalFormatting>
  <conditionalFormatting sqref="F16:F37">
    <cfRule type="cellIs" dxfId="7" priority="2" operator="greaterThan">
      <formula>1</formula>
    </cfRule>
  </conditionalFormatting>
  <conditionalFormatting sqref="B16:B37">
    <cfRule type="expression" dxfId="6" priority="5">
      <formula>AND(LEFT(H16,6)&lt;&gt;"mezera",H16&lt;&gt;"")</formula>
    </cfRule>
  </conditionalFormatting>
  <conditionalFormatting sqref="A16:A37">
    <cfRule type="expression" dxfId="5" priority="3">
      <formula>AND(H16&lt;&gt;"",H16&lt;&gt;"mezeraKL")</formula>
    </cfRule>
  </conditionalFormatting>
  <conditionalFormatting sqref="B16:G37">
    <cfRule type="expression" dxfId="4" priority="4">
      <formula>OR($H16="KL",$H16="SumaKL")</formula>
    </cfRule>
    <cfRule type="expression" dxfId="3" priority="6">
      <formula>$H16="SumaNS"</formula>
    </cfRule>
  </conditionalFormatting>
  <conditionalFormatting sqref="A16:G37">
    <cfRule type="expression" dxfId="2" priority="7">
      <formula>$H16&lt;&gt;""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6" hidden="1" customWidth="1" outlineLevel="1"/>
    <col min="2" max="2" width="28.33203125" style="136" hidden="1" customWidth="1" outlineLevel="1"/>
    <col min="3" max="3" width="5.33203125" style="217" bestFit="1" customWidth="1" collapsed="1"/>
    <col min="4" max="4" width="18.77734375" style="221" customWidth="1"/>
    <col min="5" max="5" width="9" style="217" bestFit="1" customWidth="1"/>
    <col min="6" max="6" width="18.77734375" style="221" customWidth="1"/>
    <col min="7" max="7" width="12.44140625" style="217" hidden="1" customWidth="1" outlineLevel="1"/>
    <col min="8" max="8" width="25.77734375" style="217" customWidth="1" collapsed="1"/>
    <col min="9" max="9" width="7.77734375" style="215" customWidth="1"/>
    <col min="10" max="10" width="10" style="215" customWidth="1"/>
    <col min="11" max="11" width="11.109375" style="215" customWidth="1"/>
    <col min="12" max="16384" width="8.88671875" style="136"/>
  </cols>
  <sheetData>
    <row r="1" spans="1:11" ht="18.600000000000001" customHeight="1" thickBot="1" x14ac:dyDescent="0.4">
      <c r="A1" s="348" t="s">
        <v>1083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" customHeight="1" thickBot="1" x14ac:dyDescent="0.35">
      <c r="A2" s="243" t="s">
        <v>249</v>
      </c>
      <c r="B2" s="62"/>
      <c r="C2" s="219"/>
      <c r="D2" s="219"/>
      <c r="E2" s="219"/>
      <c r="F2" s="219"/>
      <c r="G2" s="219"/>
      <c r="H2" s="219"/>
      <c r="I2" s="220"/>
      <c r="J2" s="220"/>
      <c r="K2" s="220"/>
    </row>
    <row r="3" spans="1:11" ht="14.4" customHeight="1" thickBot="1" x14ac:dyDescent="0.35">
      <c r="A3" s="62"/>
      <c r="B3" s="62"/>
      <c r="C3" s="344"/>
      <c r="D3" s="345"/>
      <c r="E3" s="345"/>
      <c r="F3" s="345"/>
      <c r="G3" s="345"/>
      <c r="H3" s="148" t="s">
        <v>136</v>
      </c>
      <c r="I3" s="102">
        <f>IF(J3&lt;&gt;0,K3/J3,0)</f>
        <v>28.188194968553461</v>
      </c>
      <c r="J3" s="102">
        <f>SUBTOTAL(9,J5:J1048576)</f>
        <v>7950</v>
      </c>
      <c r="K3" s="103">
        <f>SUBTOTAL(9,K5:K1048576)</f>
        <v>224096.15000000002</v>
      </c>
    </row>
    <row r="4" spans="1:11" s="216" customFormat="1" ht="14.4" customHeight="1" thickBot="1" x14ac:dyDescent="0.35">
      <c r="A4" s="518" t="s">
        <v>7</v>
      </c>
      <c r="B4" s="519" t="s">
        <v>8</v>
      </c>
      <c r="C4" s="519" t="s">
        <v>0</v>
      </c>
      <c r="D4" s="519" t="s">
        <v>9</v>
      </c>
      <c r="E4" s="519" t="s">
        <v>10</v>
      </c>
      <c r="F4" s="519" t="s">
        <v>2</v>
      </c>
      <c r="G4" s="519" t="s">
        <v>74</v>
      </c>
      <c r="H4" s="434" t="s">
        <v>14</v>
      </c>
      <c r="I4" s="435" t="s">
        <v>151</v>
      </c>
      <c r="J4" s="435" t="s">
        <v>16</v>
      </c>
      <c r="K4" s="436" t="s">
        <v>165</v>
      </c>
    </row>
    <row r="5" spans="1:11" ht="14.4" customHeight="1" x14ac:dyDescent="0.3">
      <c r="A5" s="486" t="s">
        <v>437</v>
      </c>
      <c r="B5" s="487" t="s">
        <v>439</v>
      </c>
      <c r="C5" s="490" t="s">
        <v>449</v>
      </c>
      <c r="D5" s="520" t="s">
        <v>450</v>
      </c>
      <c r="E5" s="490" t="s">
        <v>925</v>
      </c>
      <c r="F5" s="520" t="s">
        <v>926</v>
      </c>
      <c r="G5" s="490" t="s">
        <v>943</v>
      </c>
      <c r="H5" s="490" t="s">
        <v>944</v>
      </c>
      <c r="I5" s="122">
        <v>0.4</v>
      </c>
      <c r="J5" s="122">
        <v>300</v>
      </c>
      <c r="K5" s="503">
        <v>120</v>
      </c>
    </row>
    <row r="6" spans="1:11" ht="14.4" customHeight="1" x14ac:dyDescent="0.3">
      <c r="A6" s="443" t="s">
        <v>437</v>
      </c>
      <c r="B6" s="444" t="s">
        <v>439</v>
      </c>
      <c r="C6" s="445" t="s">
        <v>449</v>
      </c>
      <c r="D6" s="446" t="s">
        <v>450</v>
      </c>
      <c r="E6" s="445" t="s">
        <v>927</v>
      </c>
      <c r="F6" s="446" t="s">
        <v>928</v>
      </c>
      <c r="G6" s="445" t="s">
        <v>945</v>
      </c>
      <c r="H6" s="445" t="s">
        <v>946</v>
      </c>
      <c r="I6" s="447">
        <v>0.57999999999999996</v>
      </c>
      <c r="J6" s="447">
        <v>100</v>
      </c>
      <c r="K6" s="448">
        <v>58</v>
      </c>
    </row>
    <row r="7" spans="1:11" ht="14.4" customHeight="1" x14ac:dyDescent="0.3">
      <c r="A7" s="443" t="s">
        <v>437</v>
      </c>
      <c r="B7" s="444" t="s">
        <v>439</v>
      </c>
      <c r="C7" s="445" t="s">
        <v>449</v>
      </c>
      <c r="D7" s="446" t="s">
        <v>450</v>
      </c>
      <c r="E7" s="445" t="s">
        <v>927</v>
      </c>
      <c r="F7" s="446" t="s">
        <v>928</v>
      </c>
      <c r="G7" s="445" t="s">
        <v>947</v>
      </c>
      <c r="H7" s="445" t="s">
        <v>948</v>
      </c>
      <c r="I7" s="447">
        <v>4.2300000000000004</v>
      </c>
      <c r="J7" s="447">
        <v>50</v>
      </c>
      <c r="K7" s="448">
        <v>211.5</v>
      </c>
    </row>
    <row r="8" spans="1:11" ht="14.4" customHeight="1" x14ac:dyDescent="0.3">
      <c r="A8" s="443" t="s">
        <v>437</v>
      </c>
      <c r="B8" s="444" t="s">
        <v>439</v>
      </c>
      <c r="C8" s="445" t="s">
        <v>449</v>
      </c>
      <c r="D8" s="446" t="s">
        <v>450</v>
      </c>
      <c r="E8" s="445" t="s">
        <v>927</v>
      </c>
      <c r="F8" s="446" t="s">
        <v>928</v>
      </c>
      <c r="G8" s="445" t="s">
        <v>949</v>
      </c>
      <c r="H8" s="445" t="s">
        <v>950</v>
      </c>
      <c r="I8" s="447">
        <v>2.1800000000000002</v>
      </c>
      <c r="J8" s="447">
        <v>100</v>
      </c>
      <c r="K8" s="448">
        <v>218</v>
      </c>
    </row>
    <row r="9" spans="1:11" ht="14.4" customHeight="1" x14ac:dyDescent="0.3">
      <c r="A9" s="443" t="s">
        <v>437</v>
      </c>
      <c r="B9" s="444" t="s">
        <v>439</v>
      </c>
      <c r="C9" s="445" t="s">
        <v>449</v>
      </c>
      <c r="D9" s="446" t="s">
        <v>450</v>
      </c>
      <c r="E9" s="445" t="s">
        <v>927</v>
      </c>
      <c r="F9" s="446" t="s">
        <v>928</v>
      </c>
      <c r="G9" s="445" t="s">
        <v>951</v>
      </c>
      <c r="H9" s="445" t="s">
        <v>952</v>
      </c>
      <c r="I9" s="447">
        <v>2.9</v>
      </c>
      <c r="J9" s="447">
        <v>100</v>
      </c>
      <c r="K9" s="448">
        <v>290</v>
      </c>
    </row>
    <row r="10" spans="1:11" ht="14.4" customHeight="1" x14ac:dyDescent="0.3">
      <c r="A10" s="443" t="s">
        <v>437</v>
      </c>
      <c r="B10" s="444" t="s">
        <v>439</v>
      </c>
      <c r="C10" s="445" t="s">
        <v>449</v>
      </c>
      <c r="D10" s="446" t="s">
        <v>450</v>
      </c>
      <c r="E10" s="445" t="s">
        <v>927</v>
      </c>
      <c r="F10" s="446" t="s">
        <v>928</v>
      </c>
      <c r="G10" s="445" t="s">
        <v>953</v>
      </c>
      <c r="H10" s="445" t="s">
        <v>954</v>
      </c>
      <c r="I10" s="447">
        <v>2.91</v>
      </c>
      <c r="J10" s="447">
        <v>100</v>
      </c>
      <c r="K10" s="448">
        <v>291</v>
      </c>
    </row>
    <row r="11" spans="1:11" ht="14.4" customHeight="1" x14ac:dyDescent="0.3">
      <c r="A11" s="443" t="s">
        <v>437</v>
      </c>
      <c r="B11" s="444" t="s">
        <v>439</v>
      </c>
      <c r="C11" s="445" t="s">
        <v>449</v>
      </c>
      <c r="D11" s="446" t="s">
        <v>450</v>
      </c>
      <c r="E11" s="445" t="s">
        <v>927</v>
      </c>
      <c r="F11" s="446" t="s">
        <v>928</v>
      </c>
      <c r="G11" s="445" t="s">
        <v>955</v>
      </c>
      <c r="H11" s="445" t="s">
        <v>956</v>
      </c>
      <c r="I11" s="447">
        <v>2.0499999999999998</v>
      </c>
      <c r="J11" s="447">
        <v>100</v>
      </c>
      <c r="K11" s="448">
        <v>205</v>
      </c>
    </row>
    <row r="12" spans="1:11" ht="14.4" customHeight="1" x14ac:dyDescent="0.3">
      <c r="A12" s="443" t="s">
        <v>437</v>
      </c>
      <c r="B12" s="444" t="s">
        <v>439</v>
      </c>
      <c r="C12" s="445" t="s">
        <v>449</v>
      </c>
      <c r="D12" s="446" t="s">
        <v>450</v>
      </c>
      <c r="E12" s="445" t="s">
        <v>927</v>
      </c>
      <c r="F12" s="446" t="s">
        <v>928</v>
      </c>
      <c r="G12" s="445" t="s">
        <v>957</v>
      </c>
      <c r="H12" s="445" t="s">
        <v>958</v>
      </c>
      <c r="I12" s="447">
        <v>43.56</v>
      </c>
      <c r="J12" s="447">
        <v>25</v>
      </c>
      <c r="K12" s="448">
        <v>1089</v>
      </c>
    </row>
    <row r="13" spans="1:11" ht="14.4" customHeight="1" x14ac:dyDescent="0.3">
      <c r="A13" s="443" t="s">
        <v>437</v>
      </c>
      <c r="B13" s="444" t="s">
        <v>439</v>
      </c>
      <c r="C13" s="445" t="s">
        <v>449</v>
      </c>
      <c r="D13" s="446" t="s">
        <v>450</v>
      </c>
      <c r="E13" s="445" t="s">
        <v>927</v>
      </c>
      <c r="F13" s="446" t="s">
        <v>928</v>
      </c>
      <c r="G13" s="445" t="s">
        <v>959</v>
      </c>
      <c r="H13" s="445" t="s">
        <v>960</v>
      </c>
      <c r="I13" s="447">
        <v>15</v>
      </c>
      <c r="J13" s="447">
        <v>2</v>
      </c>
      <c r="K13" s="448">
        <v>30</v>
      </c>
    </row>
    <row r="14" spans="1:11" ht="14.4" customHeight="1" x14ac:dyDescent="0.3">
      <c r="A14" s="443" t="s">
        <v>437</v>
      </c>
      <c r="B14" s="444" t="s">
        <v>439</v>
      </c>
      <c r="C14" s="445" t="s">
        <v>449</v>
      </c>
      <c r="D14" s="446" t="s">
        <v>450</v>
      </c>
      <c r="E14" s="445" t="s">
        <v>927</v>
      </c>
      <c r="F14" s="446" t="s">
        <v>928</v>
      </c>
      <c r="G14" s="445" t="s">
        <v>961</v>
      </c>
      <c r="H14" s="445" t="s">
        <v>962</v>
      </c>
      <c r="I14" s="447">
        <v>687.75</v>
      </c>
      <c r="J14" s="447">
        <v>2</v>
      </c>
      <c r="K14" s="448">
        <v>1375.5</v>
      </c>
    </row>
    <row r="15" spans="1:11" ht="14.4" customHeight="1" x14ac:dyDescent="0.3">
      <c r="A15" s="443" t="s">
        <v>437</v>
      </c>
      <c r="B15" s="444" t="s">
        <v>439</v>
      </c>
      <c r="C15" s="445" t="s">
        <v>449</v>
      </c>
      <c r="D15" s="446" t="s">
        <v>450</v>
      </c>
      <c r="E15" s="445" t="s">
        <v>933</v>
      </c>
      <c r="F15" s="446" t="s">
        <v>934</v>
      </c>
      <c r="G15" s="445" t="s">
        <v>963</v>
      </c>
      <c r="H15" s="445" t="s">
        <v>964</v>
      </c>
      <c r="I15" s="447">
        <v>17391.310000000001</v>
      </c>
      <c r="J15" s="447">
        <v>2</v>
      </c>
      <c r="K15" s="448">
        <v>34782.61</v>
      </c>
    </row>
    <row r="16" spans="1:11" ht="14.4" customHeight="1" x14ac:dyDescent="0.3">
      <c r="A16" s="443" t="s">
        <v>437</v>
      </c>
      <c r="B16" s="444" t="s">
        <v>439</v>
      </c>
      <c r="C16" s="445" t="s">
        <v>449</v>
      </c>
      <c r="D16" s="446" t="s">
        <v>450</v>
      </c>
      <c r="E16" s="445" t="s">
        <v>933</v>
      </c>
      <c r="F16" s="446" t="s">
        <v>934</v>
      </c>
      <c r="G16" s="445" t="s">
        <v>965</v>
      </c>
      <c r="H16" s="445" t="s">
        <v>966</v>
      </c>
      <c r="I16" s="447">
        <v>17391.310000000001</v>
      </c>
      <c r="J16" s="447">
        <v>2</v>
      </c>
      <c r="K16" s="448">
        <v>34782.61</v>
      </c>
    </row>
    <row r="17" spans="1:11" ht="14.4" customHeight="1" x14ac:dyDescent="0.3">
      <c r="A17" s="443" t="s">
        <v>437</v>
      </c>
      <c r="B17" s="444" t="s">
        <v>439</v>
      </c>
      <c r="C17" s="445" t="s">
        <v>449</v>
      </c>
      <c r="D17" s="446" t="s">
        <v>450</v>
      </c>
      <c r="E17" s="445" t="s">
        <v>937</v>
      </c>
      <c r="F17" s="446" t="s">
        <v>938</v>
      </c>
      <c r="G17" s="445" t="s">
        <v>967</v>
      </c>
      <c r="H17" s="445" t="s">
        <v>968</v>
      </c>
      <c r="I17" s="447">
        <v>101.65</v>
      </c>
      <c r="J17" s="447">
        <v>36</v>
      </c>
      <c r="K17" s="448">
        <v>3659.58</v>
      </c>
    </row>
    <row r="18" spans="1:11" ht="14.4" customHeight="1" x14ac:dyDescent="0.3">
      <c r="A18" s="443" t="s">
        <v>437</v>
      </c>
      <c r="B18" s="444" t="s">
        <v>439</v>
      </c>
      <c r="C18" s="445" t="s">
        <v>449</v>
      </c>
      <c r="D18" s="446" t="s">
        <v>450</v>
      </c>
      <c r="E18" s="445" t="s">
        <v>937</v>
      </c>
      <c r="F18" s="446" t="s">
        <v>938</v>
      </c>
      <c r="G18" s="445" t="s">
        <v>969</v>
      </c>
      <c r="H18" s="445" t="s">
        <v>970</v>
      </c>
      <c r="I18" s="447">
        <v>130.47</v>
      </c>
      <c r="J18" s="447">
        <v>12</v>
      </c>
      <c r="K18" s="448">
        <v>1565.69</v>
      </c>
    </row>
    <row r="19" spans="1:11" ht="14.4" customHeight="1" x14ac:dyDescent="0.3">
      <c r="A19" s="443" t="s">
        <v>437</v>
      </c>
      <c r="B19" s="444" t="s">
        <v>439</v>
      </c>
      <c r="C19" s="445" t="s">
        <v>449</v>
      </c>
      <c r="D19" s="446" t="s">
        <v>450</v>
      </c>
      <c r="E19" s="445" t="s">
        <v>937</v>
      </c>
      <c r="F19" s="446" t="s">
        <v>938</v>
      </c>
      <c r="G19" s="445" t="s">
        <v>971</v>
      </c>
      <c r="H19" s="445" t="s">
        <v>972</v>
      </c>
      <c r="I19" s="447">
        <v>144.68</v>
      </c>
      <c r="J19" s="447">
        <v>36</v>
      </c>
      <c r="K19" s="448">
        <v>5208.6499999999996</v>
      </c>
    </row>
    <row r="20" spans="1:11" ht="14.4" customHeight="1" x14ac:dyDescent="0.3">
      <c r="A20" s="443" t="s">
        <v>437</v>
      </c>
      <c r="B20" s="444" t="s">
        <v>439</v>
      </c>
      <c r="C20" s="445" t="s">
        <v>449</v>
      </c>
      <c r="D20" s="446" t="s">
        <v>450</v>
      </c>
      <c r="E20" s="445" t="s">
        <v>937</v>
      </c>
      <c r="F20" s="446" t="s">
        <v>938</v>
      </c>
      <c r="G20" s="445" t="s">
        <v>973</v>
      </c>
      <c r="H20" s="445" t="s">
        <v>974</v>
      </c>
      <c r="I20" s="447">
        <v>44.53</v>
      </c>
      <c r="J20" s="447">
        <v>36</v>
      </c>
      <c r="K20" s="448">
        <v>1603.01</v>
      </c>
    </row>
    <row r="21" spans="1:11" ht="14.4" customHeight="1" x14ac:dyDescent="0.3">
      <c r="A21" s="443" t="s">
        <v>437</v>
      </c>
      <c r="B21" s="444" t="s">
        <v>439</v>
      </c>
      <c r="C21" s="445" t="s">
        <v>449</v>
      </c>
      <c r="D21" s="446" t="s">
        <v>450</v>
      </c>
      <c r="E21" s="445" t="s">
        <v>937</v>
      </c>
      <c r="F21" s="446" t="s">
        <v>938</v>
      </c>
      <c r="G21" s="445" t="s">
        <v>975</v>
      </c>
      <c r="H21" s="445" t="s">
        <v>976</v>
      </c>
      <c r="I21" s="447">
        <v>180.2</v>
      </c>
      <c r="J21" s="447">
        <v>36</v>
      </c>
      <c r="K21" s="448">
        <v>6487.35</v>
      </c>
    </row>
    <row r="22" spans="1:11" ht="14.4" customHeight="1" x14ac:dyDescent="0.3">
      <c r="A22" s="443" t="s">
        <v>437</v>
      </c>
      <c r="B22" s="444" t="s">
        <v>439</v>
      </c>
      <c r="C22" s="445" t="s">
        <v>449</v>
      </c>
      <c r="D22" s="446" t="s">
        <v>450</v>
      </c>
      <c r="E22" s="445" t="s">
        <v>937</v>
      </c>
      <c r="F22" s="446" t="s">
        <v>938</v>
      </c>
      <c r="G22" s="445" t="s">
        <v>977</v>
      </c>
      <c r="H22" s="445" t="s">
        <v>978</v>
      </c>
      <c r="I22" s="447">
        <v>122.71</v>
      </c>
      <c r="J22" s="447">
        <v>12</v>
      </c>
      <c r="K22" s="448">
        <v>1472.49</v>
      </c>
    </row>
    <row r="23" spans="1:11" ht="14.4" customHeight="1" x14ac:dyDescent="0.3">
      <c r="A23" s="443" t="s">
        <v>437</v>
      </c>
      <c r="B23" s="444" t="s">
        <v>439</v>
      </c>
      <c r="C23" s="445" t="s">
        <v>449</v>
      </c>
      <c r="D23" s="446" t="s">
        <v>450</v>
      </c>
      <c r="E23" s="445" t="s">
        <v>941</v>
      </c>
      <c r="F23" s="446" t="s">
        <v>942</v>
      </c>
      <c r="G23" s="445" t="s">
        <v>979</v>
      </c>
      <c r="H23" s="445" t="s">
        <v>980</v>
      </c>
      <c r="I23" s="447">
        <v>10.55</v>
      </c>
      <c r="J23" s="447">
        <v>40</v>
      </c>
      <c r="K23" s="448">
        <v>422.1</v>
      </c>
    </row>
    <row r="24" spans="1:11" ht="14.4" customHeight="1" x14ac:dyDescent="0.3">
      <c r="A24" s="443" t="s">
        <v>437</v>
      </c>
      <c r="B24" s="444" t="s">
        <v>439</v>
      </c>
      <c r="C24" s="445" t="s">
        <v>449</v>
      </c>
      <c r="D24" s="446" t="s">
        <v>450</v>
      </c>
      <c r="E24" s="445" t="s">
        <v>941</v>
      </c>
      <c r="F24" s="446" t="s">
        <v>942</v>
      </c>
      <c r="G24" s="445" t="s">
        <v>981</v>
      </c>
      <c r="H24" s="445" t="s">
        <v>982</v>
      </c>
      <c r="I24" s="447">
        <v>0.74</v>
      </c>
      <c r="J24" s="447">
        <v>600</v>
      </c>
      <c r="K24" s="448">
        <v>443</v>
      </c>
    </row>
    <row r="25" spans="1:11" ht="14.4" customHeight="1" x14ac:dyDescent="0.3">
      <c r="A25" s="443" t="s">
        <v>437</v>
      </c>
      <c r="B25" s="444" t="s">
        <v>439</v>
      </c>
      <c r="C25" s="445" t="s">
        <v>449</v>
      </c>
      <c r="D25" s="446" t="s">
        <v>450</v>
      </c>
      <c r="E25" s="445" t="s">
        <v>941</v>
      </c>
      <c r="F25" s="446" t="s">
        <v>942</v>
      </c>
      <c r="G25" s="445" t="s">
        <v>983</v>
      </c>
      <c r="H25" s="445" t="s">
        <v>984</v>
      </c>
      <c r="I25" s="447">
        <v>11.01</v>
      </c>
      <c r="J25" s="447">
        <v>40</v>
      </c>
      <c r="K25" s="448">
        <v>440.4</v>
      </c>
    </row>
    <row r="26" spans="1:11" ht="14.4" customHeight="1" x14ac:dyDescent="0.3">
      <c r="A26" s="443" t="s">
        <v>437</v>
      </c>
      <c r="B26" s="444" t="s">
        <v>439</v>
      </c>
      <c r="C26" s="445" t="s">
        <v>449</v>
      </c>
      <c r="D26" s="446" t="s">
        <v>450</v>
      </c>
      <c r="E26" s="445" t="s">
        <v>941</v>
      </c>
      <c r="F26" s="446" t="s">
        <v>942</v>
      </c>
      <c r="G26" s="445" t="s">
        <v>985</v>
      </c>
      <c r="H26" s="445" t="s">
        <v>986</v>
      </c>
      <c r="I26" s="447">
        <v>11.01</v>
      </c>
      <c r="J26" s="447">
        <v>40</v>
      </c>
      <c r="K26" s="448">
        <v>440.4</v>
      </c>
    </row>
    <row r="27" spans="1:11" ht="14.4" customHeight="1" x14ac:dyDescent="0.3">
      <c r="A27" s="443" t="s">
        <v>437</v>
      </c>
      <c r="B27" s="444" t="s">
        <v>439</v>
      </c>
      <c r="C27" s="445" t="s">
        <v>449</v>
      </c>
      <c r="D27" s="446" t="s">
        <v>450</v>
      </c>
      <c r="E27" s="445" t="s">
        <v>941</v>
      </c>
      <c r="F27" s="446" t="s">
        <v>942</v>
      </c>
      <c r="G27" s="445" t="s">
        <v>987</v>
      </c>
      <c r="H27" s="445" t="s">
        <v>988</v>
      </c>
      <c r="I27" s="447">
        <v>11.01</v>
      </c>
      <c r="J27" s="447">
        <v>40</v>
      </c>
      <c r="K27" s="448">
        <v>440.4</v>
      </c>
    </row>
    <row r="28" spans="1:11" ht="14.4" customHeight="1" x14ac:dyDescent="0.3">
      <c r="A28" s="443" t="s">
        <v>437</v>
      </c>
      <c r="B28" s="444" t="s">
        <v>439</v>
      </c>
      <c r="C28" s="445" t="s">
        <v>449</v>
      </c>
      <c r="D28" s="446" t="s">
        <v>450</v>
      </c>
      <c r="E28" s="445" t="s">
        <v>941</v>
      </c>
      <c r="F28" s="446" t="s">
        <v>942</v>
      </c>
      <c r="G28" s="445" t="s">
        <v>989</v>
      </c>
      <c r="H28" s="445" t="s">
        <v>990</v>
      </c>
      <c r="I28" s="447">
        <v>10.55</v>
      </c>
      <c r="J28" s="447">
        <v>40</v>
      </c>
      <c r="K28" s="448">
        <v>422.05</v>
      </c>
    </row>
    <row r="29" spans="1:11" ht="14.4" customHeight="1" x14ac:dyDescent="0.3">
      <c r="A29" s="443" t="s">
        <v>437</v>
      </c>
      <c r="B29" s="444" t="s">
        <v>439</v>
      </c>
      <c r="C29" s="445" t="s">
        <v>449</v>
      </c>
      <c r="D29" s="446" t="s">
        <v>450</v>
      </c>
      <c r="E29" s="445" t="s">
        <v>941</v>
      </c>
      <c r="F29" s="446" t="s">
        <v>942</v>
      </c>
      <c r="G29" s="445" t="s">
        <v>991</v>
      </c>
      <c r="H29" s="445" t="s">
        <v>992</v>
      </c>
      <c r="I29" s="447">
        <v>10.55</v>
      </c>
      <c r="J29" s="447">
        <v>40</v>
      </c>
      <c r="K29" s="448">
        <v>422.09</v>
      </c>
    </row>
    <row r="30" spans="1:11" ht="14.4" customHeight="1" x14ac:dyDescent="0.3">
      <c r="A30" s="443" t="s">
        <v>437</v>
      </c>
      <c r="B30" s="444" t="s">
        <v>439</v>
      </c>
      <c r="C30" s="445" t="s">
        <v>449</v>
      </c>
      <c r="D30" s="446" t="s">
        <v>450</v>
      </c>
      <c r="E30" s="445" t="s">
        <v>931</v>
      </c>
      <c r="F30" s="446" t="s">
        <v>932</v>
      </c>
      <c r="G30" s="445" t="s">
        <v>993</v>
      </c>
      <c r="H30" s="445" t="s">
        <v>994</v>
      </c>
      <c r="I30" s="447">
        <v>5101</v>
      </c>
      <c r="J30" s="447">
        <v>1</v>
      </c>
      <c r="K30" s="448">
        <v>5101</v>
      </c>
    </row>
    <row r="31" spans="1:11" ht="14.4" customHeight="1" x14ac:dyDescent="0.3">
      <c r="A31" s="443" t="s">
        <v>437</v>
      </c>
      <c r="B31" s="444" t="s">
        <v>439</v>
      </c>
      <c r="C31" s="445" t="s">
        <v>449</v>
      </c>
      <c r="D31" s="446" t="s">
        <v>450</v>
      </c>
      <c r="E31" s="445" t="s">
        <v>931</v>
      </c>
      <c r="F31" s="446" t="s">
        <v>932</v>
      </c>
      <c r="G31" s="445" t="s">
        <v>995</v>
      </c>
      <c r="H31" s="445" t="s">
        <v>996</v>
      </c>
      <c r="I31" s="447">
        <v>9772</v>
      </c>
      <c r="J31" s="447">
        <v>2</v>
      </c>
      <c r="K31" s="448">
        <v>19544</v>
      </c>
    </row>
    <row r="32" spans="1:11" ht="14.4" customHeight="1" x14ac:dyDescent="0.3">
      <c r="A32" s="443" t="s">
        <v>437</v>
      </c>
      <c r="B32" s="444" t="s">
        <v>439</v>
      </c>
      <c r="C32" s="445" t="s">
        <v>449</v>
      </c>
      <c r="D32" s="446" t="s">
        <v>450</v>
      </c>
      <c r="E32" s="445" t="s">
        <v>931</v>
      </c>
      <c r="F32" s="446" t="s">
        <v>932</v>
      </c>
      <c r="G32" s="445" t="s">
        <v>997</v>
      </c>
      <c r="H32" s="445" t="s">
        <v>998</v>
      </c>
      <c r="I32" s="447">
        <v>5101</v>
      </c>
      <c r="J32" s="447">
        <v>1</v>
      </c>
      <c r="K32" s="448">
        <v>5101</v>
      </c>
    </row>
    <row r="33" spans="1:11" ht="14.4" customHeight="1" x14ac:dyDescent="0.3">
      <c r="A33" s="443" t="s">
        <v>437</v>
      </c>
      <c r="B33" s="444" t="s">
        <v>439</v>
      </c>
      <c r="C33" s="445" t="s">
        <v>449</v>
      </c>
      <c r="D33" s="446" t="s">
        <v>450</v>
      </c>
      <c r="E33" s="445" t="s">
        <v>931</v>
      </c>
      <c r="F33" s="446" t="s">
        <v>932</v>
      </c>
      <c r="G33" s="445" t="s">
        <v>999</v>
      </c>
      <c r="H33" s="445" t="s">
        <v>1000</v>
      </c>
      <c r="I33" s="447">
        <v>7937.24</v>
      </c>
      <c r="J33" s="447">
        <v>1</v>
      </c>
      <c r="K33" s="448">
        <v>7937.24</v>
      </c>
    </row>
    <row r="34" spans="1:11" ht="14.4" customHeight="1" x14ac:dyDescent="0.3">
      <c r="A34" s="443" t="s">
        <v>437</v>
      </c>
      <c r="B34" s="444" t="s">
        <v>439</v>
      </c>
      <c r="C34" s="445" t="s">
        <v>449</v>
      </c>
      <c r="D34" s="446" t="s">
        <v>450</v>
      </c>
      <c r="E34" s="445" t="s">
        <v>931</v>
      </c>
      <c r="F34" s="446" t="s">
        <v>932</v>
      </c>
      <c r="G34" s="445" t="s">
        <v>1001</v>
      </c>
      <c r="H34" s="445" t="s">
        <v>1002</v>
      </c>
      <c r="I34" s="447">
        <v>5101</v>
      </c>
      <c r="J34" s="447">
        <v>2</v>
      </c>
      <c r="K34" s="448">
        <v>10202</v>
      </c>
    </row>
    <row r="35" spans="1:11" ht="14.4" customHeight="1" x14ac:dyDescent="0.3">
      <c r="A35" s="443" t="s">
        <v>437</v>
      </c>
      <c r="B35" s="444" t="s">
        <v>439</v>
      </c>
      <c r="C35" s="445" t="s">
        <v>451</v>
      </c>
      <c r="D35" s="446" t="s">
        <v>452</v>
      </c>
      <c r="E35" s="445" t="s">
        <v>925</v>
      </c>
      <c r="F35" s="446" t="s">
        <v>926</v>
      </c>
      <c r="G35" s="445" t="s">
        <v>1003</v>
      </c>
      <c r="H35" s="445" t="s">
        <v>1004</v>
      </c>
      <c r="I35" s="447">
        <v>129.26</v>
      </c>
      <c r="J35" s="447">
        <v>1</v>
      </c>
      <c r="K35" s="448">
        <v>129.26</v>
      </c>
    </row>
    <row r="36" spans="1:11" ht="14.4" customHeight="1" x14ac:dyDescent="0.3">
      <c r="A36" s="443" t="s">
        <v>437</v>
      </c>
      <c r="B36" s="444" t="s">
        <v>439</v>
      </c>
      <c r="C36" s="445" t="s">
        <v>451</v>
      </c>
      <c r="D36" s="446" t="s">
        <v>452</v>
      </c>
      <c r="E36" s="445" t="s">
        <v>925</v>
      </c>
      <c r="F36" s="446" t="s">
        <v>926</v>
      </c>
      <c r="G36" s="445" t="s">
        <v>1005</v>
      </c>
      <c r="H36" s="445" t="s">
        <v>1006</v>
      </c>
      <c r="I36" s="447">
        <v>12.08</v>
      </c>
      <c r="J36" s="447">
        <v>60</v>
      </c>
      <c r="K36" s="448">
        <v>724.8</v>
      </c>
    </row>
    <row r="37" spans="1:11" ht="14.4" customHeight="1" x14ac:dyDescent="0.3">
      <c r="A37" s="443" t="s">
        <v>437</v>
      </c>
      <c r="B37" s="444" t="s">
        <v>439</v>
      </c>
      <c r="C37" s="445" t="s">
        <v>451</v>
      </c>
      <c r="D37" s="446" t="s">
        <v>452</v>
      </c>
      <c r="E37" s="445" t="s">
        <v>925</v>
      </c>
      <c r="F37" s="446" t="s">
        <v>926</v>
      </c>
      <c r="G37" s="445" t="s">
        <v>1007</v>
      </c>
      <c r="H37" s="445" t="s">
        <v>1008</v>
      </c>
      <c r="I37" s="447">
        <v>64.900000000000006</v>
      </c>
      <c r="J37" s="447">
        <v>24</v>
      </c>
      <c r="K37" s="448">
        <v>1557.7</v>
      </c>
    </row>
    <row r="38" spans="1:11" ht="14.4" customHeight="1" x14ac:dyDescent="0.3">
      <c r="A38" s="443" t="s">
        <v>437</v>
      </c>
      <c r="B38" s="444" t="s">
        <v>439</v>
      </c>
      <c r="C38" s="445" t="s">
        <v>451</v>
      </c>
      <c r="D38" s="446" t="s">
        <v>452</v>
      </c>
      <c r="E38" s="445" t="s">
        <v>925</v>
      </c>
      <c r="F38" s="446" t="s">
        <v>926</v>
      </c>
      <c r="G38" s="445" t="s">
        <v>1009</v>
      </c>
      <c r="H38" s="445" t="s">
        <v>1010</v>
      </c>
      <c r="I38" s="447">
        <v>53.77</v>
      </c>
      <c r="J38" s="447">
        <v>12</v>
      </c>
      <c r="K38" s="448">
        <v>645.29</v>
      </c>
    </row>
    <row r="39" spans="1:11" ht="14.4" customHeight="1" x14ac:dyDescent="0.3">
      <c r="A39" s="443" t="s">
        <v>437</v>
      </c>
      <c r="B39" s="444" t="s">
        <v>439</v>
      </c>
      <c r="C39" s="445" t="s">
        <v>451</v>
      </c>
      <c r="D39" s="446" t="s">
        <v>452</v>
      </c>
      <c r="E39" s="445" t="s">
        <v>929</v>
      </c>
      <c r="F39" s="446" t="s">
        <v>930</v>
      </c>
      <c r="G39" s="445" t="s">
        <v>1011</v>
      </c>
      <c r="H39" s="445" t="s">
        <v>1012</v>
      </c>
      <c r="I39" s="447">
        <v>471.96</v>
      </c>
      <c r="J39" s="447">
        <v>3</v>
      </c>
      <c r="K39" s="448">
        <v>1415.89</v>
      </c>
    </row>
    <row r="40" spans="1:11" ht="14.4" customHeight="1" x14ac:dyDescent="0.3">
      <c r="A40" s="443" t="s">
        <v>437</v>
      </c>
      <c r="B40" s="444" t="s">
        <v>439</v>
      </c>
      <c r="C40" s="445" t="s">
        <v>451</v>
      </c>
      <c r="D40" s="446" t="s">
        <v>452</v>
      </c>
      <c r="E40" s="445" t="s">
        <v>929</v>
      </c>
      <c r="F40" s="446" t="s">
        <v>930</v>
      </c>
      <c r="G40" s="445" t="s">
        <v>1013</v>
      </c>
      <c r="H40" s="445" t="s">
        <v>1014</v>
      </c>
      <c r="I40" s="447">
        <v>471.97</v>
      </c>
      <c r="J40" s="447">
        <v>2</v>
      </c>
      <c r="K40" s="448">
        <v>943.94</v>
      </c>
    </row>
    <row r="41" spans="1:11" ht="14.4" customHeight="1" x14ac:dyDescent="0.3">
      <c r="A41" s="443" t="s">
        <v>437</v>
      </c>
      <c r="B41" s="444" t="s">
        <v>439</v>
      </c>
      <c r="C41" s="445" t="s">
        <v>451</v>
      </c>
      <c r="D41" s="446" t="s">
        <v>452</v>
      </c>
      <c r="E41" s="445" t="s">
        <v>929</v>
      </c>
      <c r="F41" s="446" t="s">
        <v>930</v>
      </c>
      <c r="G41" s="445" t="s">
        <v>1015</v>
      </c>
      <c r="H41" s="445" t="s">
        <v>1016</v>
      </c>
      <c r="I41" s="447">
        <v>471.97</v>
      </c>
      <c r="J41" s="447">
        <v>1</v>
      </c>
      <c r="K41" s="448">
        <v>471.97</v>
      </c>
    </row>
    <row r="42" spans="1:11" ht="14.4" customHeight="1" x14ac:dyDescent="0.3">
      <c r="A42" s="443" t="s">
        <v>437</v>
      </c>
      <c r="B42" s="444" t="s">
        <v>439</v>
      </c>
      <c r="C42" s="445" t="s">
        <v>451</v>
      </c>
      <c r="D42" s="446" t="s">
        <v>452</v>
      </c>
      <c r="E42" s="445" t="s">
        <v>935</v>
      </c>
      <c r="F42" s="446" t="s">
        <v>936</v>
      </c>
      <c r="G42" s="445" t="s">
        <v>1017</v>
      </c>
      <c r="H42" s="445" t="s">
        <v>1018</v>
      </c>
      <c r="I42" s="447">
        <v>499.7</v>
      </c>
      <c r="J42" s="447">
        <v>6</v>
      </c>
      <c r="K42" s="448">
        <v>2998.21</v>
      </c>
    </row>
    <row r="43" spans="1:11" ht="14.4" customHeight="1" x14ac:dyDescent="0.3">
      <c r="A43" s="443" t="s">
        <v>437</v>
      </c>
      <c r="B43" s="444" t="s">
        <v>439</v>
      </c>
      <c r="C43" s="445" t="s">
        <v>451</v>
      </c>
      <c r="D43" s="446" t="s">
        <v>452</v>
      </c>
      <c r="E43" s="445" t="s">
        <v>937</v>
      </c>
      <c r="F43" s="446" t="s">
        <v>938</v>
      </c>
      <c r="G43" s="445" t="s">
        <v>1019</v>
      </c>
      <c r="H43" s="445" t="s">
        <v>1020</v>
      </c>
      <c r="I43" s="447">
        <v>442.01</v>
      </c>
      <c r="J43" s="447">
        <v>12</v>
      </c>
      <c r="K43" s="448">
        <v>5304.06</v>
      </c>
    </row>
    <row r="44" spans="1:11" ht="14.4" customHeight="1" x14ac:dyDescent="0.3">
      <c r="A44" s="443" t="s">
        <v>437</v>
      </c>
      <c r="B44" s="444" t="s">
        <v>439</v>
      </c>
      <c r="C44" s="445" t="s">
        <v>451</v>
      </c>
      <c r="D44" s="446" t="s">
        <v>452</v>
      </c>
      <c r="E44" s="445" t="s">
        <v>937</v>
      </c>
      <c r="F44" s="446" t="s">
        <v>938</v>
      </c>
      <c r="G44" s="445" t="s">
        <v>1021</v>
      </c>
      <c r="H44" s="445" t="s">
        <v>1022</v>
      </c>
      <c r="I44" s="447">
        <v>61.55</v>
      </c>
      <c r="J44" s="447">
        <v>72</v>
      </c>
      <c r="K44" s="448">
        <v>4431.8999999999996</v>
      </c>
    </row>
    <row r="45" spans="1:11" ht="14.4" customHeight="1" x14ac:dyDescent="0.3">
      <c r="A45" s="443" t="s">
        <v>437</v>
      </c>
      <c r="B45" s="444" t="s">
        <v>439</v>
      </c>
      <c r="C45" s="445" t="s">
        <v>451</v>
      </c>
      <c r="D45" s="446" t="s">
        <v>452</v>
      </c>
      <c r="E45" s="445" t="s">
        <v>937</v>
      </c>
      <c r="F45" s="446" t="s">
        <v>938</v>
      </c>
      <c r="G45" s="445" t="s">
        <v>1023</v>
      </c>
      <c r="H45" s="445" t="s">
        <v>1024</v>
      </c>
      <c r="I45" s="447">
        <v>68.739999999999995</v>
      </c>
      <c r="J45" s="447">
        <v>72</v>
      </c>
      <c r="K45" s="448">
        <v>4948.9799999999996</v>
      </c>
    </row>
    <row r="46" spans="1:11" ht="14.4" customHeight="1" x14ac:dyDescent="0.3">
      <c r="A46" s="443" t="s">
        <v>437</v>
      </c>
      <c r="B46" s="444" t="s">
        <v>439</v>
      </c>
      <c r="C46" s="445" t="s">
        <v>451</v>
      </c>
      <c r="D46" s="446" t="s">
        <v>452</v>
      </c>
      <c r="E46" s="445" t="s">
        <v>937</v>
      </c>
      <c r="F46" s="446" t="s">
        <v>938</v>
      </c>
      <c r="G46" s="445" t="s">
        <v>1025</v>
      </c>
      <c r="H46" s="445" t="s">
        <v>1026</v>
      </c>
      <c r="I46" s="447">
        <v>97.83</v>
      </c>
      <c r="J46" s="447">
        <v>60</v>
      </c>
      <c r="K46" s="448">
        <v>5869.95</v>
      </c>
    </row>
    <row r="47" spans="1:11" ht="14.4" customHeight="1" x14ac:dyDescent="0.3">
      <c r="A47" s="443" t="s">
        <v>437</v>
      </c>
      <c r="B47" s="444" t="s">
        <v>439</v>
      </c>
      <c r="C47" s="445" t="s">
        <v>451</v>
      </c>
      <c r="D47" s="446" t="s">
        <v>452</v>
      </c>
      <c r="E47" s="445" t="s">
        <v>937</v>
      </c>
      <c r="F47" s="446" t="s">
        <v>938</v>
      </c>
      <c r="G47" s="445" t="s">
        <v>967</v>
      </c>
      <c r="H47" s="445" t="s">
        <v>968</v>
      </c>
      <c r="I47" s="447">
        <v>101.65</v>
      </c>
      <c r="J47" s="447">
        <v>36</v>
      </c>
      <c r="K47" s="448">
        <v>3659.58</v>
      </c>
    </row>
    <row r="48" spans="1:11" ht="14.4" customHeight="1" x14ac:dyDescent="0.3">
      <c r="A48" s="443" t="s">
        <v>437</v>
      </c>
      <c r="B48" s="444" t="s">
        <v>439</v>
      </c>
      <c r="C48" s="445" t="s">
        <v>451</v>
      </c>
      <c r="D48" s="446" t="s">
        <v>452</v>
      </c>
      <c r="E48" s="445" t="s">
        <v>937</v>
      </c>
      <c r="F48" s="446" t="s">
        <v>938</v>
      </c>
      <c r="G48" s="445" t="s">
        <v>1027</v>
      </c>
      <c r="H48" s="445" t="s">
        <v>1028</v>
      </c>
      <c r="I48" s="447">
        <v>129.18</v>
      </c>
      <c r="J48" s="447">
        <v>48</v>
      </c>
      <c r="K48" s="448">
        <v>6200.64</v>
      </c>
    </row>
    <row r="49" spans="1:11" ht="14.4" customHeight="1" x14ac:dyDescent="0.3">
      <c r="A49" s="443" t="s">
        <v>437</v>
      </c>
      <c r="B49" s="444" t="s">
        <v>439</v>
      </c>
      <c r="C49" s="445" t="s">
        <v>451</v>
      </c>
      <c r="D49" s="446" t="s">
        <v>452</v>
      </c>
      <c r="E49" s="445" t="s">
        <v>937</v>
      </c>
      <c r="F49" s="446" t="s">
        <v>938</v>
      </c>
      <c r="G49" s="445" t="s">
        <v>1029</v>
      </c>
      <c r="H49" s="445" t="s">
        <v>1030</v>
      </c>
      <c r="I49" s="447">
        <v>136.62</v>
      </c>
      <c r="J49" s="447">
        <v>48</v>
      </c>
      <c r="K49" s="448">
        <v>6557.95</v>
      </c>
    </row>
    <row r="50" spans="1:11" ht="14.4" customHeight="1" x14ac:dyDescent="0.3">
      <c r="A50" s="443" t="s">
        <v>437</v>
      </c>
      <c r="B50" s="444" t="s">
        <v>439</v>
      </c>
      <c r="C50" s="445" t="s">
        <v>451</v>
      </c>
      <c r="D50" s="446" t="s">
        <v>452</v>
      </c>
      <c r="E50" s="445" t="s">
        <v>937</v>
      </c>
      <c r="F50" s="446" t="s">
        <v>938</v>
      </c>
      <c r="G50" s="445" t="s">
        <v>1031</v>
      </c>
      <c r="H50" s="445" t="s">
        <v>1032</v>
      </c>
      <c r="I50" s="447">
        <v>424.99</v>
      </c>
      <c r="J50" s="447">
        <v>24</v>
      </c>
      <c r="K50" s="448">
        <v>10199.77</v>
      </c>
    </row>
    <row r="51" spans="1:11" ht="14.4" customHeight="1" x14ac:dyDescent="0.3">
      <c r="A51" s="443" t="s">
        <v>437</v>
      </c>
      <c r="B51" s="444" t="s">
        <v>439</v>
      </c>
      <c r="C51" s="445" t="s">
        <v>451</v>
      </c>
      <c r="D51" s="446" t="s">
        <v>452</v>
      </c>
      <c r="E51" s="445" t="s">
        <v>937</v>
      </c>
      <c r="F51" s="446" t="s">
        <v>938</v>
      </c>
      <c r="G51" s="445" t="s">
        <v>1033</v>
      </c>
      <c r="H51" s="445" t="s">
        <v>1034</v>
      </c>
      <c r="I51" s="447">
        <v>108.37</v>
      </c>
      <c r="J51" s="447">
        <v>48</v>
      </c>
      <c r="K51" s="448">
        <v>5201.96</v>
      </c>
    </row>
    <row r="52" spans="1:11" ht="14.4" customHeight="1" x14ac:dyDescent="0.3">
      <c r="A52" s="443" t="s">
        <v>437</v>
      </c>
      <c r="B52" s="444" t="s">
        <v>439</v>
      </c>
      <c r="C52" s="445" t="s">
        <v>445</v>
      </c>
      <c r="D52" s="446" t="s">
        <v>446</v>
      </c>
      <c r="E52" s="445" t="s">
        <v>925</v>
      </c>
      <c r="F52" s="446" t="s">
        <v>926</v>
      </c>
      <c r="G52" s="445" t="s">
        <v>1035</v>
      </c>
      <c r="H52" s="445" t="s">
        <v>1036</v>
      </c>
      <c r="I52" s="447">
        <v>2.4700000000000002</v>
      </c>
      <c r="J52" s="447">
        <v>320</v>
      </c>
      <c r="K52" s="448">
        <v>790.4</v>
      </c>
    </row>
    <row r="53" spans="1:11" ht="14.4" customHeight="1" x14ac:dyDescent="0.3">
      <c r="A53" s="443" t="s">
        <v>437</v>
      </c>
      <c r="B53" s="444" t="s">
        <v>439</v>
      </c>
      <c r="C53" s="445" t="s">
        <v>445</v>
      </c>
      <c r="D53" s="446" t="s">
        <v>446</v>
      </c>
      <c r="E53" s="445" t="s">
        <v>925</v>
      </c>
      <c r="F53" s="446" t="s">
        <v>926</v>
      </c>
      <c r="G53" s="445" t="s">
        <v>1037</v>
      </c>
      <c r="H53" s="445" t="s">
        <v>1038</v>
      </c>
      <c r="I53" s="447">
        <v>1.33</v>
      </c>
      <c r="J53" s="447">
        <v>1000</v>
      </c>
      <c r="K53" s="448">
        <v>1331</v>
      </c>
    </row>
    <row r="54" spans="1:11" ht="14.4" customHeight="1" x14ac:dyDescent="0.3">
      <c r="A54" s="443" t="s">
        <v>437</v>
      </c>
      <c r="B54" s="444" t="s">
        <v>439</v>
      </c>
      <c r="C54" s="445" t="s">
        <v>445</v>
      </c>
      <c r="D54" s="446" t="s">
        <v>446</v>
      </c>
      <c r="E54" s="445" t="s">
        <v>925</v>
      </c>
      <c r="F54" s="446" t="s">
        <v>926</v>
      </c>
      <c r="G54" s="445" t="s">
        <v>1039</v>
      </c>
      <c r="H54" s="445" t="s">
        <v>1040</v>
      </c>
      <c r="I54" s="447">
        <v>8.68</v>
      </c>
      <c r="J54" s="447">
        <v>200</v>
      </c>
      <c r="K54" s="448">
        <v>1735.35</v>
      </c>
    </row>
    <row r="55" spans="1:11" ht="14.4" customHeight="1" x14ac:dyDescent="0.3">
      <c r="A55" s="443" t="s">
        <v>437</v>
      </c>
      <c r="B55" s="444" t="s">
        <v>439</v>
      </c>
      <c r="C55" s="445" t="s">
        <v>445</v>
      </c>
      <c r="D55" s="446" t="s">
        <v>446</v>
      </c>
      <c r="E55" s="445" t="s">
        <v>925</v>
      </c>
      <c r="F55" s="446" t="s">
        <v>926</v>
      </c>
      <c r="G55" s="445" t="s">
        <v>1041</v>
      </c>
      <c r="H55" s="445" t="s">
        <v>1042</v>
      </c>
      <c r="I55" s="447">
        <v>0.85</v>
      </c>
      <c r="J55" s="447">
        <v>100</v>
      </c>
      <c r="K55" s="448">
        <v>85</v>
      </c>
    </row>
    <row r="56" spans="1:11" ht="14.4" customHeight="1" x14ac:dyDescent="0.3">
      <c r="A56" s="443" t="s">
        <v>437</v>
      </c>
      <c r="B56" s="444" t="s">
        <v>439</v>
      </c>
      <c r="C56" s="445" t="s">
        <v>445</v>
      </c>
      <c r="D56" s="446" t="s">
        <v>446</v>
      </c>
      <c r="E56" s="445" t="s">
        <v>925</v>
      </c>
      <c r="F56" s="446" t="s">
        <v>926</v>
      </c>
      <c r="G56" s="445" t="s">
        <v>1043</v>
      </c>
      <c r="H56" s="445" t="s">
        <v>1044</v>
      </c>
      <c r="I56" s="447">
        <v>40.340000000000003</v>
      </c>
      <c r="J56" s="447">
        <v>30</v>
      </c>
      <c r="K56" s="448">
        <v>1210.17</v>
      </c>
    </row>
    <row r="57" spans="1:11" ht="14.4" customHeight="1" x14ac:dyDescent="0.3">
      <c r="A57" s="443" t="s">
        <v>437</v>
      </c>
      <c r="B57" s="444" t="s">
        <v>439</v>
      </c>
      <c r="C57" s="445" t="s">
        <v>445</v>
      </c>
      <c r="D57" s="446" t="s">
        <v>446</v>
      </c>
      <c r="E57" s="445" t="s">
        <v>925</v>
      </c>
      <c r="F57" s="446" t="s">
        <v>926</v>
      </c>
      <c r="G57" s="445" t="s">
        <v>1045</v>
      </c>
      <c r="H57" s="445" t="s">
        <v>1046</v>
      </c>
      <c r="I57" s="447">
        <v>5.18</v>
      </c>
      <c r="J57" s="447">
        <v>100</v>
      </c>
      <c r="K57" s="448">
        <v>517.5</v>
      </c>
    </row>
    <row r="58" spans="1:11" ht="14.4" customHeight="1" x14ac:dyDescent="0.3">
      <c r="A58" s="443" t="s">
        <v>437</v>
      </c>
      <c r="B58" s="444" t="s">
        <v>439</v>
      </c>
      <c r="C58" s="445" t="s">
        <v>445</v>
      </c>
      <c r="D58" s="446" t="s">
        <v>446</v>
      </c>
      <c r="E58" s="445" t="s">
        <v>925</v>
      </c>
      <c r="F58" s="446" t="s">
        <v>926</v>
      </c>
      <c r="G58" s="445" t="s">
        <v>1047</v>
      </c>
      <c r="H58" s="445" t="s">
        <v>1048</v>
      </c>
      <c r="I58" s="447">
        <v>9.7799999999999994</v>
      </c>
      <c r="J58" s="447">
        <v>100</v>
      </c>
      <c r="K58" s="448">
        <v>977.5</v>
      </c>
    </row>
    <row r="59" spans="1:11" ht="14.4" customHeight="1" x14ac:dyDescent="0.3">
      <c r="A59" s="443" t="s">
        <v>437</v>
      </c>
      <c r="B59" s="444" t="s">
        <v>439</v>
      </c>
      <c r="C59" s="445" t="s">
        <v>445</v>
      </c>
      <c r="D59" s="446" t="s">
        <v>446</v>
      </c>
      <c r="E59" s="445" t="s">
        <v>925</v>
      </c>
      <c r="F59" s="446" t="s">
        <v>926</v>
      </c>
      <c r="G59" s="445" t="s">
        <v>1049</v>
      </c>
      <c r="H59" s="445" t="s">
        <v>1050</v>
      </c>
      <c r="I59" s="447">
        <v>3.45</v>
      </c>
      <c r="J59" s="447">
        <v>100</v>
      </c>
      <c r="K59" s="448">
        <v>345</v>
      </c>
    </row>
    <row r="60" spans="1:11" ht="14.4" customHeight="1" x14ac:dyDescent="0.3">
      <c r="A60" s="443" t="s">
        <v>437</v>
      </c>
      <c r="B60" s="444" t="s">
        <v>439</v>
      </c>
      <c r="C60" s="445" t="s">
        <v>445</v>
      </c>
      <c r="D60" s="446" t="s">
        <v>446</v>
      </c>
      <c r="E60" s="445" t="s">
        <v>927</v>
      </c>
      <c r="F60" s="446" t="s">
        <v>928</v>
      </c>
      <c r="G60" s="445" t="s">
        <v>1051</v>
      </c>
      <c r="H60" s="445" t="s">
        <v>1052</v>
      </c>
      <c r="I60" s="447">
        <v>2.1800000000000002</v>
      </c>
      <c r="J60" s="447">
        <v>100</v>
      </c>
      <c r="K60" s="448">
        <v>217.74</v>
      </c>
    </row>
    <row r="61" spans="1:11" ht="14.4" customHeight="1" x14ac:dyDescent="0.3">
      <c r="A61" s="443" t="s">
        <v>437</v>
      </c>
      <c r="B61" s="444" t="s">
        <v>439</v>
      </c>
      <c r="C61" s="445" t="s">
        <v>445</v>
      </c>
      <c r="D61" s="446" t="s">
        <v>446</v>
      </c>
      <c r="E61" s="445" t="s">
        <v>927</v>
      </c>
      <c r="F61" s="446" t="s">
        <v>928</v>
      </c>
      <c r="G61" s="445" t="s">
        <v>1053</v>
      </c>
      <c r="H61" s="445" t="s">
        <v>1054</v>
      </c>
      <c r="I61" s="447">
        <v>2.34</v>
      </c>
      <c r="J61" s="447">
        <v>100</v>
      </c>
      <c r="K61" s="448">
        <v>234</v>
      </c>
    </row>
    <row r="62" spans="1:11" ht="14.4" customHeight="1" x14ac:dyDescent="0.3">
      <c r="A62" s="443" t="s">
        <v>437</v>
      </c>
      <c r="B62" s="444" t="s">
        <v>439</v>
      </c>
      <c r="C62" s="445" t="s">
        <v>445</v>
      </c>
      <c r="D62" s="446" t="s">
        <v>446</v>
      </c>
      <c r="E62" s="445" t="s">
        <v>927</v>
      </c>
      <c r="F62" s="446" t="s">
        <v>928</v>
      </c>
      <c r="G62" s="445" t="s">
        <v>1055</v>
      </c>
      <c r="H62" s="445" t="s">
        <v>1056</v>
      </c>
      <c r="I62" s="447">
        <v>4.3099999999999996</v>
      </c>
      <c r="J62" s="447">
        <v>100</v>
      </c>
      <c r="K62" s="448">
        <v>431.06</v>
      </c>
    </row>
    <row r="63" spans="1:11" ht="14.4" customHeight="1" x14ac:dyDescent="0.3">
      <c r="A63" s="443" t="s">
        <v>437</v>
      </c>
      <c r="B63" s="444" t="s">
        <v>439</v>
      </c>
      <c r="C63" s="445" t="s">
        <v>445</v>
      </c>
      <c r="D63" s="446" t="s">
        <v>446</v>
      </c>
      <c r="E63" s="445" t="s">
        <v>927</v>
      </c>
      <c r="F63" s="446" t="s">
        <v>928</v>
      </c>
      <c r="G63" s="445" t="s">
        <v>1057</v>
      </c>
      <c r="H63" s="445" t="s">
        <v>1058</v>
      </c>
      <c r="I63" s="447">
        <v>1.78</v>
      </c>
      <c r="J63" s="447">
        <v>50</v>
      </c>
      <c r="K63" s="448">
        <v>89</v>
      </c>
    </row>
    <row r="64" spans="1:11" ht="14.4" customHeight="1" x14ac:dyDescent="0.3">
      <c r="A64" s="443" t="s">
        <v>437</v>
      </c>
      <c r="B64" s="444" t="s">
        <v>439</v>
      </c>
      <c r="C64" s="445" t="s">
        <v>445</v>
      </c>
      <c r="D64" s="446" t="s">
        <v>446</v>
      </c>
      <c r="E64" s="445" t="s">
        <v>927</v>
      </c>
      <c r="F64" s="446" t="s">
        <v>928</v>
      </c>
      <c r="G64" s="445" t="s">
        <v>1059</v>
      </c>
      <c r="H64" s="445" t="s">
        <v>1060</v>
      </c>
      <c r="I64" s="447">
        <v>1.99</v>
      </c>
      <c r="J64" s="447">
        <v>30</v>
      </c>
      <c r="K64" s="448">
        <v>59.7</v>
      </c>
    </row>
    <row r="65" spans="1:11" ht="14.4" customHeight="1" x14ac:dyDescent="0.3">
      <c r="A65" s="443" t="s">
        <v>437</v>
      </c>
      <c r="B65" s="444" t="s">
        <v>439</v>
      </c>
      <c r="C65" s="445" t="s">
        <v>445</v>
      </c>
      <c r="D65" s="446" t="s">
        <v>446</v>
      </c>
      <c r="E65" s="445" t="s">
        <v>927</v>
      </c>
      <c r="F65" s="446" t="s">
        <v>928</v>
      </c>
      <c r="G65" s="445" t="s">
        <v>1061</v>
      </c>
      <c r="H65" s="445" t="s">
        <v>1062</v>
      </c>
      <c r="I65" s="447">
        <v>2.41</v>
      </c>
      <c r="J65" s="447">
        <v>50</v>
      </c>
      <c r="K65" s="448">
        <v>120.5</v>
      </c>
    </row>
    <row r="66" spans="1:11" ht="14.4" customHeight="1" x14ac:dyDescent="0.3">
      <c r="A66" s="443" t="s">
        <v>437</v>
      </c>
      <c r="B66" s="444" t="s">
        <v>439</v>
      </c>
      <c r="C66" s="445" t="s">
        <v>445</v>
      </c>
      <c r="D66" s="446" t="s">
        <v>446</v>
      </c>
      <c r="E66" s="445" t="s">
        <v>927</v>
      </c>
      <c r="F66" s="446" t="s">
        <v>928</v>
      </c>
      <c r="G66" s="445" t="s">
        <v>1063</v>
      </c>
      <c r="H66" s="445" t="s">
        <v>1064</v>
      </c>
      <c r="I66" s="447">
        <v>5.13</v>
      </c>
      <c r="J66" s="447">
        <v>70</v>
      </c>
      <c r="K66" s="448">
        <v>359.1</v>
      </c>
    </row>
    <row r="67" spans="1:11" ht="14.4" customHeight="1" x14ac:dyDescent="0.3">
      <c r="A67" s="443" t="s">
        <v>437</v>
      </c>
      <c r="B67" s="444" t="s">
        <v>439</v>
      </c>
      <c r="C67" s="445" t="s">
        <v>445</v>
      </c>
      <c r="D67" s="446" t="s">
        <v>446</v>
      </c>
      <c r="E67" s="445" t="s">
        <v>927</v>
      </c>
      <c r="F67" s="446" t="s">
        <v>928</v>
      </c>
      <c r="G67" s="445" t="s">
        <v>1065</v>
      </c>
      <c r="H67" s="445" t="s">
        <v>1066</v>
      </c>
      <c r="I67" s="447">
        <v>21.24</v>
      </c>
      <c r="J67" s="447">
        <v>50</v>
      </c>
      <c r="K67" s="448">
        <v>1062</v>
      </c>
    </row>
    <row r="68" spans="1:11" ht="14.4" customHeight="1" x14ac:dyDescent="0.3">
      <c r="A68" s="443" t="s">
        <v>437</v>
      </c>
      <c r="B68" s="444" t="s">
        <v>439</v>
      </c>
      <c r="C68" s="445" t="s">
        <v>445</v>
      </c>
      <c r="D68" s="446" t="s">
        <v>446</v>
      </c>
      <c r="E68" s="445" t="s">
        <v>927</v>
      </c>
      <c r="F68" s="446" t="s">
        <v>928</v>
      </c>
      <c r="G68" s="445" t="s">
        <v>1067</v>
      </c>
      <c r="H68" s="445" t="s">
        <v>1068</v>
      </c>
      <c r="I68" s="447">
        <v>193.12</v>
      </c>
      <c r="J68" s="447">
        <v>7</v>
      </c>
      <c r="K68" s="448">
        <v>1351.81</v>
      </c>
    </row>
    <row r="69" spans="1:11" ht="14.4" customHeight="1" x14ac:dyDescent="0.3">
      <c r="A69" s="443" t="s">
        <v>437</v>
      </c>
      <c r="B69" s="444" t="s">
        <v>439</v>
      </c>
      <c r="C69" s="445" t="s">
        <v>445</v>
      </c>
      <c r="D69" s="446" t="s">
        <v>446</v>
      </c>
      <c r="E69" s="445" t="s">
        <v>927</v>
      </c>
      <c r="F69" s="446" t="s">
        <v>928</v>
      </c>
      <c r="G69" s="445" t="s">
        <v>1069</v>
      </c>
      <c r="H69" s="445" t="s">
        <v>1070</v>
      </c>
      <c r="I69" s="447">
        <v>200.01</v>
      </c>
      <c r="J69" s="447">
        <v>6</v>
      </c>
      <c r="K69" s="448">
        <v>1200.08</v>
      </c>
    </row>
    <row r="70" spans="1:11" ht="14.4" customHeight="1" x14ac:dyDescent="0.3">
      <c r="A70" s="443" t="s">
        <v>437</v>
      </c>
      <c r="B70" s="444" t="s">
        <v>439</v>
      </c>
      <c r="C70" s="445" t="s">
        <v>445</v>
      </c>
      <c r="D70" s="446" t="s">
        <v>446</v>
      </c>
      <c r="E70" s="445" t="s">
        <v>927</v>
      </c>
      <c r="F70" s="446" t="s">
        <v>928</v>
      </c>
      <c r="G70" s="445" t="s">
        <v>1071</v>
      </c>
      <c r="H70" s="445" t="s">
        <v>1072</v>
      </c>
      <c r="I70" s="447">
        <v>427.92</v>
      </c>
      <c r="J70" s="447">
        <v>10</v>
      </c>
      <c r="K70" s="448">
        <v>4279.17</v>
      </c>
    </row>
    <row r="71" spans="1:11" ht="14.4" customHeight="1" x14ac:dyDescent="0.3">
      <c r="A71" s="443" t="s">
        <v>437</v>
      </c>
      <c r="B71" s="444" t="s">
        <v>439</v>
      </c>
      <c r="C71" s="445" t="s">
        <v>445</v>
      </c>
      <c r="D71" s="446" t="s">
        <v>446</v>
      </c>
      <c r="E71" s="445" t="s">
        <v>939</v>
      </c>
      <c r="F71" s="446" t="s">
        <v>940</v>
      </c>
      <c r="G71" s="445" t="s">
        <v>1073</v>
      </c>
      <c r="H71" s="445" t="s">
        <v>1074</v>
      </c>
      <c r="I71" s="447">
        <v>0.31</v>
      </c>
      <c r="J71" s="447">
        <v>200</v>
      </c>
      <c r="K71" s="448">
        <v>62</v>
      </c>
    </row>
    <row r="72" spans="1:11" ht="14.4" customHeight="1" x14ac:dyDescent="0.3">
      <c r="A72" s="443" t="s">
        <v>437</v>
      </c>
      <c r="B72" s="444" t="s">
        <v>439</v>
      </c>
      <c r="C72" s="445" t="s">
        <v>445</v>
      </c>
      <c r="D72" s="446" t="s">
        <v>446</v>
      </c>
      <c r="E72" s="445" t="s">
        <v>939</v>
      </c>
      <c r="F72" s="446" t="s">
        <v>940</v>
      </c>
      <c r="G72" s="445" t="s">
        <v>1075</v>
      </c>
      <c r="H72" s="445" t="s">
        <v>1076</v>
      </c>
      <c r="I72" s="447">
        <v>0.31</v>
      </c>
      <c r="J72" s="447">
        <v>200</v>
      </c>
      <c r="K72" s="448">
        <v>62</v>
      </c>
    </row>
    <row r="73" spans="1:11" ht="14.4" customHeight="1" x14ac:dyDescent="0.3">
      <c r="A73" s="443" t="s">
        <v>437</v>
      </c>
      <c r="B73" s="444" t="s">
        <v>439</v>
      </c>
      <c r="C73" s="445" t="s">
        <v>445</v>
      </c>
      <c r="D73" s="446" t="s">
        <v>446</v>
      </c>
      <c r="E73" s="445" t="s">
        <v>941</v>
      </c>
      <c r="F73" s="446" t="s">
        <v>942</v>
      </c>
      <c r="G73" s="445" t="s">
        <v>1077</v>
      </c>
      <c r="H73" s="445" t="s">
        <v>1078</v>
      </c>
      <c r="I73" s="447">
        <v>0.73</v>
      </c>
      <c r="J73" s="447">
        <v>700</v>
      </c>
      <c r="K73" s="448">
        <v>510.81</v>
      </c>
    </row>
    <row r="74" spans="1:11" ht="14.4" customHeight="1" x14ac:dyDescent="0.3">
      <c r="A74" s="443" t="s">
        <v>437</v>
      </c>
      <c r="B74" s="444" t="s">
        <v>439</v>
      </c>
      <c r="C74" s="445" t="s">
        <v>445</v>
      </c>
      <c r="D74" s="446" t="s">
        <v>446</v>
      </c>
      <c r="E74" s="445" t="s">
        <v>941</v>
      </c>
      <c r="F74" s="446" t="s">
        <v>942</v>
      </c>
      <c r="G74" s="445" t="s">
        <v>981</v>
      </c>
      <c r="H74" s="445" t="s">
        <v>982</v>
      </c>
      <c r="I74" s="447">
        <v>0.73</v>
      </c>
      <c r="J74" s="447">
        <v>700</v>
      </c>
      <c r="K74" s="448">
        <v>510.74</v>
      </c>
    </row>
    <row r="75" spans="1:11" ht="14.4" customHeight="1" x14ac:dyDescent="0.3">
      <c r="A75" s="443" t="s">
        <v>437</v>
      </c>
      <c r="B75" s="444" t="s">
        <v>439</v>
      </c>
      <c r="C75" s="445" t="s">
        <v>445</v>
      </c>
      <c r="D75" s="446" t="s">
        <v>446</v>
      </c>
      <c r="E75" s="445" t="s">
        <v>941</v>
      </c>
      <c r="F75" s="446" t="s">
        <v>942</v>
      </c>
      <c r="G75" s="445" t="s">
        <v>1079</v>
      </c>
      <c r="H75" s="445" t="s">
        <v>1080</v>
      </c>
      <c r="I75" s="447">
        <v>0.77</v>
      </c>
      <c r="J75" s="447">
        <v>600</v>
      </c>
      <c r="K75" s="448">
        <v>462</v>
      </c>
    </row>
    <row r="76" spans="1:11" ht="14.4" customHeight="1" thickBot="1" x14ac:dyDescent="0.35">
      <c r="A76" s="449" t="s">
        <v>437</v>
      </c>
      <c r="B76" s="450" t="s">
        <v>439</v>
      </c>
      <c r="C76" s="451" t="s">
        <v>445</v>
      </c>
      <c r="D76" s="452" t="s">
        <v>446</v>
      </c>
      <c r="E76" s="451" t="s">
        <v>941</v>
      </c>
      <c r="F76" s="452" t="s">
        <v>942</v>
      </c>
      <c r="G76" s="451" t="s">
        <v>1081</v>
      </c>
      <c r="H76" s="451" t="s">
        <v>1082</v>
      </c>
      <c r="I76" s="453">
        <v>0.77500000000000002</v>
      </c>
      <c r="J76" s="453">
        <v>600</v>
      </c>
      <c r="K76" s="454">
        <v>465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2" width="12.21875" customWidth="1"/>
    <col min="3" max="3" width="12.21875" hidden="1" customWidth="1"/>
    <col min="4" max="4" width="12.21875" customWidth="1"/>
    <col min="5" max="5" width="12.21875" hidden="1" customWidth="1"/>
    <col min="6" max="6" width="12.21875" customWidth="1"/>
    <col min="7" max="10" width="12.21875" hidden="1" customWidth="1"/>
    <col min="11" max="11" width="12.21875" customWidth="1"/>
    <col min="12" max="12" width="12.21875" hidden="1" customWidth="1"/>
  </cols>
  <sheetData>
    <row r="1" spans="1:12" ht="18.600000000000001" thickBot="1" x14ac:dyDescent="0.4">
      <c r="A1" s="376" t="s">
        <v>111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spans="1:12" ht="15" thickBot="1" x14ac:dyDescent="0.35">
      <c r="A2" s="243" t="s">
        <v>249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1:12" x14ac:dyDescent="0.3">
      <c r="A3" s="264" t="s">
        <v>243</v>
      </c>
      <c r="B3" s="378" t="s">
        <v>221</v>
      </c>
      <c r="C3" s="245">
        <v>0</v>
      </c>
      <c r="D3" s="246">
        <v>101</v>
      </c>
      <c r="E3" s="267">
        <v>203</v>
      </c>
      <c r="F3" s="246" t="s">
        <v>201</v>
      </c>
      <c r="G3" s="246" t="s">
        <v>202</v>
      </c>
      <c r="H3" s="246" t="s">
        <v>203</v>
      </c>
      <c r="I3" s="246" t="s">
        <v>204</v>
      </c>
      <c r="J3" s="246" t="s">
        <v>205</v>
      </c>
      <c r="K3" s="246">
        <v>930</v>
      </c>
      <c r="L3" s="247">
        <v>940</v>
      </c>
    </row>
    <row r="4" spans="1:12" ht="60.6" outlineLevel="1" thickBot="1" x14ac:dyDescent="0.35">
      <c r="A4" s="265">
        <v>2014</v>
      </c>
      <c r="B4" s="379"/>
      <c r="C4" s="248" t="s">
        <v>222</v>
      </c>
      <c r="D4" s="249" t="s">
        <v>223</v>
      </c>
      <c r="E4" s="268" t="s">
        <v>224</v>
      </c>
      <c r="F4" s="249" t="s">
        <v>225</v>
      </c>
      <c r="G4" s="249" t="s">
        <v>226</v>
      </c>
      <c r="H4" s="249" t="s">
        <v>227</v>
      </c>
      <c r="I4" s="249" t="s">
        <v>228</v>
      </c>
      <c r="J4" s="249" t="s">
        <v>229</v>
      </c>
      <c r="K4" s="249" t="s">
        <v>230</v>
      </c>
      <c r="L4" s="250" t="s">
        <v>231</v>
      </c>
    </row>
    <row r="5" spans="1:12" x14ac:dyDescent="0.3">
      <c r="A5" s="251" t="s">
        <v>232</v>
      </c>
      <c r="B5" s="295"/>
      <c r="C5" s="296"/>
      <c r="D5" s="297"/>
      <c r="E5" s="297"/>
      <c r="F5" s="297"/>
      <c r="G5" s="297"/>
      <c r="H5" s="297"/>
      <c r="I5" s="297"/>
      <c r="J5" s="297"/>
      <c r="K5" s="297"/>
      <c r="L5" s="298"/>
    </row>
    <row r="6" spans="1:12" ht="15" collapsed="1" thickBot="1" x14ac:dyDescent="0.35">
      <c r="A6" s="252" t="s">
        <v>76</v>
      </c>
      <c r="B6" s="299">
        <f xml:space="preserve">
TRUNC(IF($A$4&lt;=12,SUMIFS('ON Data'!D:D,'ON Data'!$B:$B,$A$4,'ON Data'!$C:$C,1),SUMIFS('ON Data'!D:D,'ON Data'!$C:$C,1)/'ON Data'!$B$3),1)</f>
        <v>13.5</v>
      </c>
      <c r="C6" s="300">
        <f xml:space="preserve">
TRUNC(IF($A$4&lt;=12,SUMIFS('ON Data'!E:E,'ON Data'!$B:$B,$A$4,'ON Data'!$C:$C,1),SUMIFS('ON Data'!E:E,'ON Data'!$C:$C,1)/'ON Data'!$B$3),1)</f>
        <v>0</v>
      </c>
      <c r="D6" s="301">
        <f xml:space="preserve">
TRUNC(IF($A$4&lt;=12,SUMIFS('ON Data'!F:F,'ON Data'!$B:$B,$A$4,'ON Data'!$C:$C,1),SUMIFS('ON Data'!F:F,'ON Data'!$C:$C,1)/'ON Data'!$B$3),1)</f>
        <v>7</v>
      </c>
      <c r="E6" s="301">
        <f xml:space="preserve">
TRUNC(IF($A$4&lt;=12,SUMIFS('ON Data'!H:H,'ON Data'!$B:$B,$A$4,'ON Data'!$C:$C,1),SUMIFS('ON Data'!H:H,'ON Data'!$C:$C,1)/'ON Data'!$B$3),1)</f>
        <v>0</v>
      </c>
      <c r="F6" s="301">
        <f xml:space="preserve">
TRUNC(IF($A$4&lt;=12,SUMIFS('ON Data'!I:I,'ON Data'!$B:$B,$A$4,'ON Data'!$C:$C,1),SUMIFS('ON Data'!I:I,'ON Data'!$C:$C,1)/'ON Data'!$B$3),1)</f>
        <v>5</v>
      </c>
      <c r="G6" s="301">
        <f xml:space="preserve">
TRUNC(IF($A$4&lt;=12,SUMIFS('ON Data'!J:J,'ON Data'!$B:$B,$A$4,'ON Data'!$C:$C,1),SUMIFS('ON Data'!J:J,'ON Data'!$C:$C,1)/'ON Data'!$B$3),1)</f>
        <v>0</v>
      </c>
      <c r="H6" s="301">
        <f xml:space="preserve">
TRUNC(IF($A$4&lt;=12,SUMIFS('ON Data'!K:K,'ON Data'!$B:$B,$A$4,'ON Data'!$C:$C,1),SUMIFS('ON Data'!K:K,'ON Data'!$C:$C,1)/'ON Data'!$B$3),1)</f>
        <v>0</v>
      </c>
      <c r="I6" s="301">
        <f xml:space="preserve">
TRUNC(IF($A$4&lt;=12,SUMIFS('ON Data'!L:L,'ON Data'!$B:$B,$A$4,'ON Data'!$C:$C,1),SUMIFS('ON Data'!L:L,'ON Data'!$C:$C,1)/'ON Data'!$B$3),1)</f>
        <v>0</v>
      </c>
      <c r="J6" s="301">
        <f xml:space="preserve">
TRUNC(IF($A$4&lt;=12,SUMIFS('ON Data'!M:M,'ON Data'!$B:$B,$A$4,'ON Data'!$C:$C,1),SUMIFS('ON Data'!M:M,'ON Data'!$C:$C,1)/'ON Data'!$B$3),1)</f>
        <v>0</v>
      </c>
      <c r="K6" s="301">
        <f xml:space="preserve">
TRUNC(IF($A$4&lt;=12,SUMIFS('ON Data'!N:N,'ON Data'!$B:$B,$A$4,'ON Data'!$C:$C,1),SUMIFS('ON Data'!N:N,'ON Data'!$C:$C,1)/'ON Data'!$B$3),1)</f>
        <v>1.5</v>
      </c>
      <c r="L6" s="302">
        <f xml:space="preserve">
TRUNC(IF($A$4&lt;=12,SUMIFS('ON Data'!O:O,'ON Data'!$B:$B,$A$4,'ON Data'!$C:$C,1),SUMIFS('ON Data'!O:O,'ON Data'!$C:$C,1)/'ON Data'!$B$3),1)</f>
        <v>0</v>
      </c>
    </row>
    <row r="7" spans="1:12" ht="15" hidden="1" outlineLevel="1" thickBot="1" x14ac:dyDescent="0.35">
      <c r="A7" s="252" t="s">
        <v>112</v>
      </c>
      <c r="B7" s="299"/>
      <c r="C7" s="303"/>
      <c r="D7" s="301"/>
      <c r="E7" s="301"/>
      <c r="F7" s="301"/>
      <c r="G7" s="301"/>
      <c r="H7" s="301"/>
      <c r="I7" s="301"/>
      <c r="J7" s="301"/>
      <c r="K7" s="301"/>
      <c r="L7" s="302"/>
    </row>
    <row r="8" spans="1:12" ht="15" hidden="1" outlineLevel="1" thickBot="1" x14ac:dyDescent="0.35">
      <c r="A8" s="252" t="s">
        <v>78</v>
      </c>
      <c r="B8" s="299"/>
      <c r="C8" s="303"/>
      <c r="D8" s="301"/>
      <c r="E8" s="301"/>
      <c r="F8" s="301"/>
      <c r="G8" s="301"/>
      <c r="H8" s="301"/>
      <c r="I8" s="301"/>
      <c r="J8" s="301"/>
      <c r="K8" s="301"/>
      <c r="L8" s="302"/>
    </row>
    <row r="9" spans="1:12" ht="15" hidden="1" outlineLevel="1" thickBot="1" x14ac:dyDescent="0.35">
      <c r="A9" s="253" t="s">
        <v>71</v>
      </c>
      <c r="B9" s="304"/>
      <c r="C9" s="305"/>
      <c r="D9" s="306"/>
      <c r="E9" s="306"/>
      <c r="F9" s="306"/>
      <c r="G9" s="306"/>
      <c r="H9" s="306"/>
      <c r="I9" s="306"/>
      <c r="J9" s="306"/>
      <c r="K9" s="306"/>
      <c r="L9" s="307"/>
    </row>
    <row r="10" spans="1:12" x14ac:dyDescent="0.3">
      <c r="A10" s="254" t="s">
        <v>233</v>
      </c>
      <c r="B10" s="269"/>
      <c r="C10" s="270"/>
      <c r="D10" s="271"/>
      <c r="E10" s="271"/>
      <c r="F10" s="271"/>
      <c r="G10" s="271"/>
      <c r="H10" s="271"/>
      <c r="I10" s="271"/>
      <c r="J10" s="271"/>
      <c r="K10" s="271"/>
      <c r="L10" s="272"/>
    </row>
    <row r="11" spans="1:12" x14ac:dyDescent="0.3">
      <c r="A11" s="255" t="s">
        <v>234</v>
      </c>
      <c r="B11" s="273">
        <f xml:space="preserve">
IF($A$4&lt;=12,SUMIFS('ON Data'!D:D,'ON Data'!$B:$B,$A$4,'ON Data'!$C:$C,2),SUMIFS('ON Data'!D:D,'ON Data'!$C:$C,2))</f>
        <v>4356</v>
      </c>
      <c r="C11" s="274">
        <f xml:space="preserve">
IF($A$4&lt;=12,SUMIFS('ON Data'!E:E,'ON Data'!$B:$B,$A$4,'ON Data'!$C:$C,2),SUMIFS('ON Data'!E:E,'ON Data'!$C:$C,2))</f>
        <v>0</v>
      </c>
      <c r="D11" s="275">
        <f xml:space="preserve">
IF($A$4&lt;=12,SUMIFS('ON Data'!F:F,'ON Data'!$B:$B,$A$4,'ON Data'!$C:$C,2),SUMIFS('ON Data'!F:F,'ON Data'!$C:$C,2))</f>
        <v>2240</v>
      </c>
      <c r="E11" s="275">
        <f xml:space="preserve">
IF($A$4&lt;=12,SUMIFS('ON Data'!H:H,'ON Data'!$B:$B,$A$4,'ON Data'!$C:$C,2),SUMIFS('ON Data'!H:H,'ON Data'!$C:$C,2))</f>
        <v>0</v>
      </c>
      <c r="F11" s="275">
        <f xml:space="preserve">
IF($A$4&lt;=12,SUMIFS('ON Data'!I:I,'ON Data'!$B:$B,$A$4,'ON Data'!$C:$C,2),SUMIFS('ON Data'!I:I,'ON Data'!$C:$C,2))</f>
        <v>1608</v>
      </c>
      <c r="G11" s="275">
        <f xml:space="preserve">
IF($A$4&lt;=12,SUMIFS('ON Data'!J:J,'ON Data'!$B:$B,$A$4,'ON Data'!$C:$C,2),SUMIFS('ON Data'!J:J,'ON Data'!$C:$C,2))</f>
        <v>0</v>
      </c>
      <c r="H11" s="275">
        <f xml:space="preserve">
IF($A$4&lt;=12,SUMIFS('ON Data'!K:K,'ON Data'!$B:$B,$A$4,'ON Data'!$C:$C,2),SUMIFS('ON Data'!K:K,'ON Data'!$C:$C,2))</f>
        <v>0</v>
      </c>
      <c r="I11" s="275">
        <f xml:space="preserve">
IF($A$4&lt;=12,SUMIFS('ON Data'!L:L,'ON Data'!$B:$B,$A$4,'ON Data'!$C:$C,2),SUMIFS('ON Data'!L:L,'ON Data'!$C:$C,2))</f>
        <v>0</v>
      </c>
      <c r="J11" s="275">
        <f xml:space="preserve">
IF($A$4&lt;=12,SUMIFS('ON Data'!M:M,'ON Data'!$B:$B,$A$4,'ON Data'!$C:$C,2),SUMIFS('ON Data'!M:M,'ON Data'!$C:$C,2))</f>
        <v>0</v>
      </c>
      <c r="K11" s="275">
        <f xml:space="preserve">
IF($A$4&lt;=12,SUMIFS('ON Data'!N:N,'ON Data'!$B:$B,$A$4,'ON Data'!$C:$C,2),SUMIFS('ON Data'!N:N,'ON Data'!$C:$C,2))</f>
        <v>508</v>
      </c>
      <c r="L11" s="276">
        <f xml:space="preserve">
IF($A$4&lt;=12,SUMIFS('ON Data'!O:O,'ON Data'!$B:$B,$A$4,'ON Data'!$C:$C,2),SUMIFS('ON Data'!O:O,'ON Data'!$C:$C,2))</f>
        <v>0</v>
      </c>
    </row>
    <row r="12" spans="1:12" x14ac:dyDescent="0.3">
      <c r="A12" s="255" t="s">
        <v>235</v>
      </c>
      <c r="B12" s="273">
        <f xml:space="preserve">
IF($A$4&lt;=12,SUMIFS('ON Data'!D:D,'ON Data'!$B:$B,$A$4,'ON Data'!$C:$C,3),SUMIFS('ON Data'!D:D,'ON Data'!$C:$C,3))</f>
        <v>11</v>
      </c>
      <c r="C12" s="274">
        <f xml:space="preserve">
IF($A$4&lt;=12,SUMIFS('ON Data'!E:E,'ON Data'!$B:$B,$A$4,'ON Data'!$C:$C,3),SUMIFS('ON Data'!E:E,'ON Data'!$C:$C,3))</f>
        <v>0</v>
      </c>
      <c r="D12" s="275">
        <f xml:space="preserve">
IF($A$4&lt;=12,SUMIFS('ON Data'!F:F,'ON Data'!$B:$B,$A$4,'ON Data'!$C:$C,3),SUMIFS('ON Data'!F:F,'ON Data'!$C:$C,3))</f>
        <v>11</v>
      </c>
      <c r="E12" s="275">
        <f xml:space="preserve">
IF($A$4&lt;=12,SUMIFS('ON Data'!H:H,'ON Data'!$B:$B,$A$4,'ON Data'!$C:$C,3),SUMIFS('ON Data'!H:H,'ON Data'!$C:$C,3))</f>
        <v>0</v>
      </c>
      <c r="F12" s="275">
        <f xml:space="preserve">
IF($A$4&lt;=12,SUMIFS('ON Data'!I:I,'ON Data'!$B:$B,$A$4,'ON Data'!$C:$C,3),SUMIFS('ON Data'!I:I,'ON Data'!$C:$C,3))</f>
        <v>0</v>
      </c>
      <c r="G12" s="275">
        <f xml:space="preserve">
IF($A$4&lt;=12,SUMIFS('ON Data'!J:J,'ON Data'!$B:$B,$A$4,'ON Data'!$C:$C,3),SUMIFS('ON Data'!J:J,'ON Data'!$C:$C,3))</f>
        <v>0</v>
      </c>
      <c r="H12" s="275">
        <f xml:space="preserve">
IF($A$4&lt;=12,SUMIFS('ON Data'!K:K,'ON Data'!$B:$B,$A$4,'ON Data'!$C:$C,3),SUMIFS('ON Data'!K:K,'ON Data'!$C:$C,3))</f>
        <v>0</v>
      </c>
      <c r="I12" s="275">
        <f xml:space="preserve">
IF($A$4&lt;=12,SUMIFS('ON Data'!L:L,'ON Data'!$B:$B,$A$4,'ON Data'!$C:$C,3),SUMIFS('ON Data'!L:L,'ON Data'!$C:$C,3))</f>
        <v>0</v>
      </c>
      <c r="J12" s="275">
        <f xml:space="preserve">
IF($A$4&lt;=12,SUMIFS('ON Data'!M:M,'ON Data'!$B:$B,$A$4,'ON Data'!$C:$C,3),SUMIFS('ON Data'!M:M,'ON Data'!$C:$C,3))</f>
        <v>0</v>
      </c>
      <c r="K12" s="275">
        <f xml:space="preserve">
IF($A$4&lt;=12,SUMIFS('ON Data'!N:N,'ON Data'!$B:$B,$A$4,'ON Data'!$C:$C,3),SUMIFS('ON Data'!N:N,'ON Data'!$C:$C,3))</f>
        <v>0</v>
      </c>
      <c r="L12" s="276">
        <f xml:space="preserve">
IF($A$4&lt;=12,SUMIFS('ON Data'!O:O,'ON Data'!$B:$B,$A$4,'ON Data'!$C:$C,3),SUMIFS('ON Data'!O:O,'ON Data'!$C:$C,3))</f>
        <v>0</v>
      </c>
    </row>
    <row r="13" spans="1:12" x14ac:dyDescent="0.3">
      <c r="A13" s="255" t="s">
        <v>244</v>
      </c>
      <c r="B13" s="273">
        <f xml:space="preserve">
IF($A$4&lt;=12,SUMIFS('ON Data'!D:D,'ON Data'!$B:$B,$A$4,'ON Data'!$C:$C,4),SUMIFS('ON Data'!D:D,'ON Data'!$C:$C,4))</f>
        <v>96</v>
      </c>
      <c r="C13" s="274">
        <f xml:space="preserve">
IF($A$4&lt;=12,SUMIFS('ON Data'!E:E,'ON Data'!$B:$B,$A$4,'ON Data'!$C:$C,4),SUMIFS('ON Data'!E:E,'ON Data'!$C:$C,4))</f>
        <v>0</v>
      </c>
      <c r="D13" s="275">
        <f xml:space="preserve">
IF($A$4&lt;=12,SUMIFS('ON Data'!F:F,'ON Data'!$B:$B,$A$4,'ON Data'!$C:$C,4),SUMIFS('ON Data'!F:F,'ON Data'!$C:$C,4))</f>
        <v>96</v>
      </c>
      <c r="E13" s="275">
        <f xml:space="preserve">
IF($A$4&lt;=12,SUMIFS('ON Data'!H:H,'ON Data'!$B:$B,$A$4,'ON Data'!$C:$C,4),SUMIFS('ON Data'!H:H,'ON Data'!$C:$C,4))</f>
        <v>0</v>
      </c>
      <c r="F13" s="275">
        <f xml:space="preserve">
IF($A$4&lt;=12,SUMIFS('ON Data'!I:I,'ON Data'!$B:$B,$A$4,'ON Data'!$C:$C,4),SUMIFS('ON Data'!I:I,'ON Data'!$C:$C,4))</f>
        <v>0</v>
      </c>
      <c r="G13" s="275">
        <f xml:space="preserve">
IF($A$4&lt;=12,SUMIFS('ON Data'!J:J,'ON Data'!$B:$B,$A$4,'ON Data'!$C:$C,4),SUMIFS('ON Data'!J:J,'ON Data'!$C:$C,4))</f>
        <v>0</v>
      </c>
      <c r="H13" s="275">
        <f xml:space="preserve">
IF($A$4&lt;=12,SUMIFS('ON Data'!K:K,'ON Data'!$B:$B,$A$4,'ON Data'!$C:$C,4),SUMIFS('ON Data'!K:K,'ON Data'!$C:$C,4))</f>
        <v>0</v>
      </c>
      <c r="I13" s="275">
        <f xml:space="preserve">
IF($A$4&lt;=12,SUMIFS('ON Data'!L:L,'ON Data'!$B:$B,$A$4,'ON Data'!$C:$C,4),SUMIFS('ON Data'!L:L,'ON Data'!$C:$C,4))</f>
        <v>0</v>
      </c>
      <c r="J13" s="275">
        <f xml:space="preserve">
IF($A$4&lt;=12,SUMIFS('ON Data'!M:M,'ON Data'!$B:$B,$A$4,'ON Data'!$C:$C,4),SUMIFS('ON Data'!M:M,'ON Data'!$C:$C,4))</f>
        <v>0</v>
      </c>
      <c r="K13" s="275">
        <f xml:space="preserve">
IF($A$4&lt;=12,SUMIFS('ON Data'!N:N,'ON Data'!$B:$B,$A$4,'ON Data'!$C:$C,4),SUMIFS('ON Data'!N:N,'ON Data'!$C:$C,4))</f>
        <v>0</v>
      </c>
      <c r="L13" s="276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256" t="s">
        <v>236</v>
      </c>
      <c r="B14" s="277">
        <f xml:space="preserve">
IF($A$4&lt;=12,SUMIFS('ON Data'!D:D,'ON Data'!$B:$B,$A$4,'ON Data'!$C:$C,5),SUMIFS('ON Data'!D:D,'ON Data'!$C:$C,5))</f>
        <v>0</v>
      </c>
      <c r="C14" s="278">
        <f xml:space="preserve">
IF($A$4&lt;=12,SUMIFS('ON Data'!E:E,'ON Data'!$B:$B,$A$4,'ON Data'!$C:$C,5),SUMIFS('ON Data'!E:E,'ON Data'!$C:$C,5))</f>
        <v>0</v>
      </c>
      <c r="D14" s="279">
        <f xml:space="preserve">
IF($A$4&lt;=12,SUMIFS('ON Data'!F:F,'ON Data'!$B:$B,$A$4,'ON Data'!$C:$C,5),SUMIFS('ON Data'!F:F,'ON Data'!$C:$C,5))</f>
        <v>0</v>
      </c>
      <c r="E14" s="279">
        <f xml:space="preserve">
IF($A$4&lt;=12,SUMIFS('ON Data'!H:H,'ON Data'!$B:$B,$A$4,'ON Data'!$C:$C,5),SUMIFS('ON Data'!H:H,'ON Data'!$C:$C,5))</f>
        <v>0</v>
      </c>
      <c r="F14" s="279">
        <f xml:space="preserve">
IF($A$4&lt;=12,SUMIFS('ON Data'!I:I,'ON Data'!$B:$B,$A$4,'ON Data'!$C:$C,5),SUMIFS('ON Data'!I:I,'ON Data'!$C:$C,5))</f>
        <v>0</v>
      </c>
      <c r="G14" s="279">
        <f xml:space="preserve">
IF($A$4&lt;=12,SUMIFS('ON Data'!J:J,'ON Data'!$B:$B,$A$4,'ON Data'!$C:$C,5),SUMIFS('ON Data'!J:J,'ON Data'!$C:$C,5))</f>
        <v>0</v>
      </c>
      <c r="H14" s="279">
        <f xml:space="preserve">
IF($A$4&lt;=12,SUMIFS('ON Data'!K:K,'ON Data'!$B:$B,$A$4,'ON Data'!$C:$C,5),SUMIFS('ON Data'!K:K,'ON Data'!$C:$C,5))</f>
        <v>0</v>
      </c>
      <c r="I14" s="279">
        <f xml:space="preserve">
IF($A$4&lt;=12,SUMIFS('ON Data'!L:L,'ON Data'!$B:$B,$A$4,'ON Data'!$C:$C,5),SUMIFS('ON Data'!L:L,'ON Data'!$C:$C,5))</f>
        <v>0</v>
      </c>
      <c r="J14" s="279">
        <f xml:space="preserve">
IF($A$4&lt;=12,SUMIFS('ON Data'!M:M,'ON Data'!$B:$B,$A$4,'ON Data'!$C:$C,5),SUMIFS('ON Data'!M:M,'ON Data'!$C:$C,5))</f>
        <v>0</v>
      </c>
      <c r="K14" s="279">
        <f xml:space="preserve">
IF($A$4&lt;=12,SUMIFS('ON Data'!N:N,'ON Data'!$B:$B,$A$4,'ON Data'!$C:$C,5),SUMIFS('ON Data'!N:N,'ON Data'!$C:$C,5))</f>
        <v>0</v>
      </c>
      <c r="L14" s="280">
        <f xml:space="preserve">
IF($A$4&lt;=12,SUMIFS('ON Data'!O:O,'ON Data'!$B:$B,$A$4,'ON Data'!$C:$C,5),SUMIFS('ON Data'!O:O,'ON Data'!$C:$C,5))</f>
        <v>0</v>
      </c>
    </row>
    <row r="15" spans="1:12" x14ac:dyDescent="0.3">
      <c r="A15" s="169" t="s">
        <v>248</v>
      </c>
      <c r="B15" s="281"/>
      <c r="C15" s="282"/>
      <c r="D15" s="283"/>
      <c r="E15" s="283"/>
      <c r="F15" s="283"/>
      <c r="G15" s="283"/>
      <c r="H15" s="283"/>
      <c r="I15" s="283"/>
      <c r="J15" s="283"/>
      <c r="K15" s="283"/>
      <c r="L15" s="284"/>
    </row>
    <row r="16" spans="1:12" x14ac:dyDescent="0.3">
      <c r="A16" s="257" t="s">
        <v>237</v>
      </c>
      <c r="B16" s="273">
        <f xml:space="preserve">
IF($A$4&lt;=12,SUMIFS('ON Data'!D:D,'ON Data'!$B:$B,$A$4,'ON Data'!$C:$C,7),SUMIFS('ON Data'!D:D,'ON Data'!$C:$C,7))</f>
        <v>0</v>
      </c>
      <c r="C16" s="274">
        <f xml:space="preserve">
IF($A$4&lt;=12,SUMIFS('ON Data'!E:E,'ON Data'!$B:$B,$A$4,'ON Data'!$C:$C,7),SUMIFS('ON Data'!E:E,'ON Data'!$C:$C,7))</f>
        <v>0</v>
      </c>
      <c r="D16" s="275">
        <f xml:space="preserve">
IF($A$4&lt;=12,SUMIFS('ON Data'!F:F,'ON Data'!$B:$B,$A$4,'ON Data'!$C:$C,7),SUMIFS('ON Data'!F:F,'ON Data'!$C:$C,7))</f>
        <v>0</v>
      </c>
      <c r="E16" s="275">
        <f xml:space="preserve">
IF($A$4&lt;=12,SUMIFS('ON Data'!H:H,'ON Data'!$B:$B,$A$4,'ON Data'!$C:$C,7),SUMIFS('ON Data'!H:H,'ON Data'!$C:$C,7))</f>
        <v>0</v>
      </c>
      <c r="F16" s="275">
        <f xml:space="preserve">
IF($A$4&lt;=12,SUMIFS('ON Data'!I:I,'ON Data'!$B:$B,$A$4,'ON Data'!$C:$C,7),SUMIFS('ON Data'!I:I,'ON Data'!$C:$C,7))</f>
        <v>0</v>
      </c>
      <c r="G16" s="275">
        <f xml:space="preserve">
IF($A$4&lt;=12,SUMIFS('ON Data'!J:J,'ON Data'!$B:$B,$A$4,'ON Data'!$C:$C,7),SUMIFS('ON Data'!J:J,'ON Data'!$C:$C,7))</f>
        <v>0</v>
      </c>
      <c r="H16" s="275">
        <f xml:space="preserve">
IF($A$4&lt;=12,SUMIFS('ON Data'!K:K,'ON Data'!$B:$B,$A$4,'ON Data'!$C:$C,7),SUMIFS('ON Data'!K:K,'ON Data'!$C:$C,7))</f>
        <v>0</v>
      </c>
      <c r="I16" s="275">
        <f xml:space="preserve">
IF($A$4&lt;=12,SUMIFS('ON Data'!L:L,'ON Data'!$B:$B,$A$4,'ON Data'!$C:$C,7),SUMIFS('ON Data'!L:L,'ON Data'!$C:$C,7))</f>
        <v>0</v>
      </c>
      <c r="J16" s="275">
        <f xml:space="preserve">
IF($A$4&lt;=12,SUMIFS('ON Data'!M:M,'ON Data'!$B:$B,$A$4,'ON Data'!$C:$C,7),SUMIFS('ON Data'!M:M,'ON Data'!$C:$C,7))</f>
        <v>0</v>
      </c>
      <c r="K16" s="275">
        <f xml:space="preserve">
IF($A$4&lt;=12,SUMIFS('ON Data'!N:N,'ON Data'!$B:$B,$A$4,'ON Data'!$C:$C,7),SUMIFS('ON Data'!N:N,'ON Data'!$C:$C,7))</f>
        <v>0</v>
      </c>
      <c r="L16" s="276">
        <f xml:space="preserve">
IF($A$4&lt;=12,SUMIFS('ON Data'!O:O,'ON Data'!$B:$B,$A$4,'ON Data'!$C:$C,7),SUMIFS('ON Data'!O:O,'ON Data'!$C:$C,7))</f>
        <v>0</v>
      </c>
    </row>
    <row r="17" spans="1:12" x14ac:dyDescent="0.3">
      <c r="A17" s="257" t="s">
        <v>238</v>
      </c>
      <c r="B17" s="273">
        <f xml:space="preserve">
IF($A$4&lt;=12,SUMIFS('ON Data'!D:D,'ON Data'!$B:$B,$A$4,'ON Data'!$C:$C,8),SUMIFS('ON Data'!D:D,'ON Data'!$C:$C,8))</f>
        <v>0</v>
      </c>
      <c r="C17" s="274">
        <f xml:space="preserve">
IF($A$4&lt;=12,SUMIFS('ON Data'!E:E,'ON Data'!$B:$B,$A$4,'ON Data'!$C:$C,8),SUMIFS('ON Data'!E:E,'ON Data'!$C:$C,8))</f>
        <v>0</v>
      </c>
      <c r="D17" s="275">
        <f xml:space="preserve">
IF($A$4&lt;=12,SUMIFS('ON Data'!F:F,'ON Data'!$B:$B,$A$4,'ON Data'!$C:$C,8),SUMIFS('ON Data'!F:F,'ON Data'!$C:$C,8))</f>
        <v>0</v>
      </c>
      <c r="E17" s="275">
        <f xml:space="preserve">
IF($A$4&lt;=12,SUMIFS('ON Data'!H:H,'ON Data'!$B:$B,$A$4,'ON Data'!$C:$C,8),SUMIFS('ON Data'!H:H,'ON Data'!$C:$C,8))</f>
        <v>0</v>
      </c>
      <c r="F17" s="275">
        <f xml:space="preserve">
IF($A$4&lt;=12,SUMIFS('ON Data'!I:I,'ON Data'!$B:$B,$A$4,'ON Data'!$C:$C,8),SUMIFS('ON Data'!I:I,'ON Data'!$C:$C,8))</f>
        <v>0</v>
      </c>
      <c r="G17" s="275">
        <f xml:space="preserve">
IF($A$4&lt;=12,SUMIFS('ON Data'!J:J,'ON Data'!$B:$B,$A$4,'ON Data'!$C:$C,8),SUMIFS('ON Data'!J:J,'ON Data'!$C:$C,8))</f>
        <v>0</v>
      </c>
      <c r="H17" s="275">
        <f xml:space="preserve">
IF($A$4&lt;=12,SUMIFS('ON Data'!K:K,'ON Data'!$B:$B,$A$4,'ON Data'!$C:$C,8),SUMIFS('ON Data'!K:K,'ON Data'!$C:$C,8))</f>
        <v>0</v>
      </c>
      <c r="I17" s="275">
        <f xml:space="preserve">
IF($A$4&lt;=12,SUMIFS('ON Data'!L:L,'ON Data'!$B:$B,$A$4,'ON Data'!$C:$C,8),SUMIFS('ON Data'!L:L,'ON Data'!$C:$C,8))</f>
        <v>0</v>
      </c>
      <c r="J17" s="275">
        <f xml:space="preserve">
IF($A$4&lt;=12,SUMIFS('ON Data'!M:M,'ON Data'!$B:$B,$A$4,'ON Data'!$C:$C,8),SUMIFS('ON Data'!M:M,'ON Data'!$C:$C,8))</f>
        <v>0</v>
      </c>
      <c r="K17" s="275">
        <f xml:space="preserve">
IF($A$4&lt;=12,SUMIFS('ON Data'!N:N,'ON Data'!$B:$B,$A$4,'ON Data'!$C:$C,8),SUMIFS('ON Data'!N:N,'ON Data'!$C:$C,8))</f>
        <v>0</v>
      </c>
      <c r="L17" s="276">
        <f xml:space="preserve">
IF($A$4&lt;=12,SUMIFS('ON Data'!O:O,'ON Data'!$B:$B,$A$4,'ON Data'!$C:$C,8),SUMIFS('ON Data'!O:O,'ON Data'!$C:$C,8))</f>
        <v>0</v>
      </c>
    </row>
    <row r="18" spans="1:12" x14ac:dyDescent="0.3">
      <c r="A18" s="257" t="s">
        <v>239</v>
      </c>
      <c r="B18" s="273">
        <f xml:space="preserve">
B19-B16-B17</f>
        <v>70813</v>
      </c>
      <c r="C18" s="274">
        <f t="shared" ref="C18:L18" si="0" xml:space="preserve">
C19-C16-C17</f>
        <v>0</v>
      </c>
      <c r="D18" s="275">
        <f t="shared" si="0"/>
        <v>59913</v>
      </c>
      <c r="E18" s="275">
        <f t="shared" si="0"/>
        <v>0</v>
      </c>
      <c r="F18" s="275">
        <f t="shared" si="0"/>
        <v>9200</v>
      </c>
      <c r="G18" s="275">
        <f t="shared" si="0"/>
        <v>0</v>
      </c>
      <c r="H18" s="275">
        <f t="shared" si="0"/>
        <v>0</v>
      </c>
      <c r="I18" s="275">
        <f t="shared" si="0"/>
        <v>0</v>
      </c>
      <c r="J18" s="275">
        <f t="shared" si="0"/>
        <v>0</v>
      </c>
      <c r="K18" s="275">
        <f t="shared" si="0"/>
        <v>1700</v>
      </c>
      <c r="L18" s="276">
        <f t="shared" si="0"/>
        <v>0</v>
      </c>
    </row>
    <row r="19" spans="1:12" ht="15" thickBot="1" x14ac:dyDescent="0.35">
      <c r="A19" s="258" t="s">
        <v>240</v>
      </c>
      <c r="B19" s="285">
        <f xml:space="preserve">
IF($A$4&lt;=12,SUMIFS('ON Data'!D:D,'ON Data'!$B:$B,$A$4,'ON Data'!$C:$C,9),SUMIFS('ON Data'!D:D,'ON Data'!$C:$C,9))</f>
        <v>70813</v>
      </c>
      <c r="C19" s="286">
        <f xml:space="preserve">
IF($A$4&lt;=12,SUMIFS('ON Data'!E:E,'ON Data'!$B:$B,$A$4,'ON Data'!$C:$C,9),SUMIFS('ON Data'!E:E,'ON Data'!$C:$C,9))</f>
        <v>0</v>
      </c>
      <c r="D19" s="287">
        <f xml:space="preserve">
IF($A$4&lt;=12,SUMIFS('ON Data'!F:F,'ON Data'!$B:$B,$A$4,'ON Data'!$C:$C,9),SUMIFS('ON Data'!F:F,'ON Data'!$C:$C,9))</f>
        <v>59913</v>
      </c>
      <c r="E19" s="287">
        <f xml:space="preserve">
IF($A$4&lt;=12,SUMIFS('ON Data'!H:H,'ON Data'!$B:$B,$A$4,'ON Data'!$C:$C,9),SUMIFS('ON Data'!H:H,'ON Data'!$C:$C,9))</f>
        <v>0</v>
      </c>
      <c r="F19" s="287">
        <f xml:space="preserve">
IF($A$4&lt;=12,SUMIFS('ON Data'!I:I,'ON Data'!$B:$B,$A$4,'ON Data'!$C:$C,9),SUMIFS('ON Data'!I:I,'ON Data'!$C:$C,9))</f>
        <v>9200</v>
      </c>
      <c r="G19" s="287">
        <f xml:space="preserve">
IF($A$4&lt;=12,SUMIFS('ON Data'!J:J,'ON Data'!$B:$B,$A$4,'ON Data'!$C:$C,9),SUMIFS('ON Data'!J:J,'ON Data'!$C:$C,9))</f>
        <v>0</v>
      </c>
      <c r="H19" s="287">
        <f xml:space="preserve">
IF($A$4&lt;=12,SUMIFS('ON Data'!K:K,'ON Data'!$B:$B,$A$4,'ON Data'!$C:$C,9),SUMIFS('ON Data'!K:K,'ON Data'!$C:$C,9))</f>
        <v>0</v>
      </c>
      <c r="I19" s="287">
        <f xml:space="preserve">
IF($A$4&lt;=12,SUMIFS('ON Data'!L:L,'ON Data'!$B:$B,$A$4,'ON Data'!$C:$C,9),SUMIFS('ON Data'!L:L,'ON Data'!$C:$C,9))</f>
        <v>0</v>
      </c>
      <c r="J19" s="287">
        <f xml:space="preserve">
IF($A$4&lt;=12,SUMIFS('ON Data'!M:M,'ON Data'!$B:$B,$A$4,'ON Data'!$C:$C,9),SUMIFS('ON Data'!M:M,'ON Data'!$C:$C,9))</f>
        <v>0</v>
      </c>
      <c r="K19" s="287">
        <f xml:space="preserve">
IF($A$4&lt;=12,SUMIFS('ON Data'!N:N,'ON Data'!$B:$B,$A$4,'ON Data'!$C:$C,9),SUMIFS('ON Data'!N:N,'ON Data'!$C:$C,9))</f>
        <v>1700</v>
      </c>
      <c r="L19" s="288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259" t="s">
        <v>76</v>
      </c>
      <c r="B20" s="289">
        <f xml:space="preserve">
IF($A$4&lt;=12,SUMIFS('ON Data'!D:D,'ON Data'!$B:$B,$A$4,'ON Data'!$C:$C,6),SUMIFS('ON Data'!D:D,'ON Data'!$C:$C,6))</f>
        <v>1279842</v>
      </c>
      <c r="C20" s="290">
        <f xml:space="preserve">
IF($A$4&lt;=12,SUMIFS('ON Data'!E:E,'ON Data'!$B:$B,$A$4,'ON Data'!$C:$C,6),SUMIFS('ON Data'!E:E,'ON Data'!$C:$C,6))</f>
        <v>0</v>
      </c>
      <c r="D20" s="291">
        <f xml:space="preserve">
IF($A$4&lt;=12,SUMIFS('ON Data'!F:F,'ON Data'!$B:$B,$A$4,'ON Data'!$C:$C,6),SUMIFS('ON Data'!F:F,'ON Data'!$C:$C,6))</f>
        <v>930852</v>
      </c>
      <c r="E20" s="291">
        <f xml:space="preserve">
IF($A$4&lt;=12,SUMIFS('ON Data'!H:H,'ON Data'!$B:$B,$A$4,'ON Data'!$C:$C,6),SUMIFS('ON Data'!H:H,'ON Data'!$C:$C,6))</f>
        <v>0</v>
      </c>
      <c r="F20" s="291">
        <f xml:space="preserve">
IF($A$4&lt;=12,SUMIFS('ON Data'!I:I,'ON Data'!$B:$B,$A$4,'ON Data'!$C:$C,6),SUMIFS('ON Data'!I:I,'ON Data'!$C:$C,6))</f>
        <v>277563</v>
      </c>
      <c r="G20" s="291">
        <f xml:space="preserve">
IF($A$4&lt;=12,SUMIFS('ON Data'!J:J,'ON Data'!$B:$B,$A$4,'ON Data'!$C:$C,6),SUMIFS('ON Data'!J:J,'ON Data'!$C:$C,6))</f>
        <v>0</v>
      </c>
      <c r="H20" s="291">
        <f xml:space="preserve">
IF($A$4&lt;=12,SUMIFS('ON Data'!K:K,'ON Data'!$B:$B,$A$4,'ON Data'!$C:$C,6),SUMIFS('ON Data'!K:K,'ON Data'!$C:$C,6))</f>
        <v>0</v>
      </c>
      <c r="I20" s="291">
        <f xml:space="preserve">
IF($A$4&lt;=12,SUMIFS('ON Data'!L:L,'ON Data'!$B:$B,$A$4,'ON Data'!$C:$C,6),SUMIFS('ON Data'!L:L,'ON Data'!$C:$C,6))</f>
        <v>0</v>
      </c>
      <c r="J20" s="291">
        <f xml:space="preserve">
IF($A$4&lt;=12,SUMIFS('ON Data'!M:M,'ON Data'!$B:$B,$A$4,'ON Data'!$C:$C,6),SUMIFS('ON Data'!M:M,'ON Data'!$C:$C,6))</f>
        <v>0</v>
      </c>
      <c r="K20" s="291">
        <f xml:space="preserve">
IF($A$4&lt;=12,SUMIFS('ON Data'!N:N,'ON Data'!$B:$B,$A$4,'ON Data'!$C:$C,6),SUMIFS('ON Data'!N:N,'ON Data'!$C:$C,6))</f>
        <v>71427</v>
      </c>
      <c r="L20" s="292">
        <f xml:space="preserve">
IF($A$4&lt;=12,SUMIFS('ON Data'!O:O,'ON Data'!$B:$B,$A$4,'ON Data'!$C:$C,6),SUMIFS('ON Data'!O:O,'ON Data'!$C:$C,6))</f>
        <v>0</v>
      </c>
    </row>
    <row r="21" spans="1:12" ht="15" hidden="1" outlineLevel="1" thickBot="1" x14ac:dyDescent="0.35">
      <c r="A21" s="252" t="s">
        <v>112</v>
      </c>
      <c r="B21" s="273"/>
      <c r="C21" s="274"/>
      <c r="D21" s="275"/>
      <c r="E21" s="275"/>
      <c r="F21" s="275"/>
      <c r="G21" s="275"/>
      <c r="H21" s="275"/>
      <c r="I21" s="275"/>
      <c r="J21" s="275"/>
      <c r="K21" s="275"/>
      <c r="L21" s="276"/>
    </row>
    <row r="22" spans="1:12" ht="15" hidden="1" outlineLevel="1" thickBot="1" x14ac:dyDescent="0.35">
      <c r="A22" s="252" t="s">
        <v>78</v>
      </c>
      <c r="B22" s="273"/>
      <c r="C22" s="274"/>
      <c r="D22" s="275"/>
      <c r="E22" s="275"/>
      <c r="F22" s="275"/>
      <c r="G22" s="275"/>
      <c r="H22" s="275"/>
      <c r="I22" s="275"/>
      <c r="J22" s="275"/>
      <c r="K22" s="275"/>
      <c r="L22" s="276"/>
    </row>
    <row r="23" spans="1:12" ht="15" hidden="1" outlineLevel="1" thickBot="1" x14ac:dyDescent="0.35">
      <c r="A23" s="260" t="s">
        <v>71</v>
      </c>
      <c r="B23" s="277"/>
      <c r="C23" s="278"/>
      <c r="D23" s="279"/>
      <c r="E23" s="279"/>
      <c r="F23" s="279"/>
      <c r="G23" s="279"/>
      <c r="H23" s="279"/>
      <c r="I23" s="279"/>
      <c r="J23" s="279"/>
      <c r="K23" s="279"/>
      <c r="L23" s="280"/>
    </row>
    <row r="24" spans="1:12" x14ac:dyDescent="0.3">
      <c r="A24" s="254" t="s">
        <v>241</v>
      </c>
      <c r="B24" s="269"/>
      <c r="C24" s="270"/>
      <c r="D24" s="521" t="s">
        <v>223</v>
      </c>
      <c r="E24" s="381" t="s">
        <v>242</v>
      </c>
      <c r="F24" s="381"/>
      <c r="G24" s="381"/>
      <c r="H24" s="381"/>
      <c r="I24" s="271"/>
      <c r="J24" s="271"/>
      <c r="K24" s="271"/>
      <c r="L24" s="272"/>
    </row>
    <row r="25" spans="1:12" ht="15" collapsed="1" thickBot="1" x14ac:dyDescent="0.35">
      <c r="A25" s="255" t="s">
        <v>76</v>
      </c>
      <c r="B25" s="273">
        <f>SUM(D25:H25)</f>
        <v>0</v>
      </c>
      <c r="C25" s="293">
        <v>0</v>
      </c>
      <c r="D25" s="313">
        <v>0</v>
      </c>
      <c r="E25" s="380">
        <v>0</v>
      </c>
      <c r="F25" s="380"/>
      <c r="G25" s="380"/>
      <c r="H25" s="380"/>
      <c r="I25" s="275">
        <v>0</v>
      </c>
      <c r="J25" s="275">
        <v>0</v>
      </c>
      <c r="K25" s="275">
        <v>0</v>
      </c>
      <c r="L25" s="276">
        <v>0</v>
      </c>
    </row>
    <row r="26" spans="1:12" ht="14.4" hidden="1" customHeight="1" outlineLevel="1" x14ac:dyDescent="0.35">
      <c r="A26" s="261" t="s">
        <v>112</v>
      </c>
      <c r="B26" s="285">
        <f t="shared" ref="B26:B28" si="1">SUM(D26:H26)</f>
        <v>0</v>
      </c>
      <c r="C26" s="293">
        <v>0</v>
      </c>
      <c r="D26" s="313">
        <v>0</v>
      </c>
      <c r="E26" s="380">
        <v>0</v>
      </c>
      <c r="F26" s="380"/>
      <c r="G26" s="380"/>
      <c r="H26" s="380"/>
      <c r="I26" s="275">
        <v>0</v>
      </c>
      <c r="J26" s="275">
        <v>0</v>
      </c>
      <c r="K26" s="275">
        <v>0</v>
      </c>
      <c r="L26" s="276">
        <v>0</v>
      </c>
    </row>
    <row r="27" spans="1:12" ht="14.4" hidden="1" customHeight="1" outlineLevel="1" x14ac:dyDescent="0.35">
      <c r="A27" s="261" t="s">
        <v>78</v>
      </c>
      <c r="B27" s="285">
        <f t="shared" si="1"/>
        <v>0</v>
      </c>
      <c r="C27" s="293">
        <v>0</v>
      </c>
      <c r="D27" s="313">
        <v>0</v>
      </c>
      <c r="E27" s="380">
        <v>0</v>
      </c>
      <c r="F27" s="380"/>
      <c r="G27" s="380"/>
      <c r="H27" s="380"/>
      <c r="I27" s="275">
        <v>0</v>
      </c>
      <c r="J27" s="275">
        <v>0</v>
      </c>
      <c r="K27" s="275">
        <v>0</v>
      </c>
      <c r="L27" s="276">
        <v>0</v>
      </c>
    </row>
    <row r="28" spans="1:12" ht="15" hidden="1" customHeight="1" outlineLevel="1" thickBot="1" x14ac:dyDescent="0.35">
      <c r="A28" s="261" t="s">
        <v>71</v>
      </c>
      <c r="B28" s="285">
        <f t="shared" si="1"/>
        <v>0</v>
      </c>
      <c r="C28" s="294">
        <v>0</v>
      </c>
      <c r="D28" s="312">
        <v>0</v>
      </c>
      <c r="E28" s="375">
        <v>0</v>
      </c>
      <c r="F28" s="375"/>
      <c r="G28" s="375"/>
      <c r="H28" s="375"/>
      <c r="I28" s="279">
        <v>0</v>
      </c>
      <c r="J28" s="279">
        <v>0</v>
      </c>
      <c r="K28" s="279">
        <v>0</v>
      </c>
      <c r="L28" s="280">
        <v>0</v>
      </c>
    </row>
    <row r="29" spans="1:12" x14ac:dyDescent="0.3">
      <c r="A29" s="262"/>
      <c r="B29" s="262"/>
      <c r="C29" s="263"/>
      <c r="D29" s="262"/>
      <c r="E29" s="263"/>
      <c r="F29" s="262"/>
      <c r="G29" s="262"/>
      <c r="H29" s="262"/>
      <c r="I29" s="262"/>
      <c r="J29" s="262"/>
      <c r="K29" s="262"/>
      <c r="L29" s="262"/>
    </row>
    <row r="30" spans="1:12" x14ac:dyDescent="0.3">
      <c r="A30" s="119" t="s">
        <v>166</v>
      </c>
      <c r="B30" s="136"/>
      <c r="C30" s="136"/>
      <c r="D30" s="136"/>
      <c r="E30" s="136"/>
      <c r="F30" s="136"/>
      <c r="G30" s="136"/>
      <c r="H30" s="157"/>
      <c r="I30" s="157"/>
      <c r="J30" s="157"/>
      <c r="K30" s="157"/>
      <c r="L30" s="157"/>
    </row>
    <row r="31" spans="1:12" ht="14.4" customHeight="1" x14ac:dyDescent="0.3">
      <c r="A31" s="310" t="s">
        <v>247</v>
      </c>
      <c r="B31" s="311"/>
      <c r="C31" s="311"/>
      <c r="D31" s="311"/>
      <c r="E31" s="311"/>
      <c r="F31" s="311"/>
      <c r="G31" s="311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6"/>
  <sheetViews>
    <sheetView showGridLines="0" showRowColHeaders="0" workbookViewId="0"/>
  </sheetViews>
  <sheetFormatPr defaultRowHeight="14.4" x14ac:dyDescent="0.3"/>
  <cols>
    <col min="1" max="16384" width="8.88671875" style="239"/>
  </cols>
  <sheetData>
    <row r="1" spans="1:18" x14ac:dyDescent="0.3">
      <c r="A1" s="239" t="s">
        <v>1084</v>
      </c>
    </row>
    <row r="2" spans="1:18" x14ac:dyDescent="0.3">
      <c r="A2" s="243" t="s">
        <v>249</v>
      </c>
    </row>
    <row r="3" spans="1:18" x14ac:dyDescent="0.3">
      <c r="B3" s="240">
        <f>MAX(B5:B1048576)</f>
        <v>2</v>
      </c>
      <c r="D3" s="240">
        <f t="shared" ref="D3:G3" si="0">SUM(D5:D1048576)</f>
        <v>1355145</v>
      </c>
      <c r="E3" s="240">
        <f t="shared" si="0"/>
        <v>0</v>
      </c>
      <c r="F3" s="240">
        <f t="shared" si="0"/>
        <v>993126</v>
      </c>
      <c r="G3" s="240">
        <f t="shared" si="0"/>
        <v>0</v>
      </c>
      <c r="H3" s="240">
        <f t="shared" ref="H3:O3" si="1">SUM(H5:H1048576)</f>
        <v>0</v>
      </c>
      <c r="I3" s="240">
        <f t="shared" si="1"/>
        <v>288381</v>
      </c>
      <c r="J3" s="240">
        <f t="shared" si="1"/>
        <v>0</v>
      </c>
      <c r="K3" s="240">
        <f t="shared" si="1"/>
        <v>0</v>
      </c>
      <c r="L3" s="240">
        <f t="shared" si="1"/>
        <v>0</v>
      </c>
      <c r="M3" s="240">
        <f t="shared" si="1"/>
        <v>0</v>
      </c>
      <c r="N3" s="240">
        <f t="shared" si="1"/>
        <v>73638</v>
      </c>
      <c r="O3" s="240">
        <f t="shared" si="1"/>
        <v>0</v>
      </c>
      <c r="Q3" s="239" t="s">
        <v>208</v>
      </c>
      <c r="R3" s="266">
        <v>2014</v>
      </c>
    </row>
    <row r="4" spans="1:18" x14ac:dyDescent="0.3">
      <c r="A4" s="241" t="s">
        <v>8</v>
      </c>
      <c r="B4" s="242" t="s">
        <v>70</v>
      </c>
      <c r="C4" s="242" t="s">
        <v>196</v>
      </c>
      <c r="D4" s="242" t="s">
        <v>6</v>
      </c>
      <c r="E4" s="242" t="s">
        <v>197</v>
      </c>
      <c r="F4" s="242" t="s">
        <v>198</v>
      </c>
      <c r="G4" s="242" t="s">
        <v>199</v>
      </c>
      <c r="H4" s="242" t="s">
        <v>200</v>
      </c>
      <c r="I4" s="242" t="s">
        <v>201</v>
      </c>
      <c r="J4" s="242" t="s">
        <v>202</v>
      </c>
      <c r="K4" s="242" t="s">
        <v>203</v>
      </c>
      <c r="L4" s="242" t="s">
        <v>204</v>
      </c>
      <c r="M4" s="242" t="s">
        <v>205</v>
      </c>
      <c r="N4" s="242" t="s">
        <v>206</v>
      </c>
      <c r="O4" s="242" t="s">
        <v>207</v>
      </c>
      <c r="Q4" s="239" t="s">
        <v>209</v>
      </c>
      <c r="R4" s="266">
        <v>1</v>
      </c>
    </row>
    <row r="5" spans="1:18" x14ac:dyDescent="0.3">
      <c r="A5" s="239">
        <v>29</v>
      </c>
      <c r="B5" s="239">
        <v>1</v>
      </c>
      <c r="C5" s="239">
        <v>1</v>
      </c>
      <c r="D5" s="239">
        <v>13.5</v>
      </c>
      <c r="E5" s="239">
        <v>0</v>
      </c>
      <c r="F5" s="239">
        <v>7</v>
      </c>
      <c r="G5" s="239">
        <v>0</v>
      </c>
      <c r="H5" s="239">
        <v>0</v>
      </c>
      <c r="I5" s="239">
        <v>5</v>
      </c>
      <c r="J5" s="239">
        <v>0</v>
      </c>
      <c r="K5" s="239">
        <v>0</v>
      </c>
      <c r="L5" s="239">
        <v>0</v>
      </c>
      <c r="M5" s="239">
        <v>0</v>
      </c>
      <c r="N5" s="239">
        <v>1.5</v>
      </c>
      <c r="O5" s="239">
        <v>0</v>
      </c>
      <c r="Q5" s="239" t="s">
        <v>210</v>
      </c>
      <c r="R5" s="266">
        <v>2</v>
      </c>
    </row>
    <row r="6" spans="1:18" x14ac:dyDescent="0.3">
      <c r="A6" s="239">
        <v>29</v>
      </c>
      <c r="B6" s="239">
        <v>1</v>
      </c>
      <c r="C6" s="239">
        <v>2</v>
      </c>
      <c r="D6" s="239">
        <v>2300</v>
      </c>
      <c r="E6" s="239">
        <v>0</v>
      </c>
      <c r="F6" s="239">
        <v>1192</v>
      </c>
      <c r="G6" s="239">
        <v>0</v>
      </c>
      <c r="H6" s="239">
        <v>0</v>
      </c>
      <c r="I6" s="239">
        <v>840</v>
      </c>
      <c r="J6" s="239">
        <v>0</v>
      </c>
      <c r="K6" s="239">
        <v>0</v>
      </c>
      <c r="L6" s="239">
        <v>0</v>
      </c>
      <c r="M6" s="239">
        <v>0</v>
      </c>
      <c r="N6" s="239">
        <v>268</v>
      </c>
      <c r="O6" s="239">
        <v>0</v>
      </c>
      <c r="Q6" s="239" t="s">
        <v>211</v>
      </c>
      <c r="R6" s="266">
        <v>3</v>
      </c>
    </row>
    <row r="7" spans="1:18" x14ac:dyDescent="0.3">
      <c r="A7" s="239">
        <v>29</v>
      </c>
      <c r="B7" s="239">
        <v>1</v>
      </c>
      <c r="C7" s="239">
        <v>3</v>
      </c>
      <c r="D7" s="239">
        <v>4</v>
      </c>
      <c r="E7" s="239">
        <v>0</v>
      </c>
      <c r="F7" s="239">
        <v>4</v>
      </c>
      <c r="G7" s="239">
        <v>0</v>
      </c>
      <c r="H7" s="239">
        <v>0</v>
      </c>
      <c r="I7" s="239">
        <v>0</v>
      </c>
      <c r="J7" s="239">
        <v>0</v>
      </c>
      <c r="K7" s="239">
        <v>0</v>
      </c>
      <c r="L7" s="239">
        <v>0</v>
      </c>
      <c r="M7" s="239">
        <v>0</v>
      </c>
      <c r="N7" s="239">
        <v>0</v>
      </c>
      <c r="O7" s="239">
        <v>0</v>
      </c>
      <c r="Q7" s="239" t="s">
        <v>212</v>
      </c>
      <c r="R7" s="266">
        <v>4</v>
      </c>
    </row>
    <row r="8" spans="1:18" x14ac:dyDescent="0.3">
      <c r="A8" s="239">
        <v>29</v>
      </c>
      <c r="B8" s="239">
        <v>1</v>
      </c>
      <c r="C8" s="239">
        <v>4</v>
      </c>
      <c r="D8" s="239">
        <v>48</v>
      </c>
      <c r="E8" s="239">
        <v>0</v>
      </c>
      <c r="F8" s="239">
        <v>48</v>
      </c>
      <c r="G8" s="239">
        <v>0</v>
      </c>
      <c r="H8" s="239">
        <v>0</v>
      </c>
      <c r="I8" s="239">
        <v>0</v>
      </c>
      <c r="J8" s="239">
        <v>0</v>
      </c>
      <c r="K8" s="239">
        <v>0</v>
      </c>
      <c r="L8" s="239">
        <v>0</v>
      </c>
      <c r="M8" s="239">
        <v>0</v>
      </c>
      <c r="N8" s="239">
        <v>0</v>
      </c>
      <c r="O8" s="239">
        <v>0</v>
      </c>
      <c r="Q8" s="239" t="s">
        <v>213</v>
      </c>
      <c r="R8" s="266">
        <v>5</v>
      </c>
    </row>
    <row r="9" spans="1:18" x14ac:dyDescent="0.3">
      <c r="A9" s="239">
        <v>29</v>
      </c>
      <c r="B9" s="239">
        <v>1</v>
      </c>
      <c r="C9" s="239">
        <v>6</v>
      </c>
      <c r="D9" s="239">
        <v>630513</v>
      </c>
      <c r="E9" s="239">
        <v>0</v>
      </c>
      <c r="F9" s="239">
        <v>454878</v>
      </c>
      <c r="G9" s="239">
        <v>0</v>
      </c>
      <c r="H9" s="239">
        <v>0</v>
      </c>
      <c r="I9" s="239">
        <v>139993</v>
      </c>
      <c r="J9" s="239">
        <v>0</v>
      </c>
      <c r="K9" s="239">
        <v>0</v>
      </c>
      <c r="L9" s="239">
        <v>0</v>
      </c>
      <c r="M9" s="239">
        <v>0</v>
      </c>
      <c r="N9" s="239">
        <v>35642</v>
      </c>
      <c r="O9" s="239">
        <v>0</v>
      </c>
      <c r="Q9" s="239" t="s">
        <v>214</v>
      </c>
      <c r="R9" s="266">
        <v>6</v>
      </c>
    </row>
    <row r="10" spans="1:18" x14ac:dyDescent="0.3">
      <c r="A10" s="239">
        <v>29</v>
      </c>
      <c r="B10" s="239">
        <v>1</v>
      </c>
      <c r="C10" s="239">
        <v>9</v>
      </c>
      <c r="D10" s="239">
        <v>22025</v>
      </c>
      <c r="E10" s="239">
        <v>0</v>
      </c>
      <c r="F10" s="239">
        <v>17425</v>
      </c>
      <c r="G10" s="239">
        <v>0</v>
      </c>
      <c r="H10" s="239">
        <v>0</v>
      </c>
      <c r="I10" s="239">
        <v>3900</v>
      </c>
      <c r="J10" s="239">
        <v>0</v>
      </c>
      <c r="K10" s="239">
        <v>0</v>
      </c>
      <c r="L10" s="239">
        <v>0</v>
      </c>
      <c r="M10" s="239">
        <v>0</v>
      </c>
      <c r="N10" s="239">
        <v>700</v>
      </c>
      <c r="O10" s="239">
        <v>0</v>
      </c>
      <c r="Q10" s="239" t="s">
        <v>215</v>
      </c>
      <c r="R10" s="266">
        <v>7</v>
      </c>
    </row>
    <row r="11" spans="1:18" x14ac:dyDescent="0.3">
      <c r="A11" s="239">
        <v>29</v>
      </c>
      <c r="B11" s="239">
        <v>2</v>
      </c>
      <c r="C11" s="239">
        <v>1</v>
      </c>
      <c r="D11" s="239">
        <v>13.5</v>
      </c>
      <c r="E11" s="239">
        <v>0</v>
      </c>
      <c r="F11" s="239">
        <v>7</v>
      </c>
      <c r="G11" s="239">
        <v>0</v>
      </c>
      <c r="H11" s="239">
        <v>0</v>
      </c>
      <c r="I11" s="239">
        <v>5</v>
      </c>
      <c r="J11" s="239">
        <v>0</v>
      </c>
      <c r="K11" s="239">
        <v>0</v>
      </c>
      <c r="L11" s="239">
        <v>0</v>
      </c>
      <c r="M11" s="239">
        <v>0</v>
      </c>
      <c r="N11" s="239">
        <v>1.5</v>
      </c>
      <c r="O11" s="239">
        <v>0</v>
      </c>
      <c r="Q11" s="239" t="s">
        <v>216</v>
      </c>
      <c r="R11" s="266">
        <v>8</v>
      </c>
    </row>
    <row r="12" spans="1:18" x14ac:dyDescent="0.3">
      <c r="A12" s="239">
        <v>29</v>
      </c>
      <c r="B12" s="239">
        <v>2</v>
      </c>
      <c r="C12" s="239">
        <v>2</v>
      </c>
      <c r="D12" s="239">
        <v>2056</v>
      </c>
      <c r="E12" s="239">
        <v>0</v>
      </c>
      <c r="F12" s="239">
        <v>1048</v>
      </c>
      <c r="G12" s="239">
        <v>0</v>
      </c>
      <c r="H12" s="239">
        <v>0</v>
      </c>
      <c r="I12" s="239">
        <v>768</v>
      </c>
      <c r="J12" s="239">
        <v>0</v>
      </c>
      <c r="K12" s="239">
        <v>0</v>
      </c>
      <c r="L12" s="239">
        <v>0</v>
      </c>
      <c r="M12" s="239">
        <v>0</v>
      </c>
      <c r="N12" s="239">
        <v>240</v>
      </c>
      <c r="O12" s="239">
        <v>0</v>
      </c>
      <c r="Q12" s="239" t="s">
        <v>217</v>
      </c>
      <c r="R12" s="266">
        <v>9</v>
      </c>
    </row>
    <row r="13" spans="1:18" x14ac:dyDescent="0.3">
      <c r="A13" s="239">
        <v>29</v>
      </c>
      <c r="B13" s="239">
        <v>2</v>
      </c>
      <c r="C13" s="239">
        <v>3</v>
      </c>
      <c r="D13" s="239">
        <v>7</v>
      </c>
      <c r="E13" s="239">
        <v>0</v>
      </c>
      <c r="F13" s="239">
        <v>7</v>
      </c>
      <c r="G13" s="239">
        <v>0</v>
      </c>
      <c r="H13" s="239">
        <v>0</v>
      </c>
      <c r="I13" s="239">
        <v>0</v>
      </c>
      <c r="J13" s="239">
        <v>0</v>
      </c>
      <c r="K13" s="239">
        <v>0</v>
      </c>
      <c r="L13" s="239">
        <v>0</v>
      </c>
      <c r="M13" s="239">
        <v>0</v>
      </c>
      <c r="N13" s="239">
        <v>0</v>
      </c>
      <c r="O13" s="239">
        <v>0</v>
      </c>
      <c r="Q13" s="239" t="s">
        <v>218</v>
      </c>
      <c r="R13" s="266">
        <v>10</v>
      </c>
    </row>
    <row r="14" spans="1:18" x14ac:dyDescent="0.3">
      <c r="A14" s="239">
        <v>29</v>
      </c>
      <c r="B14" s="239">
        <v>2</v>
      </c>
      <c r="C14" s="239">
        <v>4</v>
      </c>
      <c r="D14" s="239">
        <v>48</v>
      </c>
      <c r="E14" s="239">
        <v>0</v>
      </c>
      <c r="F14" s="239">
        <v>48</v>
      </c>
      <c r="G14" s="239">
        <v>0</v>
      </c>
      <c r="H14" s="239">
        <v>0</v>
      </c>
      <c r="I14" s="239">
        <v>0</v>
      </c>
      <c r="J14" s="239">
        <v>0</v>
      </c>
      <c r="K14" s="239">
        <v>0</v>
      </c>
      <c r="L14" s="239">
        <v>0</v>
      </c>
      <c r="M14" s="239">
        <v>0</v>
      </c>
      <c r="N14" s="239">
        <v>0</v>
      </c>
      <c r="O14" s="239">
        <v>0</v>
      </c>
      <c r="Q14" s="239" t="s">
        <v>219</v>
      </c>
      <c r="R14" s="266">
        <v>11</v>
      </c>
    </row>
    <row r="15" spans="1:18" x14ac:dyDescent="0.3">
      <c r="A15" s="239">
        <v>29</v>
      </c>
      <c r="B15" s="239">
        <v>2</v>
      </c>
      <c r="C15" s="239">
        <v>6</v>
      </c>
      <c r="D15" s="239">
        <v>649329</v>
      </c>
      <c r="E15" s="239">
        <v>0</v>
      </c>
      <c r="F15" s="239">
        <v>475974</v>
      </c>
      <c r="G15" s="239">
        <v>0</v>
      </c>
      <c r="H15" s="239">
        <v>0</v>
      </c>
      <c r="I15" s="239">
        <v>137570</v>
      </c>
      <c r="J15" s="239">
        <v>0</v>
      </c>
      <c r="K15" s="239">
        <v>0</v>
      </c>
      <c r="L15" s="239">
        <v>0</v>
      </c>
      <c r="M15" s="239">
        <v>0</v>
      </c>
      <c r="N15" s="239">
        <v>35785</v>
      </c>
      <c r="O15" s="239">
        <v>0</v>
      </c>
      <c r="Q15" s="239" t="s">
        <v>220</v>
      </c>
      <c r="R15" s="266">
        <v>12</v>
      </c>
    </row>
    <row r="16" spans="1:18" x14ac:dyDescent="0.3">
      <c r="A16" s="239">
        <v>29</v>
      </c>
      <c r="B16" s="239">
        <v>2</v>
      </c>
      <c r="C16" s="239">
        <v>9</v>
      </c>
      <c r="D16" s="239">
        <v>48788</v>
      </c>
      <c r="E16" s="239">
        <v>0</v>
      </c>
      <c r="F16" s="239">
        <v>42488</v>
      </c>
      <c r="G16" s="239">
        <v>0</v>
      </c>
      <c r="H16" s="239">
        <v>0</v>
      </c>
      <c r="I16" s="239">
        <v>5300</v>
      </c>
      <c r="J16" s="239">
        <v>0</v>
      </c>
      <c r="K16" s="239">
        <v>0</v>
      </c>
      <c r="L16" s="239">
        <v>0</v>
      </c>
      <c r="M16" s="239">
        <v>0</v>
      </c>
      <c r="N16" s="239">
        <v>1000</v>
      </c>
      <c r="O16" s="239">
        <v>0</v>
      </c>
      <c r="Q16" s="239" t="s">
        <v>208</v>
      </c>
      <c r="R16" s="266">
        <v>2014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6" bestFit="1" customWidth="1"/>
    <col min="2" max="2" width="7.77734375" style="112" customWidth="1"/>
    <col min="3" max="3" width="5.44140625" style="136" hidden="1" customWidth="1"/>
    <col min="4" max="4" width="7.77734375" style="112" customWidth="1"/>
    <col min="5" max="5" width="5.44140625" style="136" hidden="1" customWidth="1"/>
    <col min="6" max="6" width="7.77734375" style="112" customWidth="1"/>
    <col min="7" max="7" width="7.77734375" style="218" customWidth="1"/>
    <col min="8" max="8" width="7.77734375" style="112" customWidth="1"/>
    <col min="9" max="9" width="5.44140625" style="136" hidden="1" customWidth="1"/>
    <col min="10" max="10" width="7.77734375" style="112" customWidth="1"/>
    <col min="11" max="11" width="5.44140625" style="136" hidden="1" customWidth="1"/>
    <col min="12" max="12" width="7.77734375" style="112" customWidth="1"/>
    <col min="13" max="13" width="7.77734375" style="218" customWidth="1"/>
    <col min="14" max="14" width="7.77734375" style="112" customWidth="1"/>
    <col min="15" max="15" width="5" style="136" hidden="1" customWidth="1"/>
    <col min="16" max="16" width="7.77734375" style="112" customWidth="1"/>
    <col min="17" max="17" width="5" style="136" hidden="1" customWidth="1"/>
    <col min="18" max="18" width="7.77734375" style="112" customWidth="1"/>
    <col min="19" max="19" width="7.77734375" style="218" customWidth="1"/>
    <col min="20" max="16384" width="8.88671875" style="136"/>
  </cols>
  <sheetData>
    <row r="1" spans="1:19" ht="18.600000000000001" customHeight="1" thickBot="1" x14ac:dyDescent="0.4">
      <c r="A1" s="382" t="s">
        <v>1090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" customHeight="1" thickBot="1" x14ac:dyDescent="0.35">
      <c r="A2" s="243" t="s">
        <v>249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14.4" customHeight="1" thickBot="1" x14ac:dyDescent="0.35">
      <c r="A3" s="228" t="s">
        <v>136</v>
      </c>
      <c r="B3" s="229">
        <f>SUBTOTAL(9,B6:B1048576)</f>
        <v>592394</v>
      </c>
      <c r="C3" s="230">
        <f t="shared" ref="C3:R3" si="0">SUBTOTAL(9,C6:C1048576)</f>
        <v>2</v>
      </c>
      <c r="D3" s="230">
        <f t="shared" si="0"/>
        <v>601957</v>
      </c>
      <c r="E3" s="230">
        <f t="shared" si="0"/>
        <v>1.010259624416318</v>
      </c>
      <c r="F3" s="230">
        <f t="shared" si="0"/>
        <v>591521</v>
      </c>
      <c r="G3" s="231">
        <f>IF(B3&lt;&gt;0,F3/B3,"")</f>
        <v>0.99852631863253172</v>
      </c>
      <c r="H3" s="232">
        <f t="shared" si="0"/>
        <v>2429.91</v>
      </c>
      <c r="I3" s="230">
        <f t="shared" si="0"/>
        <v>1</v>
      </c>
      <c r="J3" s="230">
        <f t="shared" si="0"/>
        <v>5134.12</v>
      </c>
      <c r="K3" s="230">
        <f t="shared" si="0"/>
        <v>2.1128848393561901</v>
      </c>
      <c r="L3" s="230">
        <f t="shared" si="0"/>
        <v>6360.08</v>
      </c>
      <c r="M3" s="233">
        <f>IF(H3&lt;&gt;0,L3/H3,"")</f>
        <v>2.6174138136803422</v>
      </c>
      <c r="N3" s="229">
        <f t="shared" si="0"/>
        <v>0</v>
      </c>
      <c r="O3" s="230">
        <f t="shared" si="0"/>
        <v>0</v>
      </c>
      <c r="P3" s="230">
        <f t="shared" si="0"/>
        <v>0</v>
      </c>
      <c r="Q3" s="230">
        <f t="shared" si="0"/>
        <v>0</v>
      </c>
      <c r="R3" s="230">
        <f t="shared" si="0"/>
        <v>0</v>
      </c>
      <c r="S3" s="231" t="str">
        <f>IF(N3&lt;&gt;0,R3/N3,"")</f>
        <v/>
      </c>
    </row>
    <row r="4" spans="1:19" ht="14.4" customHeight="1" x14ac:dyDescent="0.3">
      <c r="A4" s="383" t="s">
        <v>103</v>
      </c>
      <c r="B4" s="384" t="s">
        <v>104</v>
      </c>
      <c r="C4" s="385"/>
      <c r="D4" s="385"/>
      <c r="E4" s="385"/>
      <c r="F4" s="385"/>
      <c r="G4" s="386"/>
      <c r="H4" s="384" t="s">
        <v>105</v>
      </c>
      <c r="I4" s="385"/>
      <c r="J4" s="385"/>
      <c r="K4" s="385"/>
      <c r="L4" s="385"/>
      <c r="M4" s="386"/>
      <c r="N4" s="384" t="s">
        <v>106</v>
      </c>
      <c r="O4" s="385"/>
      <c r="P4" s="385"/>
      <c r="Q4" s="385"/>
      <c r="R4" s="385"/>
      <c r="S4" s="386"/>
    </row>
    <row r="5" spans="1:19" ht="14.4" customHeight="1" thickBot="1" x14ac:dyDescent="0.35">
      <c r="A5" s="522"/>
      <c r="B5" s="523">
        <v>2012</v>
      </c>
      <c r="C5" s="524"/>
      <c r="D5" s="524">
        <v>2013</v>
      </c>
      <c r="E5" s="524"/>
      <c r="F5" s="524">
        <v>2014</v>
      </c>
      <c r="G5" s="525" t="s">
        <v>5</v>
      </c>
      <c r="H5" s="523">
        <v>2012</v>
      </c>
      <c r="I5" s="524"/>
      <c r="J5" s="524">
        <v>2013</v>
      </c>
      <c r="K5" s="524"/>
      <c r="L5" s="524">
        <v>2014</v>
      </c>
      <c r="M5" s="525" t="s">
        <v>5</v>
      </c>
      <c r="N5" s="523">
        <v>2012</v>
      </c>
      <c r="O5" s="524"/>
      <c r="P5" s="524">
        <v>2013</v>
      </c>
      <c r="Q5" s="524"/>
      <c r="R5" s="524">
        <v>2014</v>
      </c>
      <c r="S5" s="525" t="s">
        <v>5</v>
      </c>
    </row>
    <row r="6" spans="1:19" ht="14.4" customHeight="1" x14ac:dyDescent="0.3">
      <c r="A6" s="511" t="s">
        <v>1085</v>
      </c>
      <c r="B6" s="526">
        <v>591932</v>
      </c>
      <c r="C6" s="487">
        <v>1</v>
      </c>
      <c r="D6" s="526">
        <v>598005</v>
      </c>
      <c r="E6" s="487">
        <v>1.010259624416318</v>
      </c>
      <c r="F6" s="526">
        <v>591521</v>
      </c>
      <c r="G6" s="492">
        <v>0.99930566348837369</v>
      </c>
      <c r="H6" s="526">
        <v>2429.91</v>
      </c>
      <c r="I6" s="487">
        <v>1</v>
      </c>
      <c r="J6" s="526">
        <v>5134.12</v>
      </c>
      <c r="K6" s="487">
        <v>2.1128848393561901</v>
      </c>
      <c r="L6" s="526">
        <v>6360.08</v>
      </c>
      <c r="M6" s="492">
        <v>2.6174138136803422</v>
      </c>
      <c r="N6" s="526"/>
      <c r="O6" s="487"/>
      <c r="P6" s="526"/>
      <c r="Q6" s="487"/>
      <c r="R6" s="526"/>
      <c r="S6" s="128"/>
    </row>
    <row r="7" spans="1:19" ht="14.4" customHeight="1" x14ac:dyDescent="0.3">
      <c r="A7" s="512" t="s">
        <v>1086</v>
      </c>
      <c r="B7" s="527"/>
      <c r="C7" s="444"/>
      <c r="D7" s="527">
        <v>3952</v>
      </c>
      <c r="E7" s="444"/>
      <c r="F7" s="527"/>
      <c r="G7" s="471"/>
      <c r="H7" s="527"/>
      <c r="I7" s="444"/>
      <c r="J7" s="527"/>
      <c r="K7" s="444"/>
      <c r="L7" s="527"/>
      <c r="M7" s="471"/>
      <c r="N7" s="527"/>
      <c r="O7" s="444"/>
      <c r="P7" s="527"/>
      <c r="Q7" s="444"/>
      <c r="R7" s="527"/>
      <c r="S7" s="472"/>
    </row>
    <row r="8" spans="1:19" ht="14.4" customHeight="1" thickBot="1" x14ac:dyDescent="0.35">
      <c r="A8" s="529" t="s">
        <v>1087</v>
      </c>
      <c r="B8" s="528">
        <v>462</v>
      </c>
      <c r="C8" s="450">
        <v>1</v>
      </c>
      <c r="D8" s="528"/>
      <c r="E8" s="450"/>
      <c r="F8" s="528"/>
      <c r="G8" s="473"/>
      <c r="H8" s="528"/>
      <c r="I8" s="450"/>
      <c r="J8" s="528"/>
      <c r="K8" s="450"/>
      <c r="L8" s="528"/>
      <c r="M8" s="473"/>
      <c r="N8" s="528"/>
      <c r="O8" s="450"/>
      <c r="P8" s="528"/>
      <c r="Q8" s="450"/>
      <c r="R8" s="528"/>
      <c r="S8" s="474"/>
    </row>
    <row r="9" spans="1:19" ht="14.4" customHeight="1" x14ac:dyDescent="0.3">
      <c r="A9" s="530" t="s">
        <v>1088</v>
      </c>
    </row>
    <row r="10" spans="1:19" ht="14.4" customHeight="1" x14ac:dyDescent="0.3">
      <c r="A10" s="531" t="s">
        <v>193</v>
      </c>
    </row>
    <row r="11" spans="1:19" ht="14.4" customHeight="1" x14ac:dyDescent="0.3">
      <c r="A11" s="530" t="s">
        <v>1089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9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6" bestFit="1" customWidth="1"/>
    <col min="2" max="2" width="2.109375" style="136" bestFit="1" customWidth="1"/>
    <col min="3" max="3" width="8" style="136" bestFit="1" customWidth="1"/>
    <col min="4" max="4" width="50.88671875" style="136" bestFit="1" customWidth="1"/>
    <col min="5" max="6" width="11.109375" style="215" customWidth="1"/>
    <col min="7" max="8" width="9.33203125" style="136" hidden="1" customWidth="1"/>
    <col min="9" max="10" width="11.109375" style="215" customWidth="1"/>
    <col min="11" max="12" width="9.33203125" style="136" hidden="1" customWidth="1"/>
    <col min="13" max="14" width="11.109375" style="215" customWidth="1"/>
    <col min="15" max="15" width="11.109375" style="218" customWidth="1"/>
    <col min="16" max="16" width="11.109375" style="215" customWidth="1"/>
    <col min="17" max="16384" width="8.88671875" style="136"/>
  </cols>
  <sheetData>
    <row r="1" spans="1:16" ht="18.600000000000001" customHeight="1" thickBot="1" x14ac:dyDescent="0.4">
      <c r="A1" s="318" t="s">
        <v>1271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</row>
    <row r="2" spans="1:16" ht="14.4" customHeight="1" thickBot="1" x14ac:dyDescent="0.35">
      <c r="A2" s="243" t="s">
        <v>249</v>
      </c>
      <c r="B2" s="137"/>
      <c r="C2" s="137"/>
      <c r="D2" s="137"/>
      <c r="E2" s="236"/>
      <c r="F2" s="236"/>
      <c r="G2" s="137"/>
      <c r="H2" s="137"/>
      <c r="I2" s="236"/>
      <c r="J2" s="236"/>
      <c r="K2" s="137"/>
      <c r="L2" s="137"/>
      <c r="M2" s="236"/>
      <c r="N2" s="236"/>
      <c r="O2" s="237"/>
      <c r="P2" s="236"/>
    </row>
    <row r="3" spans="1:16" ht="14.4" customHeight="1" thickBot="1" x14ac:dyDescent="0.35">
      <c r="D3" s="87" t="s">
        <v>136</v>
      </c>
      <c r="E3" s="106">
        <f t="shared" ref="E3:N3" si="0">SUBTOTAL(9,E6:E1048576)</f>
        <v>3467.4</v>
      </c>
      <c r="F3" s="107">
        <f t="shared" si="0"/>
        <v>594823.91</v>
      </c>
      <c r="G3" s="74"/>
      <c r="H3" s="74"/>
      <c r="I3" s="107">
        <f t="shared" si="0"/>
        <v>3458.92</v>
      </c>
      <c r="J3" s="107">
        <f t="shared" si="0"/>
        <v>607091.12</v>
      </c>
      <c r="K3" s="74"/>
      <c r="L3" s="74"/>
      <c r="M3" s="107">
        <f t="shared" si="0"/>
        <v>3692.3</v>
      </c>
      <c r="N3" s="107">
        <f t="shared" si="0"/>
        <v>597881.08000000007</v>
      </c>
      <c r="O3" s="75">
        <f>IF(F3=0,0,N3/F3)</f>
        <v>1.0051396219092807</v>
      </c>
      <c r="P3" s="108">
        <f>IF(M3=0,0,N3/M3)</f>
        <v>161.92646318013163</v>
      </c>
    </row>
    <row r="4" spans="1:16" ht="14.4" customHeight="1" x14ac:dyDescent="0.3">
      <c r="A4" s="388" t="s">
        <v>99</v>
      </c>
      <c r="B4" s="389" t="s">
        <v>100</v>
      </c>
      <c r="C4" s="390" t="s">
        <v>101</v>
      </c>
      <c r="D4" s="391" t="s">
        <v>73</v>
      </c>
      <c r="E4" s="392">
        <v>2012</v>
      </c>
      <c r="F4" s="393"/>
      <c r="G4" s="105"/>
      <c r="H4" s="105"/>
      <c r="I4" s="392">
        <v>2013</v>
      </c>
      <c r="J4" s="393"/>
      <c r="K4" s="105"/>
      <c r="L4" s="105"/>
      <c r="M4" s="392">
        <v>2014</v>
      </c>
      <c r="N4" s="393"/>
      <c r="O4" s="394" t="s">
        <v>5</v>
      </c>
      <c r="P4" s="387" t="s">
        <v>102</v>
      </c>
    </row>
    <row r="5" spans="1:16" ht="14.4" customHeight="1" thickBot="1" x14ac:dyDescent="0.35">
      <c r="A5" s="532"/>
      <c r="B5" s="533"/>
      <c r="C5" s="534"/>
      <c r="D5" s="535"/>
      <c r="E5" s="536" t="s">
        <v>75</v>
      </c>
      <c r="F5" s="537" t="s">
        <v>17</v>
      </c>
      <c r="G5" s="538"/>
      <c r="H5" s="538"/>
      <c r="I5" s="536" t="s">
        <v>75</v>
      </c>
      <c r="J5" s="537" t="s">
        <v>17</v>
      </c>
      <c r="K5" s="538"/>
      <c r="L5" s="538"/>
      <c r="M5" s="536" t="s">
        <v>75</v>
      </c>
      <c r="N5" s="537" t="s">
        <v>17</v>
      </c>
      <c r="O5" s="539"/>
      <c r="P5" s="540"/>
    </row>
    <row r="6" spans="1:16" ht="14.4" customHeight="1" x14ac:dyDescent="0.3">
      <c r="A6" s="486" t="s">
        <v>1091</v>
      </c>
      <c r="B6" s="487" t="s">
        <v>1092</v>
      </c>
      <c r="C6" s="487" t="s">
        <v>1093</v>
      </c>
      <c r="D6" s="487" t="s">
        <v>1094</v>
      </c>
      <c r="E6" s="122">
        <v>0.4</v>
      </c>
      <c r="F6" s="122">
        <v>44.730000000000004</v>
      </c>
      <c r="G6" s="487">
        <v>1</v>
      </c>
      <c r="H6" s="487">
        <v>111.825</v>
      </c>
      <c r="I6" s="122"/>
      <c r="J6" s="122"/>
      <c r="K6" s="487"/>
      <c r="L6" s="487"/>
      <c r="M6" s="122">
        <v>4.8000000000000007</v>
      </c>
      <c r="N6" s="122">
        <v>541.44000000000005</v>
      </c>
      <c r="O6" s="492">
        <v>12.104627766599597</v>
      </c>
      <c r="P6" s="503">
        <v>112.8</v>
      </c>
    </row>
    <row r="7" spans="1:16" ht="14.4" customHeight="1" x14ac:dyDescent="0.3">
      <c r="A7" s="443" t="s">
        <v>1091</v>
      </c>
      <c r="B7" s="444" t="s">
        <v>1092</v>
      </c>
      <c r="C7" s="444" t="s">
        <v>1095</v>
      </c>
      <c r="D7" s="444" t="s">
        <v>1096</v>
      </c>
      <c r="E7" s="447">
        <v>13.699999999999998</v>
      </c>
      <c r="F7" s="447">
        <v>1991.6599999999999</v>
      </c>
      <c r="G7" s="444">
        <v>1</v>
      </c>
      <c r="H7" s="444">
        <v>145.37664233576643</v>
      </c>
      <c r="I7" s="447">
        <v>26.100000000000005</v>
      </c>
      <c r="J7" s="447">
        <v>4121.4399999999996</v>
      </c>
      <c r="K7" s="444">
        <v>2.0693491861060624</v>
      </c>
      <c r="L7" s="444">
        <v>157.90957854406125</v>
      </c>
      <c r="M7" s="447">
        <v>26.9</v>
      </c>
      <c r="N7" s="447">
        <v>4247.72</v>
      </c>
      <c r="O7" s="471">
        <v>2.1327535824387698</v>
      </c>
      <c r="P7" s="448">
        <v>157.90780669144982</v>
      </c>
    </row>
    <row r="8" spans="1:16" ht="14.4" customHeight="1" x14ac:dyDescent="0.3">
      <c r="A8" s="443" t="s">
        <v>1091</v>
      </c>
      <c r="B8" s="444" t="s">
        <v>1092</v>
      </c>
      <c r="C8" s="444" t="s">
        <v>1097</v>
      </c>
      <c r="D8" s="444" t="s">
        <v>1098</v>
      </c>
      <c r="E8" s="447">
        <v>0.2</v>
      </c>
      <c r="F8" s="447">
        <v>46.82</v>
      </c>
      <c r="G8" s="444">
        <v>1</v>
      </c>
      <c r="H8" s="444">
        <v>234.1</v>
      </c>
      <c r="I8" s="447">
        <v>3.8200000000000003</v>
      </c>
      <c r="J8" s="447">
        <v>1012.6800000000001</v>
      </c>
      <c r="K8" s="444">
        <v>21.629218282785136</v>
      </c>
      <c r="L8" s="444">
        <v>265.09947643979058</v>
      </c>
      <c r="M8" s="447">
        <v>4</v>
      </c>
      <c r="N8" s="447">
        <v>1060.4000000000001</v>
      </c>
      <c r="O8" s="471">
        <v>22.648440837249041</v>
      </c>
      <c r="P8" s="448">
        <v>265.10000000000002</v>
      </c>
    </row>
    <row r="9" spans="1:16" ht="14.4" customHeight="1" x14ac:dyDescent="0.3">
      <c r="A9" s="443" t="s">
        <v>1091</v>
      </c>
      <c r="B9" s="444" t="s">
        <v>1092</v>
      </c>
      <c r="C9" s="444" t="s">
        <v>1099</v>
      </c>
      <c r="D9" s="444" t="s">
        <v>1100</v>
      </c>
      <c r="E9" s="447"/>
      <c r="F9" s="447"/>
      <c r="G9" s="444"/>
      <c r="H9" s="444"/>
      <c r="I9" s="447"/>
      <c r="J9" s="447"/>
      <c r="K9" s="444"/>
      <c r="L9" s="444"/>
      <c r="M9" s="447">
        <v>0.1</v>
      </c>
      <c r="N9" s="447">
        <v>10.54</v>
      </c>
      <c r="O9" s="471"/>
      <c r="P9" s="448">
        <v>105.39999999999999</v>
      </c>
    </row>
    <row r="10" spans="1:16" ht="14.4" customHeight="1" x14ac:dyDescent="0.3">
      <c r="A10" s="443" t="s">
        <v>1091</v>
      </c>
      <c r="B10" s="444" t="s">
        <v>1092</v>
      </c>
      <c r="C10" s="444" t="s">
        <v>1101</v>
      </c>
      <c r="D10" s="444" t="s">
        <v>1102</v>
      </c>
      <c r="E10" s="447"/>
      <c r="F10" s="447"/>
      <c r="G10" s="444"/>
      <c r="H10" s="444"/>
      <c r="I10" s="447"/>
      <c r="J10" s="447"/>
      <c r="K10" s="444"/>
      <c r="L10" s="444"/>
      <c r="M10" s="447">
        <v>0.1</v>
      </c>
      <c r="N10" s="447">
        <v>40.42</v>
      </c>
      <c r="O10" s="471"/>
      <c r="P10" s="448">
        <v>404.2</v>
      </c>
    </row>
    <row r="11" spans="1:16" ht="14.4" customHeight="1" x14ac:dyDescent="0.3">
      <c r="A11" s="443" t="s">
        <v>1091</v>
      </c>
      <c r="B11" s="444" t="s">
        <v>1092</v>
      </c>
      <c r="C11" s="444" t="s">
        <v>1103</v>
      </c>
      <c r="D11" s="444" t="s">
        <v>534</v>
      </c>
      <c r="E11" s="447">
        <v>0.1</v>
      </c>
      <c r="F11" s="447">
        <v>10</v>
      </c>
      <c r="G11" s="444">
        <v>1</v>
      </c>
      <c r="H11" s="444">
        <v>100</v>
      </c>
      <c r="I11" s="447"/>
      <c r="J11" s="447"/>
      <c r="K11" s="444"/>
      <c r="L11" s="444"/>
      <c r="M11" s="447">
        <v>0.4</v>
      </c>
      <c r="N11" s="447">
        <v>40.32</v>
      </c>
      <c r="O11" s="471">
        <v>4.032</v>
      </c>
      <c r="P11" s="448">
        <v>100.8</v>
      </c>
    </row>
    <row r="12" spans="1:16" ht="14.4" customHeight="1" x14ac:dyDescent="0.3">
      <c r="A12" s="443" t="s">
        <v>1091</v>
      </c>
      <c r="B12" s="444" t="s">
        <v>1092</v>
      </c>
      <c r="C12" s="444" t="s">
        <v>1104</v>
      </c>
      <c r="D12" s="444" t="s">
        <v>484</v>
      </c>
      <c r="E12" s="447">
        <v>1</v>
      </c>
      <c r="F12" s="447">
        <v>138.1</v>
      </c>
      <c r="G12" s="444">
        <v>1</v>
      </c>
      <c r="H12" s="444">
        <v>138.1</v>
      </c>
      <c r="I12" s="447"/>
      <c r="J12" s="447"/>
      <c r="K12" s="444"/>
      <c r="L12" s="444"/>
      <c r="M12" s="447"/>
      <c r="N12" s="447"/>
      <c r="O12" s="471"/>
      <c r="P12" s="448"/>
    </row>
    <row r="13" spans="1:16" ht="14.4" customHeight="1" x14ac:dyDescent="0.3">
      <c r="A13" s="443" t="s">
        <v>1091</v>
      </c>
      <c r="B13" s="444" t="s">
        <v>1105</v>
      </c>
      <c r="C13" s="444" t="s">
        <v>1106</v>
      </c>
      <c r="D13" s="444" t="s">
        <v>1107</v>
      </c>
      <c r="E13" s="447"/>
      <c r="F13" s="447"/>
      <c r="G13" s="444"/>
      <c r="H13" s="444"/>
      <c r="I13" s="447"/>
      <c r="J13" s="447"/>
      <c r="K13" s="444"/>
      <c r="L13" s="444"/>
      <c r="M13" s="447">
        <v>4</v>
      </c>
      <c r="N13" s="447">
        <v>360.64</v>
      </c>
      <c r="O13" s="471"/>
      <c r="P13" s="448">
        <v>90.16</v>
      </c>
    </row>
    <row r="14" spans="1:16" ht="14.4" customHeight="1" x14ac:dyDescent="0.3">
      <c r="A14" s="443" t="s">
        <v>1091</v>
      </c>
      <c r="B14" s="444" t="s">
        <v>1105</v>
      </c>
      <c r="C14" s="444" t="s">
        <v>1108</v>
      </c>
      <c r="D14" s="444" t="s">
        <v>1109</v>
      </c>
      <c r="E14" s="447">
        <v>1</v>
      </c>
      <c r="F14" s="447">
        <v>58.6</v>
      </c>
      <c r="G14" s="444">
        <v>1</v>
      </c>
      <c r="H14" s="444">
        <v>58.6</v>
      </c>
      <c r="I14" s="447"/>
      <c r="J14" s="447"/>
      <c r="K14" s="444"/>
      <c r="L14" s="444"/>
      <c r="M14" s="447">
        <v>1</v>
      </c>
      <c r="N14" s="447">
        <v>58.6</v>
      </c>
      <c r="O14" s="471">
        <v>1</v>
      </c>
      <c r="P14" s="448">
        <v>58.6</v>
      </c>
    </row>
    <row r="15" spans="1:16" ht="14.4" customHeight="1" x14ac:dyDescent="0.3">
      <c r="A15" s="443" t="s">
        <v>1091</v>
      </c>
      <c r="B15" s="444" t="s">
        <v>1105</v>
      </c>
      <c r="C15" s="444" t="s">
        <v>1110</v>
      </c>
      <c r="D15" s="444" t="s">
        <v>1111</v>
      </c>
      <c r="E15" s="447">
        <v>2</v>
      </c>
      <c r="F15" s="447">
        <v>140</v>
      </c>
      <c r="G15" s="444">
        <v>1</v>
      </c>
      <c r="H15" s="444">
        <v>70</v>
      </c>
      <c r="I15" s="447"/>
      <c r="J15" s="447"/>
      <c r="K15" s="444"/>
      <c r="L15" s="444"/>
      <c r="M15" s="447"/>
      <c r="N15" s="447"/>
      <c r="O15" s="471"/>
      <c r="P15" s="448"/>
    </row>
    <row r="16" spans="1:16" ht="14.4" customHeight="1" x14ac:dyDescent="0.3">
      <c r="A16" s="443" t="s">
        <v>1091</v>
      </c>
      <c r="B16" s="444" t="s">
        <v>1112</v>
      </c>
      <c r="C16" s="444" t="s">
        <v>1113</v>
      </c>
      <c r="D16" s="444" t="s">
        <v>1114</v>
      </c>
      <c r="E16" s="447"/>
      <c r="F16" s="447"/>
      <c r="G16" s="444"/>
      <c r="H16" s="444"/>
      <c r="I16" s="447"/>
      <c r="J16" s="447"/>
      <c r="K16" s="444"/>
      <c r="L16" s="444"/>
      <c r="M16" s="447">
        <v>3</v>
      </c>
      <c r="N16" s="447">
        <v>384</v>
      </c>
      <c r="O16" s="471"/>
      <c r="P16" s="448">
        <v>128</v>
      </c>
    </row>
    <row r="17" spans="1:16" ht="14.4" customHeight="1" x14ac:dyDescent="0.3">
      <c r="A17" s="443" t="s">
        <v>1091</v>
      </c>
      <c r="B17" s="444" t="s">
        <v>1112</v>
      </c>
      <c r="C17" s="444" t="s">
        <v>1115</v>
      </c>
      <c r="D17" s="444" t="s">
        <v>1116</v>
      </c>
      <c r="E17" s="447"/>
      <c r="F17" s="447"/>
      <c r="G17" s="444"/>
      <c r="H17" s="444"/>
      <c r="I17" s="447">
        <v>1</v>
      </c>
      <c r="J17" s="447">
        <v>73</v>
      </c>
      <c r="K17" s="444"/>
      <c r="L17" s="444">
        <v>73</v>
      </c>
      <c r="M17" s="447">
        <v>2</v>
      </c>
      <c r="N17" s="447">
        <v>146</v>
      </c>
      <c r="O17" s="471"/>
      <c r="P17" s="448">
        <v>73</v>
      </c>
    </row>
    <row r="18" spans="1:16" ht="14.4" customHeight="1" x14ac:dyDescent="0.3">
      <c r="A18" s="443" t="s">
        <v>1091</v>
      </c>
      <c r="B18" s="444" t="s">
        <v>1112</v>
      </c>
      <c r="C18" s="444" t="s">
        <v>1117</v>
      </c>
      <c r="D18" s="444" t="s">
        <v>1118</v>
      </c>
      <c r="E18" s="447"/>
      <c r="F18" s="447"/>
      <c r="G18" s="444"/>
      <c r="H18" s="444"/>
      <c r="I18" s="447"/>
      <c r="J18" s="447"/>
      <c r="K18" s="444"/>
      <c r="L18" s="444"/>
      <c r="M18" s="447">
        <v>1</v>
      </c>
      <c r="N18" s="447">
        <v>156</v>
      </c>
      <c r="O18" s="471"/>
      <c r="P18" s="448">
        <v>156</v>
      </c>
    </row>
    <row r="19" spans="1:16" ht="14.4" customHeight="1" x14ac:dyDescent="0.3">
      <c r="A19" s="443" t="s">
        <v>1091</v>
      </c>
      <c r="B19" s="444" t="s">
        <v>1112</v>
      </c>
      <c r="C19" s="444" t="s">
        <v>1119</v>
      </c>
      <c r="D19" s="444" t="s">
        <v>1120</v>
      </c>
      <c r="E19" s="447"/>
      <c r="F19" s="447"/>
      <c r="G19" s="444"/>
      <c r="H19" s="444"/>
      <c r="I19" s="447"/>
      <c r="J19" s="447"/>
      <c r="K19" s="444"/>
      <c r="L19" s="444"/>
      <c r="M19" s="447">
        <v>91</v>
      </c>
      <c r="N19" s="447">
        <v>7280</v>
      </c>
      <c r="O19" s="471"/>
      <c r="P19" s="448">
        <v>80</v>
      </c>
    </row>
    <row r="20" spans="1:16" ht="14.4" customHeight="1" x14ac:dyDescent="0.3">
      <c r="A20" s="443" t="s">
        <v>1091</v>
      </c>
      <c r="B20" s="444" t="s">
        <v>1112</v>
      </c>
      <c r="C20" s="444" t="s">
        <v>1121</v>
      </c>
      <c r="D20" s="444" t="s">
        <v>1122</v>
      </c>
      <c r="E20" s="447">
        <v>294</v>
      </c>
      <c r="F20" s="447">
        <v>38514</v>
      </c>
      <c r="G20" s="444">
        <v>1</v>
      </c>
      <c r="H20" s="444">
        <v>131</v>
      </c>
      <c r="I20" s="447">
        <v>319</v>
      </c>
      <c r="J20" s="447">
        <v>32857</v>
      </c>
      <c r="K20" s="444">
        <v>0.8531183465752713</v>
      </c>
      <c r="L20" s="444">
        <v>103</v>
      </c>
      <c r="M20" s="447">
        <v>375</v>
      </c>
      <c r="N20" s="447">
        <v>38625</v>
      </c>
      <c r="O20" s="471">
        <v>1.0028820688580775</v>
      </c>
      <c r="P20" s="448">
        <v>103</v>
      </c>
    </row>
    <row r="21" spans="1:16" ht="14.4" customHeight="1" x14ac:dyDescent="0.3">
      <c r="A21" s="443" t="s">
        <v>1091</v>
      </c>
      <c r="B21" s="444" t="s">
        <v>1112</v>
      </c>
      <c r="C21" s="444" t="s">
        <v>1123</v>
      </c>
      <c r="D21" s="444" t="s">
        <v>1124</v>
      </c>
      <c r="E21" s="447">
        <v>337</v>
      </c>
      <c r="F21" s="447">
        <v>11458</v>
      </c>
      <c r="G21" s="444">
        <v>1</v>
      </c>
      <c r="H21" s="444">
        <v>34</v>
      </c>
      <c r="I21" s="447">
        <v>240</v>
      </c>
      <c r="J21" s="447">
        <v>8160</v>
      </c>
      <c r="K21" s="444">
        <v>0.71216617210682498</v>
      </c>
      <c r="L21" s="444">
        <v>34</v>
      </c>
      <c r="M21" s="447">
        <v>444</v>
      </c>
      <c r="N21" s="447">
        <v>15096</v>
      </c>
      <c r="O21" s="471">
        <v>1.3175074183976261</v>
      </c>
      <c r="P21" s="448">
        <v>34</v>
      </c>
    </row>
    <row r="22" spans="1:16" ht="14.4" customHeight="1" x14ac:dyDescent="0.3">
      <c r="A22" s="443" t="s">
        <v>1091</v>
      </c>
      <c r="B22" s="444" t="s">
        <v>1112</v>
      </c>
      <c r="C22" s="444" t="s">
        <v>1125</v>
      </c>
      <c r="D22" s="444" t="s">
        <v>1126</v>
      </c>
      <c r="E22" s="447">
        <v>2</v>
      </c>
      <c r="F22" s="447">
        <v>10</v>
      </c>
      <c r="G22" s="444">
        <v>1</v>
      </c>
      <c r="H22" s="444">
        <v>5</v>
      </c>
      <c r="I22" s="447"/>
      <c r="J22" s="447"/>
      <c r="K22" s="444"/>
      <c r="L22" s="444"/>
      <c r="M22" s="447"/>
      <c r="N22" s="447"/>
      <c r="O22" s="471"/>
      <c r="P22" s="448"/>
    </row>
    <row r="23" spans="1:16" ht="14.4" customHeight="1" x14ac:dyDescent="0.3">
      <c r="A23" s="443" t="s">
        <v>1091</v>
      </c>
      <c r="B23" s="444" t="s">
        <v>1112</v>
      </c>
      <c r="C23" s="444" t="s">
        <v>1127</v>
      </c>
      <c r="D23" s="444" t="s">
        <v>1128</v>
      </c>
      <c r="E23" s="447">
        <v>2</v>
      </c>
      <c r="F23" s="447">
        <v>10</v>
      </c>
      <c r="G23" s="444">
        <v>1</v>
      </c>
      <c r="H23" s="444">
        <v>5</v>
      </c>
      <c r="I23" s="447"/>
      <c r="J23" s="447"/>
      <c r="K23" s="444"/>
      <c r="L23" s="444"/>
      <c r="M23" s="447"/>
      <c r="N23" s="447"/>
      <c r="O23" s="471"/>
      <c r="P23" s="448"/>
    </row>
    <row r="24" spans="1:16" ht="14.4" customHeight="1" x14ac:dyDescent="0.3">
      <c r="A24" s="443" t="s">
        <v>1091</v>
      </c>
      <c r="B24" s="444" t="s">
        <v>1112</v>
      </c>
      <c r="C24" s="444" t="s">
        <v>1129</v>
      </c>
      <c r="D24" s="444" t="s">
        <v>1130</v>
      </c>
      <c r="E24" s="447">
        <v>28</v>
      </c>
      <c r="F24" s="447">
        <v>17836</v>
      </c>
      <c r="G24" s="444">
        <v>1</v>
      </c>
      <c r="H24" s="444">
        <v>637</v>
      </c>
      <c r="I24" s="447">
        <v>24</v>
      </c>
      <c r="J24" s="447">
        <v>15312</v>
      </c>
      <c r="K24" s="444">
        <v>0.85848845032518506</v>
      </c>
      <c r="L24" s="444">
        <v>638</v>
      </c>
      <c r="M24" s="447">
        <v>18</v>
      </c>
      <c r="N24" s="447">
        <v>11484</v>
      </c>
      <c r="O24" s="471">
        <v>0.64386633774388879</v>
      </c>
      <c r="P24" s="448">
        <v>638</v>
      </c>
    </row>
    <row r="25" spans="1:16" ht="14.4" customHeight="1" x14ac:dyDescent="0.3">
      <c r="A25" s="443" t="s">
        <v>1091</v>
      </c>
      <c r="B25" s="444" t="s">
        <v>1112</v>
      </c>
      <c r="C25" s="444" t="s">
        <v>1131</v>
      </c>
      <c r="D25" s="444" t="s">
        <v>1132</v>
      </c>
      <c r="E25" s="447">
        <v>4</v>
      </c>
      <c r="F25" s="447">
        <v>620</v>
      </c>
      <c r="G25" s="444">
        <v>1</v>
      </c>
      <c r="H25" s="444">
        <v>155</v>
      </c>
      <c r="I25" s="447"/>
      <c r="J25" s="447"/>
      <c r="K25" s="444"/>
      <c r="L25" s="444"/>
      <c r="M25" s="447">
        <v>12</v>
      </c>
      <c r="N25" s="447">
        <v>1872</v>
      </c>
      <c r="O25" s="471">
        <v>3.0193548387096776</v>
      </c>
      <c r="P25" s="448">
        <v>156</v>
      </c>
    </row>
    <row r="26" spans="1:16" ht="14.4" customHeight="1" x14ac:dyDescent="0.3">
      <c r="A26" s="443" t="s">
        <v>1091</v>
      </c>
      <c r="B26" s="444" t="s">
        <v>1112</v>
      </c>
      <c r="C26" s="444" t="s">
        <v>1133</v>
      </c>
      <c r="D26" s="444" t="s">
        <v>1122</v>
      </c>
      <c r="E26" s="447">
        <v>5</v>
      </c>
      <c r="F26" s="447">
        <v>950</v>
      </c>
      <c r="G26" s="444">
        <v>1</v>
      </c>
      <c r="H26" s="444">
        <v>190</v>
      </c>
      <c r="I26" s="447">
        <v>5</v>
      </c>
      <c r="J26" s="447">
        <v>955</v>
      </c>
      <c r="K26" s="444">
        <v>1.0052631578947369</v>
      </c>
      <c r="L26" s="444">
        <v>191</v>
      </c>
      <c r="M26" s="447">
        <v>4</v>
      </c>
      <c r="N26" s="447">
        <v>764</v>
      </c>
      <c r="O26" s="471">
        <v>0.80421052631578949</v>
      </c>
      <c r="P26" s="448">
        <v>191</v>
      </c>
    </row>
    <row r="27" spans="1:16" ht="14.4" customHeight="1" x14ac:dyDescent="0.3">
      <c r="A27" s="443" t="s">
        <v>1091</v>
      </c>
      <c r="B27" s="444" t="s">
        <v>1112</v>
      </c>
      <c r="C27" s="444" t="s">
        <v>1134</v>
      </c>
      <c r="D27" s="444" t="s">
        <v>1135</v>
      </c>
      <c r="E27" s="447">
        <v>1</v>
      </c>
      <c r="F27" s="447">
        <v>148</v>
      </c>
      <c r="G27" s="444">
        <v>1</v>
      </c>
      <c r="H27" s="444">
        <v>148</v>
      </c>
      <c r="I27" s="447"/>
      <c r="J27" s="447"/>
      <c r="K27" s="444"/>
      <c r="L27" s="444"/>
      <c r="M27" s="447"/>
      <c r="N27" s="447"/>
      <c r="O27" s="471"/>
      <c r="P27" s="448"/>
    </row>
    <row r="28" spans="1:16" ht="14.4" customHeight="1" x14ac:dyDescent="0.3">
      <c r="A28" s="443" t="s">
        <v>1091</v>
      </c>
      <c r="B28" s="444" t="s">
        <v>1112</v>
      </c>
      <c r="C28" s="444" t="s">
        <v>1136</v>
      </c>
      <c r="D28" s="444" t="s">
        <v>1137</v>
      </c>
      <c r="E28" s="447">
        <v>265</v>
      </c>
      <c r="F28" s="447">
        <v>87980</v>
      </c>
      <c r="G28" s="444">
        <v>1</v>
      </c>
      <c r="H28" s="444">
        <v>332</v>
      </c>
      <c r="I28" s="447">
        <v>263</v>
      </c>
      <c r="J28" s="447">
        <v>61016</v>
      </c>
      <c r="K28" s="444">
        <v>0.69352125483064331</v>
      </c>
      <c r="L28" s="444">
        <v>232</v>
      </c>
      <c r="M28" s="447">
        <v>365</v>
      </c>
      <c r="N28" s="447">
        <v>84680</v>
      </c>
      <c r="O28" s="471">
        <v>0.96249147533530344</v>
      </c>
      <c r="P28" s="448">
        <v>232</v>
      </c>
    </row>
    <row r="29" spans="1:16" ht="14.4" customHeight="1" x14ac:dyDescent="0.3">
      <c r="A29" s="443" t="s">
        <v>1091</v>
      </c>
      <c r="B29" s="444" t="s">
        <v>1112</v>
      </c>
      <c r="C29" s="444" t="s">
        <v>1138</v>
      </c>
      <c r="D29" s="444" t="s">
        <v>1139</v>
      </c>
      <c r="E29" s="447">
        <v>926</v>
      </c>
      <c r="F29" s="447">
        <v>154642</v>
      </c>
      <c r="G29" s="444">
        <v>1</v>
      </c>
      <c r="H29" s="444">
        <v>167</v>
      </c>
      <c r="I29" s="447">
        <v>930</v>
      </c>
      <c r="J29" s="447">
        <v>107880</v>
      </c>
      <c r="K29" s="444">
        <v>0.69761125696770609</v>
      </c>
      <c r="L29" s="444">
        <v>116</v>
      </c>
      <c r="M29" s="447">
        <v>767</v>
      </c>
      <c r="N29" s="447">
        <v>88972</v>
      </c>
      <c r="O29" s="471">
        <v>0.57534175709057045</v>
      </c>
      <c r="P29" s="448">
        <v>116</v>
      </c>
    </row>
    <row r="30" spans="1:16" ht="14.4" customHeight="1" x14ac:dyDescent="0.3">
      <c r="A30" s="443" t="s">
        <v>1091</v>
      </c>
      <c r="B30" s="444" t="s">
        <v>1112</v>
      </c>
      <c r="C30" s="444" t="s">
        <v>1140</v>
      </c>
      <c r="D30" s="444" t="s">
        <v>1141</v>
      </c>
      <c r="E30" s="447">
        <v>4</v>
      </c>
      <c r="F30" s="447">
        <v>2100</v>
      </c>
      <c r="G30" s="444">
        <v>1</v>
      </c>
      <c r="H30" s="444">
        <v>525</v>
      </c>
      <c r="I30" s="447">
        <v>2</v>
      </c>
      <c r="J30" s="447">
        <v>1054</v>
      </c>
      <c r="K30" s="444">
        <v>0.50190476190476185</v>
      </c>
      <c r="L30" s="444">
        <v>527</v>
      </c>
      <c r="M30" s="447">
        <v>8</v>
      </c>
      <c r="N30" s="447">
        <v>4216</v>
      </c>
      <c r="O30" s="471">
        <v>2.0076190476190474</v>
      </c>
      <c r="P30" s="448">
        <v>527</v>
      </c>
    </row>
    <row r="31" spans="1:16" ht="14.4" customHeight="1" x14ac:dyDescent="0.3">
      <c r="A31" s="443" t="s">
        <v>1091</v>
      </c>
      <c r="B31" s="444" t="s">
        <v>1112</v>
      </c>
      <c r="C31" s="444" t="s">
        <v>1142</v>
      </c>
      <c r="D31" s="444" t="s">
        <v>1143</v>
      </c>
      <c r="E31" s="447"/>
      <c r="F31" s="447"/>
      <c r="G31" s="444"/>
      <c r="H31" s="444"/>
      <c r="I31" s="447"/>
      <c r="J31" s="447"/>
      <c r="K31" s="444"/>
      <c r="L31" s="444"/>
      <c r="M31" s="447">
        <v>1</v>
      </c>
      <c r="N31" s="447">
        <v>1481</v>
      </c>
      <c r="O31" s="471"/>
      <c r="P31" s="448">
        <v>1481</v>
      </c>
    </row>
    <row r="32" spans="1:16" ht="14.4" customHeight="1" x14ac:dyDescent="0.3">
      <c r="A32" s="443" t="s">
        <v>1091</v>
      </c>
      <c r="B32" s="444" t="s">
        <v>1112</v>
      </c>
      <c r="C32" s="444" t="s">
        <v>1144</v>
      </c>
      <c r="D32" s="444" t="s">
        <v>1145</v>
      </c>
      <c r="E32" s="447">
        <v>50</v>
      </c>
      <c r="F32" s="447">
        <v>23950</v>
      </c>
      <c r="G32" s="444">
        <v>1</v>
      </c>
      <c r="H32" s="444">
        <v>479</v>
      </c>
      <c r="I32" s="447">
        <v>86</v>
      </c>
      <c r="J32" s="447">
        <v>41366</v>
      </c>
      <c r="K32" s="444">
        <v>1.7271816283924843</v>
      </c>
      <c r="L32" s="444">
        <v>481</v>
      </c>
      <c r="M32" s="447">
        <v>81</v>
      </c>
      <c r="N32" s="447">
        <v>38961</v>
      </c>
      <c r="O32" s="471">
        <v>1.6267640918580375</v>
      </c>
      <c r="P32" s="448">
        <v>481</v>
      </c>
    </row>
    <row r="33" spans="1:16" ht="14.4" customHeight="1" x14ac:dyDescent="0.3">
      <c r="A33" s="443" t="s">
        <v>1091</v>
      </c>
      <c r="B33" s="444" t="s">
        <v>1112</v>
      </c>
      <c r="C33" s="444" t="s">
        <v>1146</v>
      </c>
      <c r="D33" s="444" t="s">
        <v>1147</v>
      </c>
      <c r="E33" s="447">
        <v>87</v>
      </c>
      <c r="F33" s="447">
        <v>57072</v>
      </c>
      <c r="G33" s="444">
        <v>1</v>
      </c>
      <c r="H33" s="444">
        <v>656</v>
      </c>
      <c r="I33" s="447">
        <v>62</v>
      </c>
      <c r="J33" s="447">
        <v>40858</v>
      </c>
      <c r="K33" s="444">
        <v>0.71590271937202132</v>
      </c>
      <c r="L33" s="444">
        <v>659</v>
      </c>
      <c r="M33" s="447">
        <v>96</v>
      </c>
      <c r="N33" s="447">
        <v>63264</v>
      </c>
      <c r="O33" s="471">
        <v>1.1084945332211942</v>
      </c>
      <c r="P33" s="448">
        <v>659</v>
      </c>
    </row>
    <row r="34" spans="1:16" ht="14.4" customHeight="1" x14ac:dyDescent="0.3">
      <c r="A34" s="443" t="s">
        <v>1091</v>
      </c>
      <c r="B34" s="444" t="s">
        <v>1112</v>
      </c>
      <c r="C34" s="444" t="s">
        <v>1148</v>
      </c>
      <c r="D34" s="444" t="s">
        <v>1149</v>
      </c>
      <c r="E34" s="447">
        <v>43</v>
      </c>
      <c r="F34" s="447">
        <v>42871</v>
      </c>
      <c r="G34" s="444">
        <v>1</v>
      </c>
      <c r="H34" s="444">
        <v>997</v>
      </c>
      <c r="I34" s="447">
        <v>88</v>
      </c>
      <c r="J34" s="447">
        <v>88088</v>
      </c>
      <c r="K34" s="444">
        <v>2.0547223064542464</v>
      </c>
      <c r="L34" s="444">
        <v>1001</v>
      </c>
      <c r="M34" s="447">
        <v>73</v>
      </c>
      <c r="N34" s="447">
        <v>73073</v>
      </c>
      <c r="O34" s="471">
        <v>1.7044855496722726</v>
      </c>
      <c r="P34" s="448">
        <v>1001</v>
      </c>
    </row>
    <row r="35" spans="1:16" ht="14.4" customHeight="1" x14ac:dyDescent="0.3">
      <c r="A35" s="443" t="s">
        <v>1091</v>
      </c>
      <c r="B35" s="444" t="s">
        <v>1112</v>
      </c>
      <c r="C35" s="444" t="s">
        <v>1150</v>
      </c>
      <c r="D35" s="444" t="s">
        <v>1151</v>
      </c>
      <c r="E35" s="447">
        <v>2</v>
      </c>
      <c r="F35" s="447">
        <v>3986</v>
      </c>
      <c r="G35" s="444">
        <v>1</v>
      </c>
      <c r="H35" s="444">
        <v>1993</v>
      </c>
      <c r="I35" s="447">
        <v>6</v>
      </c>
      <c r="J35" s="447">
        <v>12000</v>
      </c>
      <c r="K35" s="444">
        <v>3.0105368790767688</v>
      </c>
      <c r="L35" s="444">
        <v>2000</v>
      </c>
      <c r="M35" s="447">
        <v>7</v>
      </c>
      <c r="N35" s="447">
        <v>14000</v>
      </c>
      <c r="O35" s="471">
        <v>3.5122930255895635</v>
      </c>
      <c r="P35" s="448">
        <v>2000</v>
      </c>
    </row>
    <row r="36" spans="1:16" ht="14.4" customHeight="1" x14ac:dyDescent="0.3">
      <c r="A36" s="443" t="s">
        <v>1091</v>
      </c>
      <c r="B36" s="444" t="s">
        <v>1112</v>
      </c>
      <c r="C36" s="444" t="s">
        <v>1152</v>
      </c>
      <c r="D36" s="444" t="s">
        <v>1153</v>
      </c>
      <c r="E36" s="447">
        <v>2</v>
      </c>
      <c r="F36" s="447">
        <v>2408</v>
      </c>
      <c r="G36" s="444">
        <v>1</v>
      </c>
      <c r="H36" s="444">
        <v>1204</v>
      </c>
      <c r="I36" s="447">
        <v>1</v>
      </c>
      <c r="J36" s="447">
        <v>1213</v>
      </c>
      <c r="K36" s="444">
        <v>0.50373754152823924</v>
      </c>
      <c r="L36" s="444">
        <v>1213</v>
      </c>
      <c r="M36" s="447">
        <v>1</v>
      </c>
      <c r="N36" s="447">
        <v>1213</v>
      </c>
      <c r="O36" s="471">
        <v>0.50373754152823924</v>
      </c>
      <c r="P36" s="448">
        <v>1213</v>
      </c>
    </row>
    <row r="37" spans="1:16" ht="14.4" customHeight="1" x14ac:dyDescent="0.3">
      <c r="A37" s="443" t="s">
        <v>1091</v>
      </c>
      <c r="B37" s="444" t="s">
        <v>1112</v>
      </c>
      <c r="C37" s="444" t="s">
        <v>1154</v>
      </c>
      <c r="D37" s="444" t="s">
        <v>1155</v>
      </c>
      <c r="E37" s="447"/>
      <c r="F37" s="447"/>
      <c r="G37" s="444"/>
      <c r="H37" s="444"/>
      <c r="I37" s="447">
        <v>5</v>
      </c>
      <c r="J37" s="447">
        <v>4660</v>
      </c>
      <c r="K37" s="444"/>
      <c r="L37" s="444">
        <v>932</v>
      </c>
      <c r="M37" s="447">
        <v>6</v>
      </c>
      <c r="N37" s="447">
        <v>5592</v>
      </c>
      <c r="O37" s="471"/>
      <c r="P37" s="448">
        <v>932</v>
      </c>
    </row>
    <row r="38" spans="1:16" ht="14.4" customHeight="1" x14ac:dyDescent="0.3">
      <c r="A38" s="443" t="s">
        <v>1091</v>
      </c>
      <c r="B38" s="444" t="s">
        <v>1112</v>
      </c>
      <c r="C38" s="444" t="s">
        <v>1156</v>
      </c>
      <c r="D38" s="444" t="s">
        <v>1157</v>
      </c>
      <c r="E38" s="447">
        <v>4</v>
      </c>
      <c r="F38" s="447">
        <v>6480</v>
      </c>
      <c r="G38" s="444">
        <v>1</v>
      </c>
      <c r="H38" s="444">
        <v>1620</v>
      </c>
      <c r="I38" s="447">
        <v>2</v>
      </c>
      <c r="J38" s="447">
        <v>3250</v>
      </c>
      <c r="K38" s="444">
        <v>0.50154320987654322</v>
      </c>
      <c r="L38" s="444">
        <v>1625</v>
      </c>
      <c r="M38" s="447">
        <v>5</v>
      </c>
      <c r="N38" s="447">
        <v>8125</v>
      </c>
      <c r="O38" s="471">
        <v>1.253858024691358</v>
      </c>
      <c r="P38" s="448">
        <v>1625</v>
      </c>
    </row>
    <row r="39" spans="1:16" ht="14.4" customHeight="1" x14ac:dyDescent="0.3">
      <c r="A39" s="443" t="s">
        <v>1091</v>
      </c>
      <c r="B39" s="444" t="s">
        <v>1112</v>
      </c>
      <c r="C39" s="444" t="s">
        <v>1158</v>
      </c>
      <c r="D39" s="444" t="s">
        <v>1159</v>
      </c>
      <c r="E39" s="447">
        <v>3</v>
      </c>
      <c r="F39" s="447">
        <v>3948</v>
      </c>
      <c r="G39" s="444">
        <v>1</v>
      </c>
      <c r="H39" s="444">
        <v>1316</v>
      </c>
      <c r="I39" s="447">
        <v>3</v>
      </c>
      <c r="J39" s="447">
        <v>3969</v>
      </c>
      <c r="K39" s="444">
        <v>1.0053191489361701</v>
      </c>
      <c r="L39" s="444">
        <v>1323</v>
      </c>
      <c r="M39" s="447">
        <v>2</v>
      </c>
      <c r="N39" s="447">
        <v>2646</v>
      </c>
      <c r="O39" s="471">
        <v>0.67021276595744683</v>
      </c>
      <c r="P39" s="448">
        <v>1323</v>
      </c>
    </row>
    <row r="40" spans="1:16" ht="14.4" customHeight="1" x14ac:dyDescent="0.3">
      <c r="A40" s="443" t="s">
        <v>1091</v>
      </c>
      <c r="B40" s="444" t="s">
        <v>1112</v>
      </c>
      <c r="C40" s="444" t="s">
        <v>1160</v>
      </c>
      <c r="D40" s="444" t="s">
        <v>1161</v>
      </c>
      <c r="E40" s="447">
        <v>2</v>
      </c>
      <c r="F40" s="447">
        <v>2988</v>
      </c>
      <c r="G40" s="444">
        <v>1</v>
      </c>
      <c r="H40" s="444">
        <v>1494</v>
      </c>
      <c r="I40" s="447">
        <v>2</v>
      </c>
      <c r="J40" s="447">
        <v>2998</v>
      </c>
      <c r="K40" s="444">
        <v>1.0033467202141901</v>
      </c>
      <c r="L40" s="444">
        <v>1499</v>
      </c>
      <c r="M40" s="447">
        <v>3</v>
      </c>
      <c r="N40" s="447">
        <v>4497</v>
      </c>
      <c r="O40" s="471">
        <v>1.5050200803212852</v>
      </c>
      <c r="P40" s="448">
        <v>1499</v>
      </c>
    </row>
    <row r="41" spans="1:16" ht="14.4" customHeight="1" x14ac:dyDescent="0.3">
      <c r="A41" s="443" t="s">
        <v>1091</v>
      </c>
      <c r="B41" s="444" t="s">
        <v>1112</v>
      </c>
      <c r="C41" s="444" t="s">
        <v>1162</v>
      </c>
      <c r="D41" s="444" t="s">
        <v>1163</v>
      </c>
      <c r="E41" s="447"/>
      <c r="F41" s="447"/>
      <c r="G41" s="444"/>
      <c r="H41" s="444"/>
      <c r="I41" s="447">
        <v>3</v>
      </c>
      <c r="J41" s="447">
        <v>1236</v>
      </c>
      <c r="K41" s="444"/>
      <c r="L41" s="444">
        <v>412</v>
      </c>
      <c r="M41" s="447"/>
      <c r="N41" s="447"/>
      <c r="O41" s="471"/>
      <c r="P41" s="448"/>
    </row>
    <row r="42" spans="1:16" ht="14.4" customHeight="1" x14ac:dyDescent="0.3">
      <c r="A42" s="443" t="s">
        <v>1091</v>
      </c>
      <c r="B42" s="444" t="s">
        <v>1112</v>
      </c>
      <c r="C42" s="444" t="s">
        <v>1164</v>
      </c>
      <c r="D42" s="444" t="s">
        <v>1165</v>
      </c>
      <c r="E42" s="447">
        <v>1</v>
      </c>
      <c r="F42" s="447">
        <v>2189</v>
      </c>
      <c r="G42" s="444">
        <v>1</v>
      </c>
      <c r="H42" s="444">
        <v>2189</v>
      </c>
      <c r="I42" s="447"/>
      <c r="J42" s="447"/>
      <c r="K42" s="444"/>
      <c r="L42" s="444"/>
      <c r="M42" s="447"/>
      <c r="N42" s="447"/>
      <c r="O42" s="471"/>
      <c r="P42" s="448"/>
    </row>
    <row r="43" spans="1:16" ht="14.4" customHeight="1" x14ac:dyDescent="0.3">
      <c r="A43" s="443" t="s">
        <v>1091</v>
      </c>
      <c r="B43" s="444" t="s">
        <v>1112</v>
      </c>
      <c r="C43" s="444" t="s">
        <v>1166</v>
      </c>
      <c r="D43" s="444" t="s">
        <v>1167</v>
      </c>
      <c r="E43" s="447"/>
      <c r="F43" s="447"/>
      <c r="G43" s="444"/>
      <c r="H43" s="444"/>
      <c r="I43" s="447"/>
      <c r="J43" s="447"/>
      <c r="K43" s="444"/>
      <c r="L43" s="444"/>
      <c r="M43" s="447">
        <v>1</v>
      </c>
      <c r="N43" s="447">
        <v>932</v>
      </c>
      <c r="O43" s="471"/>
      <c r="P43" s="448">
        <v>932</v>
      </c>
    </row>
    <row r="44" spans="1:16" ht="14.4" customHeight="1" x14ac:dyDescent="0.3">
      <c r="A44" s="443" t="s">
        <v>1091</v>
      </c>
      <c r="B44" s="444" t="s">
        <v>1112</v>
      </c>
      <c r="C44" s="444" t="s">
        <v>1168</v>
      </c>
      <c r="D44" s="444" t="s">
        <v>1169</v>
      </c>
      <c r="E44" s="447">
        <v>2</v>
      </c>
      <c r="F44" s="447">
        <v>1478</v>
      </c>
      <c r="G44" s="444">
        <v>1</v>
      </c>
      <c r="H44" s="444">
        <v>739</v>
      </c>
      <c r="I44" s="447"/>
      <c r="J44" s="447"/>
      <c r="K44" s="444"/>
      <c r="L44" s="444"/>
      <c r="M44" s="447"/>
      <c r="N44" s="447"/>
      <c r="O44" s="471"/>
      <c r="P44" s="448"/>
    </row>
    <row r="45" spans="1:16" ht="14.4" customHeight="1" x14ac:dyDescent="0.3">
      <c r="A45" s="443" t="s">
        <v>1091</v>
      </c>
      <c r="B45" s="444" t="s">
        <v>1112</v>
      </c>
      <c r="C45" s="444" t="s">
        <v>1170</v>
      </c>
      <c r="D45" s="444" t="s">
        <v>1171</v>
      </c>
      <c r="E45" s="447"/>
      <c r="F45" s="447"/>
      <c r="G45" s="444"/>
      <c r="H45" s="444"/>
      <c r="I45" s="447"/>
      <c r="J45" s="447"/>
      <c r="K45" s="444"/>
      <c r="L45" s="444"/>
      <c r="M45" s="447">
        <v>1</v>
      </c>
      <c r="N45" s="447">
        <v>155</v>
      </c>
      <c r="O45" s="471"/>
      <c r="P45" s="448">
        <v>155</v>
      </c>
    </row>
    <row r="46" spans="1:16" ht="14.4" customHeight="1" x14ac:dyDescent="0.3">
      <c r="A46" s="443" t="s">
        <v>1091</v>
      </c>
      <c r="B46" s="444" t="s">
        <v>1112</v>
      </c>
      <c r="C46" s="444" t="s">
        <v>1172</v>
      </c>
      <c r="D46" s="444" t="s">
        <v>1173</v>
      </c>
      <c r="E46" s="447">
        <v>3</v>
      </c>
      <c r="F46" s="447">
        <v>0</v>
      </c>
      <c r="G46" s="444"/>
      <c r="H46" s="444">
        <v>0</v>
      </c>
      <c r="I46" s="447">
        <v>4</v>
      </c>
      <c r="J46" s="447">
        <v>0</v>
      </c>
      <c r="K46" s="444"/>
      <c r="L46" s="444">
        <v>0</v>
      </c>
      <c r="M46" s="447">
        <v>2</v>
      </c>
      <c r="N46" s="447">
        <v>0</v>
      </c>
      <c r="O46" s="471"/>
      <c r="P46" s="448">
        <v>0</v>
      </c>
    </row>
    <row r="47" spans="1:16" ht="14.4" customHeight="1" x14ac:dyDescent="0.3">
      <c r="A47" s="443" t="s">
        <v>1091</v>
      </c>
      <c r="B47" s="444" t="s">
        <v>1112</v>
      </c>
      <c r="C47" s="444" t="s">
        <v>1174</v>
      </c>
      <c r="D47" s="444" t="s">
        <v>1175</v>
      </c>
      <c r="E47" s="447"/>
      <c r="F47" s="447"/>
      <c r="G47" s="444"/>
      <c r="H47" s="444"/>
      <c r="I47" s="447">
        <v>1</v>
      </c>
      <c r="J47" s="447">
        <v>344</v>
      </c>
      <c r="K47" s="444"/>
      <c r="L47" s="444">
        <v>344</v>
      </c>
      <c r="M47" s="447"/>
      <c r="N47" s="447"/>
      <c r="O47" s="471"/>
      <c r="P47" s="448"/>
    </row>
    <row r="48" spans="1:16" ht="14.4" customHeight="1" x14ac:dyDescent="0.3">
      <c r="A48" s="443" t="s">
        <v>1091</v>
      </c>
      <c r="B48" s="444" t="s">
        <v>1112</v>
      </c>
      <c r="C48" s="444" t="s">
        <v>1176</v>
      </c>
      <c r="D48" s="444" t="s">
        <v>1177</v>
      </c>
      <c r="E48" s="447">
        <v>939</v>
      </c>
      <c r="F48" s="447">
        <v>0</v>
      </c>
      <c r="G48" s="444"/>
      <c r="H48" s="444">
        <v>0</v>
      </c>
      <c r="I48" s="447">
        <v>948</v>
      </c>
      <c r="J48" s="447">
        <v>0</v>
      </c>
      <c r="K48" s="444"/>
      <c r="L48" s="444">
        <v>0</v>
      </c>
      <c r="M48" s="447">
        <v>812</v>
      </c>
      <c r="N48" s="447">
        <v>0</v>
      </c>
      <c r="O48" s="471"/>
      <c r="P48" s="448">
        <v>0</v>
      </c>
    </row>
    <row r="49" spans="1:16" ht="14.4" customHeight="1" x14ac:dyDescent="0.3">
      <c r="A49" s="443" t="s">
        <v>1091</v>
      </c>
      <c r="B49" s="444" t="s">
        <v>1112</v>
      </c>
      <c r="C49" s="444" t="s">
        <v>1178</v>
      </c>
      <c r="D49" s="444" t="s">
        <v>1179</v>
      </c>
      <c r="E49" s="447">
        <v>1</v>
      </c>
      <c r="F49" s="447">
        <v>0</v>
      </c>
      <c r="G49" s="444"/>
      <c r="H49" s="444">
        <v>0</v>
      </c>
      <c r="I49" s="447"/>
      <c r="J49" s="447"/>
      <c r="K49" s="444"/>
      <c r="L49" s="444"/>
      <c r="M49" s="447">
        <v>1</v>
      </c>
      <c r="N49" s="447">
        <v>0</v>
      </c>
      <c r="O49" s="471"/>
      <c r="P49" s="448">
        <v>0</v>
      </c>
    </row>
    <row r="50" spans="1:16" ht="14.4" customHeight="1" x14ac:dyDescent="0.3">
      <c r="A50" s="443" t="s">
        <v>1091</v>
      </c>
      <c r="B50" s="444" t="s">
        <v>1112</v>
      </c>
      <c r="C50" s="444" t="s">
        <v>1180</v>
      </c>
      <c r="D50" s="444" t="s">
        <v>1181</v>
      </c>
      <c r="E50" s="447"/>
      <c r="F50" s="447"/>
      <c r="G50" s="444"/>
      <c r="H50" s="444"/>
      <c r="I50" s="447"/>
      <c r="J50" s="447"/>
      <c r="K50" s="444"/>
      <c r="L50" s="444"/>
      <c r="M50" s="447">
        <v>75</v>
      </c>
      <c r="N50" s="447">
        <v>7950</v>
      </c>
      <c r="O50" s="471"/>
      <c r="P50" s="448">
        <v>106</v>
      </c>
    </row>
    <row r="51" spans="1:16" ht="14.4" customHeight="1" x14ac:dyDescent="0.3">
      <c r="A51" s="443" t="s">
        <v>1091</v>
      </c>
      <c r="B51" s="444" t="s">
        <v>1112</v>
      </c>
      <c r="C51" s="444" t="s">
        <v>1182</v>
      </c>
      <c r="D51" s="444" t="s">
        <v>1183</v>
      </c>
      <c r="E51" s="447">
        <v>179</v>
      </c>
      <c r="F51" s="447">
        <v>13425</v>
      </c>
      <c r="G51" s="444">
        <v>1</v>
      </c>
      <c r="H51" s="444">
        <v>75</v>
      </c>
      <c r="I51" s="447">
        <v>217</v>
      </c>
      <c r="J51" s="447">
        <v>17577</v>
      </c>
      <c r="K51" s="444">
        <v>1.3092737430167598</v>
      </c>
      <c r="L51" s="444">
        <v>81</v>
      </c>
      <c r="M51" s="447">
        <v>215</v>
      </c>
      <c r="N51" s="447">
        <v>17415</v>
      </c>
      <c r="O51" s="471">
        <v>1.2972067039106145</v>
      </c>
      <c r="P51" s="448">
        <v>81</v>
      </c>
    </row>
    <row r="52" spans="1:16" ht="14.4" customHeight="1" x14ac:dyDescent="0.3">
      <c r="A52" s="443" t="s">
        <v>1091</v>
      </c>
      <c r="B52" s="444" t="s">
        <v>1112</v>
      </c>
      <c r="C52" s="444" t="s">
        <v>1184</v>
      </c>
      <c r="D52" s="444" t="s">
        <v>1185</v>
      </c>
      <c r="E52" s="447">
        <v>2</v>
      </c>
      <c r="F52" s="447">
        <v>38</v>
      </c>
      <c r="G52" s="444">
        <v>1</v>
      </c>
      <c r="H52" s="444">
        <v>19</v>
      </c>
      <c r="I52" s="447">
        <v>1</v>
      </c>
      <c r="J52" s="447">
        <v>30</v>
      </c>
      <c r="K52" s="444">
        <v>0.78947368421052633</v>
      </c>
      <c r="L52" s="444">
        <v>30</v>
      </c>
      <c r="M52" s="447"/>
      <c r="N52" s="447"/>
      <c r="O52" s="471"/>
      <c r="P52" s="448"/>
    </row>
    <row r="53" spans="1:16" ht="14.4" customHeight="1" x14ac:dyDescent="0.3">
      <c r="A53" s="443" t="s">
        <v>1091</v>
      </c>
      <c r="B53" s="444" t="s">
        <v>1112</v>
      </c>
      <c r="C53" s="444" t="s">
        <v>1186</v>
      </c>
      <c r="D53" s="444" t="s">
        <v>1187</v>
      </c>
      <c r="E53" s="447">
        <v>26</v>
      </c>
      <c r="F53" s="447">
        <v>0</v>
      </c>
      <c r="G53" s="444"/>
      <c r="H53" s="444">
        <v>0</v>
      </c>
      <c r="I53" s="447">
        <v>5</v>
      </c>
      <c r="J53" s="447">
        <v>0</v>
      </c>
      <c r="K53" s="444"/>
      <c r="L53" s="444">
        <v>0</v>
      </c>
      <c r="M53" s="447">
        <v>2</v>
      </c>
      <c r="N53" s="447">
        <v>0</v>
      </c>
      <c r="O53" s="471"/>
      <c r="P53" s="448">
        <v>0</v>
      </c>
    </row>
    <row r="54" spans="1:16" ht="14.4" customHeight="1" x14ac:dyDescent="0.3">
      <c r="A54" s="443" t="s">
        <v>1091</v>
      </c>
      <c r="B54" s="444" t="s">
        <v>1112</v>
      </c>
      <c r="C54" s="444" t="s">
        <v>1188</v>
      </c>
      <c r="D54" s="444" t="s">
        <v>1189</v>
      </c>
      <c r="E54" s="447">
        <v>71</v>
      </c>
      <c r="F54" s="447">
        <v>34222</v>
      </c>
      <c r="G54" s="444">
        <v>1</v>
      </c>
      <c r="H54" s="444">
        <v>482</v>
      </c>
      <c r="I54" s="447">
        <v>17</v>
      </c>
      <c r="J54" s="447">
        <v>8245</v>
      </c>
      <c r="K54" s="444">
        <v>0.24092688913564375</v>
      </c>
      <c r="L54" s="444">
        <v>485</v>
      </c>
      <c r="M54" s="447">
        <v>26</v>
      </c>
      <c r="N54" s="447">
        <v>12610</v>
      </c>
      <c r="O54" s="471">
        <v>0.36847641867804337</v>
      </c>
      <c r="P54" s="448">
        <v>485</v>
      </c>
    </row>
    <row r="55" spans="1:16" ht="14.4" customHeight="1" x14ac:dyDescent="0.3">
      <c r="A55" s="443" t="s">
        <v>1091</v>
      </c>
      <c r="B55" s="444" t="s">
        <v>1112</v>
      </c>
      <c r="C55" s="444" t="s">
        <v>1190</v>
      </c>
      <c r="D55" s="444" t="s">
        <v>1191</v>
      </c>
      <c r="E55" s="447">
        <v>21</v>
      </c>
      <c r="F55" s="447">
        <v>4200</v>
      </c>
      <c r="G55" s="444">
        <v>1</v>
      </c>
      <c r="H55" s="444">
        <v>200</v>
      </c>
      <c r="I55" s="447"/>
      <c r="J55" s="447"/>
      <c r="K55" s="444"/>
      <c r="L55" s="444"/>
      <c r="M55" s="447"/>
      <c r="N55" s="447"/>
      <c r="O55" s="471"/>
      <c r="P55" s="448"/>
    </row>
    <row r="56" spans="1:16" ht="14.4" customHeight="1" x14ac:dyDescent="0.3">
      <c r="A56" s="443" t="s">
        <v>1091</v>
      </c>
      <c r="B56" s="444" t="s">
        <v>1112</v>
      </c>
      <c r="C56" s="444" t="s">
        <v>1192</v>
      </c>
      <c r="D56" s="444" t="s">
        <v>1193</v>
      </c>
      <c r="E56" s="447"/>
      <c r="F56" s="447"/>
      <c r="G56" s="444"/>
      <c r="H56" s="444"/>
      <c r="I56" s="447"/>
      <c r="J56" s="447"/>
      <c r="K56" s="444"/>
      <c r="L56" s="444"/>
      <c r="M56" s="447">
        <v>1</v>
      </c>
      <c r="N56" s="447">
        <v>69</v>
      </c>
      <c r="O56" s="471"/>
      <c r="P56" s="448">
        <v>69</v>
      </c>
    </row>
    <row r="57" spans="1:16" ht="14.4" customHeight="1" x14ac:dyDescent="0.3">
      <c r="A57" s="443" t="s">
        <v>1091</v>
      </c>
      <c r="B57" s="444" t="s">
        <v>1112</v>
      </c>
      <c r="C57" s="444" t="s">
        <v>1194</v>
      </c>
      <c r="D57" s="444" t="s">
        <v>1195</v>
      </c>
      <c r="E57" s="447">
        <v>8</v>
      </c>
      <c r="F57" s="447">
        <v>688</v>
      </c>
      <c r="G57" s="444">
        <v>1</v>
      </c>
      <c r="H57" s="444">
        <v>86</v>
      </c>
      <c r="I57" s="447">
        <v>11</v>
      </c>
      <c r="J57" s="447">
        <v>946</v>
      </c>
      <c r="K57" s="444">
        <v>1.375</v>
      </c>
      <c r="L57" s="444">
        <v>86</v>
      </c>
      <c r="M57" s="447">
        <v>10</v>
      </c>
      <c r="N57" s="447">
        <v>860</v>
      </c>
      <c r="O57" s="471">
        <v>1.25</v>
      </c>
      <c r="P57" s="448">
        <v>86</v>
      </c>
    </row>
    <row r="58" spans="1:16" ht="14.4" customHeight="1" x14ac:dyDescent="0.3">
      <c r="A58" s="443" t="s">
        <v>1091</v>
      </c>
      <c r="B58" s="444" t="s">
        <v>1112</v>
      </c>
      <c r="C58" s="444" t="s">
        <v>1196</v>
      </c>
      <c r="D58" s="444" t="s">
        <v>1197</v>
      </c>
      <c r="E58" s="447"/>
      <c r="F58" s="447"/>
      <c r="G58" s="444"/>
      <c r="H58" s="444"/>
      <c r="I58" s="447">
        <v>2</v>
      </c>
      <c r="J58" s="447">
        <v>862</v>
      </c>
      <c r="K58" s="444"/>
      <c r="L58" s="444">
        <v>431</v>
      </c>
      <c r="M58" s="447"/>
      <c r="N58" s="447"/>
      <c r="O58" s="471"/>
      <c r="P58" s="448"/>
    </row>
    <row r="59" spans="1:16" ht="14.4" customHeight="1" x14ac:dyDescent="0.3">
      <c r="A59" s="443" t="s">
        <v>1091</v>
      </c>
      <c r="B59" s="444" t="s">
        <v>1112</v>
      </c>
      <c r="C59" s="444" t="s">
        <v>1198</v>
      </c>
      <c r="D59" s="444" t="s">
        <v>1199</v>
      </c>
      <c r="E59" s="447">
        <v>1</v>
      </c>
      <c r="F59" s="447">
        <v>690</v>
      </c>
      <c r="G59" s="444">
        <v>1</v>
      </c>
      <c r="H59" s="444">
        <v>690</v>
      </c>
      <c r="I59" s="447">
        <v>2</v>
      </c>
      <c r="J59" s="447">
        <v>1388</v>
      </c>
      <c r="K59" s="444">
        <v>2.0115942028985505</v>
      </c>
      <c r="L59" s="444">
        <v>694</v>
      </c>
      <c r="M59" s="447">
        <v>2</v>
      </c>
      <c r="N59" s="447">
        <v>1388</v>
      </c>
      <c r="O59" s="471">
        <v>2.0115942028985505</v>
      </c>
      <c r="P59" s="448">
        <v>694</v>
      </c>
    </row>
    <row r="60" spans="1:16" ht="14.4" customHeight="1" x14ac:dyDescent="0.3">
      <c r="A60" s="443" t="s">
        <v>1091</v>
      </c>
      <c r="B60" s="444" t="s">
        <v>1112</v>
      </c>
      <c r="C60" s="444" t="s">
        <v>1200</v>
      </c>
      <c r="D60" s="444" t="s">
        <v>1201</v>
      </c>
      <c r="E60" s="447">
        <v>19</v>
      </c>
      <c r="F60" s="447">
        <v>19760</v>
      </c>
      <c r="G60" s="444">
        <v>1</v>
      </c>
      <c r="H60" s="444">
        <v>1040</v>
      </c>
      <c r="I60" s="447">
        <v>28</v>
      </c>
      <c r="J60" s="447">
        <v>29204</v>
      </c>
      <c r="K60" s="444">
        <v>1.4779352226720648</v>
      </c>
      <c r="L60" s="444">
        <v>1043</v>
      </c>
      <c r="M60" s="447">
        <v>9</v>
      </c>
      <c r="N60" s="447">
        <v>9387</v>
      </c>
      <c r="O60" s="471">
        <v>0.47505060728744941</v>
      </c>
      <c r="P60" s="448">
        <v>1043</v>
      </c>
    </row>
    <row r="61" spans="1:16" ht="14.4" customHeight="1" x14ac:dyDescent="0.3">
      <c r="A61" s="443" t="s">
        <v>1091</v>
      </c>
      <c r="B61" s="444" t="s">
        <v>1112</v>
      </c>
      <c r="C61" s="444" t="s">
        <v>1202</v>
      </c>
      <c r="D61" s="444" t="s">
        <v>1203</v>
      </c>
      <c r="E61" s="447"/>
      <c r="F61" s="447"/>
      <c r="G61" s="444"/>
      <c r="H61" s="444"/>
      <c r="I61" s="447">
        <v>1</v>
      </c>
      <c r="J61" s="447">
        <v>118</v>
      </c>
      <c r="K61" s="444"/>
      <c r="L61" s="444">
        <v>118</v>
      </c>
      <c r="M61" s="447">
        <v>2</v>
      </c>
      <c r="N61" s="447">
        <v>236</v>
      </c>
      <c r="O61" s="471"/>
      <c r="P61" s="448">
        <v>118</v>
      </c>
    </row>
    <row r="62" spans="1:16" ht="14.4" customHeight="1" x14ac:dyDescent="0.3">
      <c r="A62" s="443" t="s">
        <v>1091</v>
      </c>
      <c r="B62" s="444" t="s">
        <v>1112</v>
      </c>
      <c r="C62" s="444" t="s">
        <v>1204</v>
      </c>
      <c r="D62" s="444" t="s">
        <v>1205</v>
      </c>
      <c r="E62" s="447">
        <v>6</v>
      </c>
      <c r="F62" s="447">
        <v>4086</v>
      </c>
      <c r="G62" s="444">
        <v>1</v>
      </c>
      <c r="H62" s="444">
        <v>681</v>
      </c>
      <c r="I62" s="447">
        <v>9</v>
      </c>
      <c r="J62" s="447">
        <v>6156</v>
      </c>
      <c r="K62" s="444">
        <v>1.5066079295154184</v>
      </c>
      <c r="L62" s="444">
        <v>684</v>
      </c>
      <c r="M62" s="447">
        <v>8</v>
      </c>
      <c r="N62" s="447">
        <v>5472</v>
      </c>
      <c r="O62" s="471">
        <v>1.3392070484581498</v>
      </c>
      <c r="P62" s="448">
        <v>684</v>
      </c>
    </row>
    <row r="63" spans="1:16" ht="14.4" customHeight="1" x14ac:dyDescent="0.3">
      <c r="A63" s="443" t="s">
        <v>1091</v>
      </c>
      <c r="B63" s="444" t="s">
        <v>1112</v>
      </c>
      <c r="C63" s="444" t="s">
        <v>1206</v>
      </c>
      <c r="D63" s="444" t="s">
        <v>1207</v>
      </c>
      <c r="E63" s="447">
        <v>2</v>
      </c>
      <c r="F63" s="447">
        <v>774</v>
      </c>
      <c r="G63" s="444">
        <v>1</v>
      </c>
      <c r="H63" s="444">
        <v>387</v>
      </c>
      <c r="I63" s="447"/>
      <c r="J63" s="447"/>
      <c r="K63" s="444"/>
      <c r="L63" s="444"/>
      <c r="M63" s="447"/>
      <c r="N63" s="447"/>
      <c r="O63" s="471"/>
      <c r="P63" s="448"/>
    </row>
    <row r="64" spans="1:16" ht="14.4" customHeight="1" x14ac:dyDescent="0.3">
      <c r="A64" s="443" t="s">
        <v>1091</v>
      </c>
      <c r="B64" s="444" t="s">
        <v>1112</v>
      </c>
      <c r="C64" s="444" t="s">
        <v>1208</v>
      </c>
      <c r="D64" s="444" t="s">
        <v>1209</v>
      </c>
      <c r="E64" s="447"/>
      <c r="F64" s="447"/>
      <c r="G64" s="444"/>
      <c r="H64" s="444"/>
      <c r="I64" s="447">
        <v>1</v>
      </c>
      <c r="J64" s="447">
        <v>88</v>
      </c>
      <c r="K64" s="444"/>
      <c r="L64" s="444">
        <v>88</v>
      </c>
      <c r="M64" s="447">
        <v>8</v>
      </c>
      <c r="N64" s="447">
        <v>704</v>
      </c>
      <c r="O64" s="471"/>
      <c r="P64" s="448">
        <v>88</v>
      </c>
    </row>
    <row r="65" spans="1:16" ht="14.4" customHeight="1" x14ac:dyDescent="0.3">
      <c r="A65" s="443" t="s">
        <v>1091</v>
      </c>
      <c r="B65" s="444" t="s">
        <v>1112</v>
      </c>
      <c r="C65" s="444" t="s">
        <v>1210</v>
      </c>
      <c r="D65" s="444" t="s">
        <v>1211</v>
      </c>
      <c r="E65" s="447">
        <v>2</v>
      </c>
      <c r="F65" s="447">
        <v>352</v>
      </c>
      <c r="G65" s="444">
        <v>1</v>
      </c>
      <c r="H65" s="444">
        <v>176</v>
      </c>
      <c r="I65" s="447">
        <v>6</v>
      </c>
      <c r="J65" s="447">
        <v>1062</v>
      </c>
      <c r="K65" s="444">
        <v>3.0170454545454546</v>
      </c>
      <c r="L65" s="444">
        <v>177</v>
      </c>
      <c r="M65" s="447">
        <v>2</v>
      </c>
      <c r="N65" s="447">
        <v>354</v>
      </c>
      <c r="O65" s="471">
        <v>1.0056818181818181</v>
      </c>
      <c r="P65" s="448">
        <v>177</v>
      </c>
    </row>
    <row r="66" spans="1:16" ht="14.4" customHeight="1" x14ac:dyDescent="0.3">
      <c r="A66" s="443" t="s">
        <v>1091</v>
      </c>
      <c r="B66" s="444" t="s">
        <v>1112</v>
      </c>
      <c r="C66" s="444" t="s">
        <v>1212</v>
      </c>
      <c r="D66" s="444" t="s">
        <v>1213</v>
      </c>
      <c r="E66" s="447">
        <v>6</v>
      </c>
      <c r="F66" s="447">
        <v>714</v>
      </c>
      <c r="G66" s="444">
        <v>1</v>
      </c>
      <c r="H66" s="444">
        <v>119</v>
      </c>
      <c r="I66" s="447">
        <v>2</v>
      </c>
      <c r="J66" s="447">
        <v>238</v>
      </c>
      <c r="K66" s="444">
        <v>0.33333333333333331</v>
      </c>
      <c r="L66" s="444">
        <v>119</v>
      </c>
      <c r="M66" s="447">
        <v>2</v>
      </c>
      <c r="N66" s="447">
        <v>238</v>
      </c>
      <c r="O66" s="471">
        <v>0.33333333333333331</v>
      </c>
      <c r="P66" s="448">
        <v>119</v>
      </c>
    </row>
    <row r="67" spans="1:16" ht="14.4" customHeight="1" x14ac:dyDescent="0.3">
      <c r="A67" s="443" t="s">
        <v>1091</v>
      </c>
      <c r="B67" s="444" t="s">
        <v>1112</v>
      </c>
      <c r="C67" s="444" t="s">
        <v>1214</v>
      </c>
      <c r="D67" s="444" t="s">
        <v>1215</v>
      </c>
      <c r="E67" s="447">
        <v>10</v>
      </c>
      <c r="F67" s="447">
        <v>3490</v>
      </c>
      <c r="G67" s="444">
        <v>1</v>
      </c>
      <c r="H67" s="444">
        <v>349</v>
      </c>
      <c r="I67" s="447">
        <v>4</v>
      </c>
      <c r="J67" s="447">
        <v>1404</v>
      </c>
      <c r="K67" s="444">
        <v>0.40229226361031517</v>
      </c>
      <c r="L67" s="444">
        <v>351</v>
      </c>
      <c r="M67" s="447">
        <v>1</v>
      </c>
      <c r="N67" s="447">
        <v>351</v>
      </c>
      <c r="O67" s="471">
        <v>0.10057306590257879</v>
      </c>
      <c r="P67" s="448">
        <v>351</v>
      </c>
    </row>
    <row r="68" spans="1:16" ht="14.4" customHeight="1" x14ac:dyDescent="0.3">
      <c r="A68" s="443" t="s">
        <v>1091</v>
      </c>
      <c r="B68" s="444" t="s">
        <v>1112</v>
      </c>
      <c r="C68" s="444" t="s">
        <v>1216</v>
      </c>
      <c r="D68" s="444" t="s">
        <v>1217</v>
      </c>
      <c r="E68" s="447">
        <v>1</v>
      </c>
      <c r="F68" s="447">
        <v>477</v>
      </c>
      <c r="G68" s="444">
        <v>1</v>
      </c>
      <c r="H68" s="444">
        <v>477</v>
      </c>
      <c r="I68" s="447">
        <v>1</v>
      </c>
      <c r="J68" s="447">
        <v>480</v>
      </c>
      <c r="K68" s="444">
        <v>1.0062893081761006</v>
      </c>
      <c r="L68" s="444">
        <v>480</v>
      </c>
      <c r="M68" s="447"/>
      <c r="N68" s="447"/>
      <c r="O68" s="471"/>
      <c r="P68" s="448"/>
    </row>
    <row r="69" spans="1:16" ht="14.4" customHeight="1" x14ac:dyDescent="0.3">
      <c r="A69" s="443" t="s">
        <v>1091</v>
      </c>
      <c r="B69" s="444" t="s">
        <v>1112</v>
      </c>
      <c r="C69" s="444" t="s">
        <v>1218</v>
      </c>
      <c r="D69" s="444" t="s">
        <v>1219</v>
      </c>
      <c r="E69" s="447">
        <v>7</v>
      </c>
      <c r="F69" s="447">
        <v>4347</v>
      </c>
      <c r="G69" s="444">
        <v>1</v>
      </c>
      <c r="H69" s="444">
        <v>621</v>
      </c>
      <c r="I69" s="447">
        <v>12</v>
      </c>
      <c r="J69" s="447">
        <v>7476</v>
      </c>
      <c r="K69" s="444">
        <v>1.7198067632850242</v>
      </c>
      <c r="L69" s="444">
        <v>623</v>
      </c>
      <c r="M69" s="447">
        <v>4</v>
      </c>
      <c r="N69" s="447">
        <v>2492</v>
      </c>
      <c r="O69" s="471">
        <v>0.57326892109500804</v>
      </c>
      <c r="P69" s="448">
        <v>623</v>
      </c>
    </row>
    <row r="70" spans="1:16" ht="14.4" customHeight="1" x14ac:dyDescent="0.3">
      <c r="A70" s="443" t="s">
        <v>1091</v>
      </c>
      <c r="B70" s="444" t="s">
        <v>1112</v>
      </c>
      <c r="C70" s="444" t="s">
        <v>1220</v>
      </c>
      <c r="D70" s="444" t="s">
        <v>1221</v>
      </c>
      <c r="E70" s="447">
        <v>6</v>
      </c>
      <c r="F70" s="447">
        <v>9402</v>
      </c>
      <c r="G70" s="444">
        <v>1</v>
      </c>
      <c r="H70" s="444">
        <v>1567</v>
      </c>
      <c r="I70" s="447">
        <v>4</v>
      </c>
      <c r="J70" s="447">
        <v>6304</v>
      </c>
      <c r="K70" s="444">
        <v>0.67049563922569666</v>
      </c>
      <c r="L70" s="444">
        <v>1576</v>
      </c>
      <c r="M70" s="447">
        <v>5</v>
      </c>
      <c r="N70" s="447">
        <v>7880</v>
      </c>
      <c r="O70" s="471">
        <v>0.83811954903212083</v>
      </c>
      <c r="P70" s="448">
        <v>1576</v>
      </c>
    </row>
    <row r="71" spans="1:16" ht="14.4" customHeight="1" x14ac:dyDescent="0.3">
      <c r="A71" s="443" t="s">
        <v>1091</v>
      </c>
      <c r="B71" s="444" t="s">
        <v>1112</v>
      </c>
      <c r="C71" s="444" t="s">
        <v>1222</v>
      </c>
      <c r="D71" s="444" t="s">
        <v>1223</v>
      </c>
      <c r="E71" s="447">
        <v>5</v>
      </c>
      <c r="F71" s="447">
        <v>570</v>
      </c>
      <c r="G71" s="444">
        <v>1</v>
      </c>
      <c r="H71" s="444">
        <v>114</v>
      </c>
      <c r="I71" s="447">
        <v>4</v>
      </c>
      <c r="J71" s="447">
        <v>456</v>
      </c>
      <c r="K71" s="444">
        <v>0.8</v>
      </c>
      <c r="L71" s="444">
        <v>114</v>
      </c>
      <c r="M71" s="447">
        <v>9</v>
      </c>
      <c r="N71" s="447">
        <v>1026</v>
      </c>
      <c r="O71" s="471">
        <v>1.8</v>
      </c>
      <c r="P71" s="448">
        <v>114</v>
      </c>
    </row>
    <row r="72" spans="1:16" ht="14.4" customHeight="1" x14ac:dyDescent="0.3">
      <c r="A72" s="443" t="s">
        <v>1091</v>
      </c>
      <c r="B72" s="444" t="s">
        <v>1112</v>
      </c>
      <c r="C72" s="444" t="s">
        <v>1224</v>
      </c>
      <c r="D72" s="444" t="s">
        <v>1225</v>
      </c>
      <c r="E72" s="447">
        <v>31</v>
      </c>
      <c r="F72" s="447">
        <v>6169</v>
      </c>
      <c r="G72" s="444">
        <v>1</v>
      </c>
      <c r="H72" s="444">
        <v>199</v>
      </c>
      <c r="I72" s="447">
        <v>22</v>
      </c>
      <c r="J72" s="447">
        <v>4400</v>
      </c>
      <c r="K72" s="444">
        <v>0.71324363754255149</v>
      </c>
      <c r="L72" s="444">
        <v>200</v>
      </c>
      <c r="M72" s="447">
        <v>22</v>
      </c>
      <c r="N72" s="447">
        <v>4400</v>
      </c>
      <c r="O72" s="471">
        <v>0.71324363754255149</v>
      </c>
      <c r="P72" s="448">
        <v>200</v>
      </c>
    </row>
    <row r="73" spans="1:16" ht="14.4" customHeight="1" x14ac:dyDescent="0.3">
      <c r="A73" s="443" t="s">
        <v>1091</v>
      </c>
      <c r="B73" s="444" t="s">
        <v>1112</v>
      </c>
      <c r="C73" s="444" t="s">
        <v>1226</v>
      </c>
      <c r="D73" s="444" t="s">
        <v>1227</v>
      </c>
      <c r="E73" s="447">
        <v>13</v>
      </c>
      <c r="F73" s="447">
        <v>3120</v>
      </c>
      <c r="G73" s="444">
        <v>1</v>
      </c>
      <c r="H73" s="444">
        <v>240</v>
      </c>
      <c r="I73" s="447">
        <v>22</v>
      </c>
      <c r="J73" s="447">
        <v>5302</v>
      </c>
      <c r="K73" s="444">
        <v>1.6993589743589743</v>
      </c>
      <c r="L73" s="444">
        <v>241</v>
      </c>
      <c r="M73" s="447">
        <v>18</v>
      </c>
      <c r="N73" s="447">
        <v>4338</v>
      </c>
      <c r="O73" s="471">
        <v>1.3903846153846153</v>
      </c>
      <c r="P73" s="448">
        <v>241</v>
      </c>
    </row>
    <row r="74" spans="1:16" ht="14.4" customHeight="1" x14ac:dyDescent="0.3">
      <c r="A74" s="443" t="s">
        <v>1091</v>
      </c>
      <c r="B74" s="444" t="s">
        <v>1112</v>
      </c>
      <c r="C74" s="444" t="s">
        <v>1228</v>
      </c>
      <c r="D74" s="444" t="s">
        <v>1229</v>
      </c>
      <c r="E74" s="447">
        <v>1</v>
      </c>
      <c r="F74" s="447">
        <v>3484</v>
      </c>
      <c r="G74" s="444">
        <v>1</v>
      </c>
      <c r="H74" s="444">
        <v>3484</v>
      </c>
      <c r="I74" s="447">
        <v>11</v>
      </c>
      <c r="J74" s="447">
        <v>38489</v>
      </c>
      <c r="K74" s="444">
        <v>11.04735935706085</v>
      </c>
      <c r="L74" s="444">
        <v>3499</v>
      </c>
      <c r="M74" s="447">
        <v>4</v>
      </c>
      <c r="N74" s="447">
        <v>13996</v>
      </c>
      <c r="O74" s="471">
        <v>4.0172215843857639</v>
      </c>
      <c r="P74" s="448">
        <v>3499</v>
      </c>
    </row>
    <row r="75" spans="1:16" ht="14.4" customHeight="1" x14ac:dyDescent="0.3">
      <c r="A75" s="443" t="s">
        <v>1091</v>
      </c>
      <c r="B75" s="444" t="s">
        <v>1112</v>
      </c>
      <c r="C75" s="444" t="s">
        <v>1230</v>
      </c>
      <c r="D75" s="444" t="s">
        <v>1231</v>
      </c>
      <c r="E75" s="447"/>
      <c r="F75" s="447"/>
      <c r="G75" s="444"/>
      <c r="H75" s="444"/>
      <c r="I75" s="447"/>
      <c r="J75" s="447"/>
      <c r="K75" s="444"/>
      <c r="L75" s="444"/>
      <c r="M75" s="447">
        <v>1</v>
      </c>
      <c r="N75" s="447">
        <v>1653</v>
      </c>
      <c r="O75" s="471"/>
      <c r="P75" s="448">
        <v>1653</v>
      </c>
    </row>
    <row r="76" spans="1:16" ht="14.4" customHeight="1" x14ac:dyDescent="0.3">
      <c r="A76" s="443" t="s">
        <v>1091</v>
      </c>
      <c r="B76" s="444" t="s">
        <v>1112</v>
      </c>
      <c r="C76" s="444" t="s">
        <v>1232</v>
      </c>
      <c r="D76" s="444" t="s">
        <v>1233</v>
      </c>
      <c r="E76" s="447">
        <v>2</v>
      </c>
      <c r="F76" s="447">
        <v>966</v>
      </c>
      <c r="G76" s="444">
        <v>1</v>
      </c>
      <c r="H76" s="444">
        <v>483</v>
      </c>
      <c r="I76" s="447"/>
      <c r="J76" s="447"/>
      <c r="K76" s="444"/>
      <c r="L76" s="444"/>
      <c r="M76" s="447"/>
      <c r="N76" s="447"/>
      <c r="O76" s="471"/>
      <c r="P76" s="448"/>
    </row>
    <row r="77" spans="1:16" ht="14.4" customHeight="1" x14ac:dyDescent="0.3">
      <c r="A77" s="443" t="s">
        <v>1091</v>
      </c>
      <c r="B77" s="444" t="s">
        <v>1112</v>
      </c>
      <c r="C77" s="444" t="s">
        <v>1234</v>
      </c>
      <c r="D77" s="444" t="s">
        <v>1235</v>
      </c>
      <c r="E77" s="447">
        <v>1</v>
      </c>
      <c r="F77" s="447">
        <v>847</v>
      </c>
      <c r="G77" s="444">
        <v>1</v>
      </c>
      <c r="H77" s="444">
        <v>847</v>
      </c>
      <c r="I77" s="447"/>
      <c r="J77" s="447"/>
      <c r="K77" s="444"/>
      <c r="L77" s="444"/>
      <c r="M77" s="447">
        <v>2</v>
      </c>
      <c r="N77" s="447">
        <v>1702</v>
      </c>
      <c r="O77" s="471">
        <v>2.0094451003541911</v>
      </c>
      <c r="P77" s="448">
        <v>851</v>
      </c>
    </row>
    <row r="78" spans="1:16" ht="14.4" customHeight="1" x14ac:dyDescent="0.3">
      <c r="A78" s="443" t="s">
        <v>1091</v>
      </c>
      <c r="B78" s="444" t="s">
        <v>1112</v>
      </c>
      <c r="C78" s="444" t="s">
        <v>1236</v>
      </c>
      <c r="D78" s="444" t="s">
        <v>1237</v>
      </c>
      <c r="E78" s="447">
        <v>1</v>
      </c>
      <c r="F78" s="447">
        <v>80</v>
      </c>
      <c r="G78" s="444">
        <v>1</v>
      </c>
      <c r="H78" s="444">
        <v>80</v>
      </c>
      <c r="I78" s="447"/>
      <c r="J78" s="447"/>
      <c r="K78" s="444"/>
      <c r="L78" s="444"/>
      <c r="M78" s="447"/>
      <c r="N78" s="447"/>
      <c r="O78" s="471"/>
      <c r="P78" s="448"/>
    </row>
    <row r="79" spans="1:16" ht="14.4" customHeight="1" x14ac:dyDescent="0.3">
      <c r="A79" s="443" t="s">
        <v>1091</v>
      </c>
      <c r="B79" s="444" t="s">
        <v>1112</v>
      </c>
      <c r="C79" s="444" t="s">
        <v>1238</v>
      </c>
      <c r="D79" s="444" t="s">
        <v>1239</v>
      </c>
      <c r="E79" s="447"/>
      <c r="F79" s="447"/>
      <c r="G79" s="444"/>
      <c r="H79" s="444"/>
      <c r="I79" s="447">
        <v>1</v>
      </c>
      <c r="J79" s="447">
        <v>300</v>
      </c>
      <c r="K79" s="444"/>
      <c r="L79" s="444">
        <v>300</v>
      </c>
      <c r="M79" s="447"/>
      <c r="N79" s="447"/>
      <c r="O79" s="471"/>
      <c r="P79" s="448"/>
    </row>
    <row r="80" spans="1:16" ht="14.4" customHeight="1" x14ac:dyDescent="0.3">
      <c r="A80" s="443" t="s">
        <v>1091</v>
      </c>
      <c r="B80" s="444" t="s">
        <v>1112</v>
      </c>
      <c r="C80" s="444" t="s">
        <v>1240</v>
      </c>
      <c r="D80" s="444" t="s">
        <v>1241</v>
      </c>
      <c r="E80" s="447">
        <v>1</v>
      </c>
      <c r="F80" s="447">
        <v>308</v>
      </c>
      <c r="G80" s="444">
        <v>1</v>
      </c>
      <c r="H80" s="444">
        <v>308</v>
      </c>
      <c r="I80" s="447">
        <v>1</v>
      </c>
      <c r="J80" s="447">
        <v>311</v>
      </c>
      <c r="K80" s="444">
        <v>1.0097402597402598</v>
      </c>
      <c r="L80" s="444">
        <v>311</v>
      </c>
      <c r="M80" s="447">
        <v>5</v>
      </c>
      <c r="N80" s="447">
        <v>1555</v>
      </c>
      <c r="O80" s="471">
        <v>5.0487012987012987</v>
      </c>
      <c r="P80" s="448">
        <v>311</v>
      </c>
    </row>
    <row r="81" spans="1:16" ht="14.4" customHeight="1" x14ac:dyDescent="0.3">
      <c r="A81" s="443" t="s">
        <v>1091</v>
      </c>
      <c r="B81" s="444" t="s">
        <v>1112</v>
      </c>
      <c r="C81" s="444" t="s">
        <v>1242</v>
      </c>
      <c r="D81" s="444" t="s">
        <v>1243</v>
      </c>
      <c r="E81" s="447">
        <v>1</v>
      </c>
      <c r="F81" s="447">
        <v>988</v>
      </c>
      <c r="G81" s="444">
        <v>1</v>
      </c>
      <c r="H81" s="444">
        <v>988</v>
      </c>
      <c r="I81" s="447">
        <v>3</v>
      </c>
      <c r="J81" s="447">
        <v>2982</v>
      </c>
      <c r="K81" s="444">
        <v>3.0182186234817814</v>
      </c>
      <c r="L81" s="444">
        <v>994</v>
      </c>
      <c r="M81" s="447">
        <v>1</v>
      </c>
      <c r="N81" s="447">
        <v>994</v>
      </c>
      <c r="O81" s="471">
        <v>1.0060728744939271</v>
      </c>
      <c r="P81" s="448">
        <v>994</v>
      </c>
    </row>
    <row r="82" spans="1:16" ht="14.4" customHeight="1" x14ac:dyDescent="0.3">
      <c r="A82" s="443" t="s">
        <v>1091</v>
      </c>
      <c r="B82" s="444" t="s">
        <v>1112</v>
      </c>
      <c r="C82" s="444" t="s">
        <v>1244</v>
      </c>
      <c r="D82" s="444" t="s">
        <v>1245</v>
      </c>
      <c r="E82" s="447">
        <v>4</v>
      </c>
      <c r="F82" s="447">
        <v>3220</v>
      </c>
      <c r="G82" s="444">
        <v>1</v>
      </c>
      <c r="H82" s="444">
        <v>805</v>
      </c>
      <c r="I82" s="447">
        <v>14</v>
      </c>
      <c r="J82" s="447">
        <v>11312</v>
      </c>
      <c r="K82" s="444">
        <v>3.5130434782608697</v>
      </c>
      <c r="L82" s="444">
        <v>808</v>
      </c>
      <c r="M82" s="447">
        <v>21</v>
      </c>
      <c r="N82" s="447">
        <v>16968</v>
      </c>
      <c r="O82" s="471">
        <v>5.2695652173913041</v>
      </c>
      <c r="P82" s="448">
        <v>808</v>
      </c>
    </row>
    <row r="83" spans="1:16" ht="14.4" customHeight="1" x14ac:dyDescent="0.3">
      <c r="A83" s="443" t="s">
        <v>1091</v>
      </c>
      <c r="B83" s="444" t="s">
        <v>1112</v>
      </c>
      <c r="C83" s="444" t="s">
        <v>1246</v>
      </c>
      <c r="D83" s="444" t="s">
        <v>1247</v>
      </c>
      <c r="E83" s="447">
        <v>1</v>
      </c>
      <c r="F83" s="447">
        <v>850</v>
      </c>
      <c r="G83" s="444">
        <v>1</v>
      </c>
      <c r="H83" s="444">
        <v>850</v>
      </c>
      <c r="I83" s="447">
        <v>4</v>
      </c>
      <c r="J83" s="447">
        <v>3416</v>
      </c>
      <c r="K83" s="444">
        <v>4.0188235294117645</v>
      </c>
      <c r="L83" s="444">
        <v>854</v>
      </c>
      <c r="M83" s="447">
        <v>6</v>
      </c>
      <c r="N83" s="447">
        <v>5124</v>
      </c>
      <c r="O83" s="471">
        <v>6.0282352941176471</v>
      </c>
      <c r="P83" s="448">
        <v>854</v>
      </c>
    </row>
    <row r="84" spans="1:16" ht="14.4" customHeight="1" x14ac:dyDescent="0.3">
      <c r="A84" s="443" t="s">
        <v>1091</v>
      </c>
      <c r="B84" s="444" t="s">
        <v>1112</v>
      </c>
      <c r="C84" s="444" t="s">
        <v>1248</v>
      </c>
      <c r="D84" s="444" t="s">
        <v>1249</v>
      </c>
      <c r="E84" s="447">
        <v>3</v>
      </c>
      <c r="F84" s="447">
        <v>3450</v>
      </c>
      <c r="G84" s="444">
        <v>1</v>
      </c>
      <c r="H84" s="444">
        <v>1150</v>
      </c>
      <c r="I84" s="447">
        <v>14</v>
      </c>
      <c r="J84" s="447">
        <v>16156</v>
      </c>
      <c r="K84" s="444">
        <v>4.6828985507246381</v>
      </c>
      <c r="L84" s="444">
        <v>1154</v>
      </c>
      <c r="M84" s="447">
        <v>1</v>
      </c>
      <c r="N84" s="447">
        <v>1154</v>
      </c>
      <c r="O84" s="471">
        <v>0.33449275362318842</v>
      </c>
      <c r="P84" s="448">
        <v>1154</v>
      </c>
    </row>
    <row r="85" spans="1:16" ht="14.4" customHeight="1" x14ac:dyDescent="0.3">
      <c r="A85" s="443" t="s">
        <v>1091</v>
      </c>
      <c r="B85" s="444" t="s">
        <v>1112</v>
      </c>
      <c r="C85" s="444" t="s">
        <v>1250</v>
      </c>
      <c r="D85" s="444" t="s">
        <v>1251</v>
      </c>
      <c r="E85" s="447">
        <v>3</v>
      </c>
      <c r="F85" s="447">
        <v>5379</v>
      </c>
      <c r="G85" s="444">
        <v>1</v>
      </c>
      <c r="H85" s="444">
        <v>1793</v>
      </c>
      <c r="I85" s="447"/>
      <c r="J85" s="447"/>
      <c r="K85" s="444"/>
      <c r="L85" s="444"/>
      <c r="M85" s="447"/>
      <c r="N85" s="447"/>
      <c r="O85" s="471"/>
      <c r="P85" s="448"/>
    </row>
    <row r="86" spans="1:16" ht="14.4" customHeight="1" x14ac:dyDescent="0.3">
      <c r="A86" s="443" t="s">
        <v>1091</v>
      </c>
      <c r="B86" s="444" t="s">
        <v>1112</v>
      </c>
      <c r="C86" s="444" t="s">
        <v>1252</v>
      </c>
      <c r="D86" s="444" t="s">
        <v>1253</v>
      </c>
      <c r="E86" s="447">
        <v>1</v>
      </c>
      <c r="F86" s="447">
        <v>64</v>
      </c>
      <c r="G86" s="444">
        <v>1</v>
      </c>
      <c r="H86" s="444">
        <v>64</v>
      </c>
      <c r="I86" s="447">
        <v>4</v>
      </c>
      <c r="J86" s="447">
        <v>256</v>
      </c>
      <c r="K86" s="444">
        <v>4</v>
      </c>
      <c r="L86" s="444">
        <v>64</v>
      </c>
      <c r="M86" s="447">
        <v>2</v>
      </c>
      <c r="N86" s="447">
        <v>128</v>
      </c>
      <c r="O86" s="471">
        <v>2</v>
      </c>
      <c r="P86" s="448">
        <v>64</v>
      </c>
    </row>
    <row r="87" spans="1:16" ht="14.4" customHeight="1" x14ac:dyDescent="0.3">
      <c r="A87" s="443" t="s">
        <v>1091</v>
      </c>
      <c r="B87" s="444" t="s">
        <v>1112</v>
      </c>
      <c r="C87" s="444" t="s">
        <v>1254</v>
      </c>
      <c r="D87" s="444" t="s">
        <v>1233</v>
      </c>
      <c r="E87" s="447">
        <v>2</v>
      </c>
      <c r="F87" s="447">
        <v>1750</v>
      </c>
      <c r="G87" s="444">
        <v>1</v>
      </c>
      <c r="H87" s="444">
        <v>875</v>
      </c>
      <c r="I87" s="447"/>
      <c r="J87" s="447"/>
      <c r="K87" s="444"/>
      <c r="L87" s="444"/>
      <c r="M87" s="447">
        <v>2</v>
      </c>
      <c r="N87" s="447">
        <v>1756</v>
      </c>
      <c r="O87" s="471">
        <v>1.0034285714285713</v>
      </c>
      <c r="P87" s="448">
        <v>878</v>
      </c>
    </row>
    <row r="88" spans="1:16" ht="14.4" customHeight="1" x14ac:dyDescent="0.3">
      <c r="A88" s="443" t="s">
        <v>1091</v>
      </c>
      <c r="B88" s="444" t="s">
        <v>1112</v>
      </c>
      <c r="C88" s="444" t="s">
        <v>1255</v>
      </c>
      <c r="D88" s="444" t="s">
        <v>1256</v>
      </c>
      <c r="E88" s="447">
        <v>2</v>
      </c>
      <c r="F88" s="447">
        <v>2026</v>
      </c>
      <c r="G88" s="444">
        <v>1</v>
      </c>
      <c r="H88" s="444">
        <v>1013</v>
      </c>
      <c r="I88" s="447">
        <v>4</v>
      </c>
      <c r="J88" s="447">
        <v>4068</v>
      </c>
      <c r="K88" s="444">
        <v>2.0078973346495559</v>
      </c>
      <c r="L88" s="444">
        <v>1017</v>
      </c>
      <c r="M88" s="447"/>
      <c r="N88" s="447"/>
      <c r="O88" s="471"/>
      <c r="P88" s="448"/>
    </row>
    <row r="89" spans="1:16" ht="14.4" customHeight="1" x14ac:dyDescent="0.3">
      <c r="A89" s="443" t="s">
        <v>1091</v>
      </c>
      <c r="B89" s="444" t="s">
        <v>1112</v>
      </c>
      <c r="C89" s="444" t="s">
        <v>1257</v>
      </c>
      <c r="D89" s="444" t="s">
        <v>1258</v>
      </c>
      <c r="E89" s="447"/>
      <c r="F89" s="447"/>
      <c r="G89" s="444"/>
      <c r="H89" s="444"/>
      <c r="I89" s="447">
        <v>2</v>
      </c>
      <c r="J89" s="447">
        <v>914</v>
      </c>
      <c r="K89" s="444"/>
      <c r="L89" s="444">
        <v>457</v>
      </c>
      <c r="M89" s="447"/>
      <c r="N89" s="447"/>
      <c r="O89" s="471"/>
      <c r="P89" s="448"/>
    </row>
    <row r="90" spans="1:16" ht="14.4" customHeight="1" x14ac:dyDescent="0.3">
      <c r="A90" s="443" t="s">
        <v>1091</v>
      </c>
      <c r="B90" s="444" t="s">
        <v>1112</v>
      </c>
      <c r="C90" s="444" t="s">
        <v>1259</v>
      </c>
      <c r="D90" s="444" t="s">
        <v>1260</v>
      </c>
      <c r="E90" s="447"/>
      <c r="F90" s="447"/>
      <c r="G90" s="444"/>
      <c r="H90" s="444"/>
      <c r="I90" s="447"/>
      <c r="J90" s="447"/>
      <c r="K90" s="444"/>
      <c r="L90" s="444"/>
      <c r="M90" s="447">
        <v>3</v>
      </c>
      <c r="N90" s="447">
        <v>1707</v>
      </c>
      <c r="O90" s="471"/>
      <c r="P90" s="448">
        <v>569</v>
      </c>
    </row>
    <row r="91" spans="1:16" ht="14.4" customHeight="1" x14ac:dyDescent="0.3">
      <c r="A91" s="443" t="s">
        <v>1091</v>
      </c>
      <c r="B91" s="444" t="s">
        <v>1112</v>
      </c>
      <c r="C91" s="444" t="s">
        <v>1261</v>
      </c>
      <c r="D91" s="444" t="s">
        <v>1262</v>
      </c>
      <c r="E91" s="447">
        <v>1</v>
      </c>
      <c r="F91" s="447">
        <v>358</v>
      </c>
      <c r="G91" s="444">
        <v>1</v>
      </c>
      <c r="H91" s="444">
        <v>358</v>
      </c>
      <c r="I91" s="447"/>
      <c r="J91" s="447"/>
      <c r="K91" s="444"/>
      <c r="L91" s="444"/>
      <c r="M91" s="447"/>
      <c r="N91" s="447"/>
      <c r="O91" s="471"/>
      <c r="P91" s="448"/>
    </row>
    <row r="92" spans="1:16" ht="14.4" customHeight="1" x14ac:dyDescent="0.3">
      <c r="A92" s="443" t="s">
        <v>1091</v>
      </c>
      <c r="B92" s="444" t="s">
        <v>1112</v>
      </c>
      <c r="C92" s="444" t="s">
        <v>1263</v>
      </c>
      <c r="D92" s="444" t="s">
        <v>1264</v>
      </c>
      <c r="E92" s="447"/>
      <c r="F92" s="447"/>
      <c r="G92" s="444"/>
      <c r="H92" s="444"/>
      <c r="I92" s="447">
        <v>1</v>
      </c>
      <c r="J92" s="447">
        <v>776</v>
      </c>
      <c r="K92" s="444"/>
      <c r="L92" s="444">
        <v>776</v>
      </c>
      <c r="M92" s="447"/>
      <c r="N92" s="447"/>
      <c r="O92" s="471"/>
      <c r="P92" s="448"/>
    </row>
    <row r="93" spans="1:16" ht="14.4" customHeight="1" x14ac:dyDescent="0.3">
      <c r="A93" s="443" t="s">
        <v>1265</v>
      </c>
      <c r="B93" s="444" t="s">
        <v>1112</v>
      </c>
      <c r="C93" s="444" t="s">
        <v>1266</v>
      </c>
      <c r="D93" s="444" t="s">
        <v>1267</v>
      </c>
      <c r="E93" s="447"/>
      <c r="F93" s="447"/>
      <c r="G93" s="444"/>
      <c r="H93" s="444"/>
      <c r="I93" s="447">
        <v>4</v>
      </c>
      <c r="J93" s="447">
        <v>3952</v>
      </c>
      <c r="K93" s="444"/>
      <c r="L93" s="444">
        <v>988</v>
      </c>
      <c r="M93" s="447"/>
      <c r="N93" s="447"/>
      <c r="O93" s="471"/>
      <c r="P93" s="448"/>
    </row>
    <row r="94" spans="1:16" ht="14.4" customHeight="1" thickBot="1" x14ac:dyDescent="0.35">
      <c r="A94" s="449" t="s">
        <v>1268</v>
      </c>
      <c r="B94" s="450" t="s">
        <v>1112</v>
      </c>
      <c r="C94" s="450" t="s">
        <v>1269</v>
      </c>
      <c r="D94" s="450" t="s">
        <v>1270</v>
      </c>
      <c r="E94" s="453">
        <v>2</v>
      </c>
      <c r="F94" s="453">
        <v>462</v>
      </c>
      <c r="G94" s="450">
        <v>1</v>
      </c>
      <c r="H94" s="450">
        <v>231</v>
      </c>
      <c r="I94" s="453"/>
      <c r="J94" s="453"/>
      <c r="K94" s="450"/>
      <c r="L94" s="450"/>
      <c r="M94" s="453"/>
      <c r="N94" s="453"/>
      <c r="O94" s="473"/>
      <c r="P94" s="454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7" bestFit="1" customWidth="1"/>
    <col min="2" max="2" width="11.6640625" style="157" hidden="1" customWidth="1"/>
    <col min="3" max="4" width="11" style="159" customWidth="1"/>
    <col min="5" max="5" width="11" style="160" customWidth="1"/>
    <col min="6" max="16384" width="8.88671875" style="157"/>
  </cols>
  <sheetData>
    <row r="1" spans="1:5" ht="18.600000000000001" thickBot="1" x14ac:dyDescent="0.4">
      <c r="A1" s="318" t="s">
        <v>128</v>
      </c>
      <c r="B1" s="318"/>
      <c r="C1" s="319"/>
      <c r="D1" s="319"/>
      <c r="E1" s="319"/>
    </row>
    <row r="2" spans="1:5" ht="14.4" customHeight="1" thickBot="1" x14ac:dyDescent="0.35">
      <c r="A2" s="243" t="s">
        <v>249</v>
      </c>
      <c r="B2" s="158"/>
    </row>
    <row r="3" spans="1:5" ht="14.4" customHeight="1" thickBot="1" x14ac:dyDescent="0.35">
      <c r="A3" s="161"/>
      <c r="C3" s="162" t="s">
        <v>112</v>
      </c>
      <c r="D3" s="163" t="s">
        <v>76</v>
      </c>
      <c r="E3" s="164" t="s">
        <v>78</v>
      </c>
    </row>
    <row r="4" spans="1:5" ht="14.4" customHeight="1" thickBot="1" x14ac:dyDescent="0.35">
      <c r="A4" s="165" t="str">
        <f>HYPERLINK("#HI!A1","NÁKLADY CELKEM (v tisících Kč)")</f>
        <v>NÁKLADY CELKEM (v tisících Kč)</v>
      </c>
      <c r="B4" s="166"/>
      <c r="C4" s="167">
        <f ca="1">IF(ISERROR(VLOOKUP("Náklady celkem",INDIRECT("HI!$A:$G"),6,0)),0,VLOOKUP("Náklady celkem",INDIRECT("HI!$A:$G"),6,0))</f>
        <v>2561</v>
      </c>
      <c r="D4" s="167">
        <f ca="1">IF(ISERROR(VLOOKUP("Náklady celkem",INDIRECT("HI!$A:$G"),5,0)),0,VLOOKUP("Náklady celkem",INDIRECT("HI!$A:$G"),5,0))</f>
        <v>2269.3421400000102</v>
      </c>
      <c r="E4" s="168">
        <f ca="1">IF(C4=0,0,D4/C4)</f>
        <v>0.88611563451777053</v>
      </c>
    </row>
    <row r="5" spans="1:5" ht="14.4" customHeight="1" x14ac:dyDescent="0.3">
      <c r="A5" s="169" t="s">
        <v>158</v>
      </c>
      <c r="B5" s="170"/>
      <c r="C5" s="171"/>
      <c r="D5" s="171"/>
      <c r="E5" s="172"/>
    </row>
    <row r="6" spans="1:5" ht="14.4" customHeight="1" x14ac:dyDescent="0.3">
      <c r="A6" s="173" t="s">
        <v>163</v>
      </c>
      <c r="B6" s="174"/>
      <c r="C6" s="175"/>
      <c r="D6" s="175"/>
      <c r="E6" s="172"/>
    </row>
    <row r="7" spans="1:5" ht="14.4" customHeight="1" x14ac:dyDescent="0.3">
      <c r="A7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4" t="s">
        <v>116</v>
      </c>
      <c r="C7" s="175">
        <f>IF(ISERROR(HI!F5),"",HI!F5)</f>
        <v>28</v>
      </c>
      <c r="D7" s="175">
        <f>IF(ISERROR(HI!E5),"",HI!E5)</f>
        <v>19.58231</v>
      </c>
      <c r="E7" s="172">
        <f t="shared" ref="E7:E13" si="0">IF(C7=0,0,D7/C7)</f>
        <v>0.69936821428571427</v>
      </c>
    </row>
    <row r="8" spans="1:5" ht="14.4" customHeight="1" x14ac:dyDescent="0.3">
      <c r="A8" s="178" t="s">
        <v>159</v>
      </c>
      <c r="B8" s="174"/>
      <c r="C8" s="175"/>
      <c r="D8" s="175"/>
      <c r="E8" s="172"/>
    </row>
    <row r="9" spans="1:5" ht="14.4" customHeight="1" x14ac:dyDescent="0.3">
      <c r="A9" s="176" t="str">
        <f>HYPERLINK("#'Léky Recepty'!A1","% záchytu v lékárně (Úhrada Kč)")</f>
        <v>% záchytu v lékárně (Úhrada Kč)</v>
      </c>
      <c r="B9" s="174" t="s">
        <v>121</v>
      </c>
      <c r="C9" s="177">
        <v>0.6</v>
      </c>
      <c r="D9" s="177">
        <f>IF(ISERROR(VLOOKUP("Celkem",'Léky Recepty'!B:H,5,0)),0,VLOOKUP("Celkem",'Léky Recepty'!B:H,5,0))</f>
        <v>0.62346016795304704</v>
      </c>
      <c r="E9" s="172">
        <f t="shared" si="0"/>
        <v>1.039100279921745</v>
      </c>
    </row>
    <row r="10" spans="1:5" ht="14.4" customHeight="1" x14ac:dyDescent="0.3">
      <c r="A10" s="176" t="str">
        <f>HYPERLINK("#'LRp PL'!A1","% plnění pozitivního listu")</f>
        <v>% plnění pozitivního listu</v>
      </c>
      <c r="B10" s="174" t="s">
        <v>152</v>
      </c>
      <c r="C10" s="177">
        <v>0.8</v>
      </c>
      <c r="D10" s="177">
        <f>IF(ISERROR(VLOOKUP("Celkem",'LRp PL'!A:F,5,0)),0,VLOOKUP("Celkem",'LRp PL'!A:F,5,0))</f>
        <v>1</v>
      </c>
      <c r="E10" s="172">
        <f t="shared" si="0"/>
        <v>1.25</v>
      </c>
    </row>
    <row r="11" spans="1:5" ht="14.4" customHeight="1" x14ac:dyDescent="0.3">
      <c r="A11" s="178" t="s">
        <v>160</v>
      </c>
      <c r="B11" s="174"/>
      <c r="C11" s="175"/>
      <c r="D11" s="175"/>
      <c r="E11" s="172"/>
    </row>
    <row r="12" spans="1:5" ht="14.4" customHeight="1" x14ac:dyDescent="0.3">
      <c r="A12" s="179" t="s">
        <v>164</v>
      </c>
      <c r="B12" s="174"/>
      <c r="C12" s="171"/>
      <c r="D12" s="171"/>
      <c r="E12" s="172"/>
    </row>
    <row r="13" spans="1:5" ht="14.4" customHeight="1" x14ac:dyDescent="0.3">
      <c r="A13" s="18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74" t="s">
        <v>116</v>
      </c>
      <c r="C13" s="175">
        <f>IF(ISERROR(HI!F6),"",HI!F6)</f>
        <v>302</v>
      </c>
      <c r="D13" s="175">
        <f>IF(ISERROR(HI!E6),"",HI!E6)</f>
        <v>217.26509000000101</v>
      </c>
      <c r="E13" s="172">
        <f t="shared" si="0"/>
        <v>0.71942082781457284</v>
      </c>
    </row>
    <row r="14" spans="1:5" ht="14.4" customHeight="1" thickBot="1" x14ac:dyDescent="0.35">
      <c r="A14" s="181" t="str">
        <f>HYPERLINK("#HI!A1","Osobní náklady")</f>
        <v>Osobní náklady</v>
      </c>
      <c r="B14" s="174"/>
      <c r="C14" s="171">
        <f ca="1">IF(ISERROR(VLOOKUP("Osobní náklady (Kč)",INDIRECT("HI!$A:$G"),6,0)),0,VLOOKUP("Osobní náklady (Kč)",INDIRECT("HI!$A:$G"),6,0))</f>
        <v>0</v>
      </c>
      <c r="D14" s="171">
        <f ca="1">IF(ISERROR(VLOOKUP("Osobní náklady (Kč)",INDIRECT("HI!$A:$G"),5,0)),0,VLOOKUP("Osobní náklady (Kč)",INDIRECT("HI!$A:$G"),5,0))</f>
        <v>0</v>
      </c>
      <c r="E14" s="172">
        <f ca="1">IF(C14=0,0,D14/C14)</f>
        <v>0</v>
      </c>
    </row>
    <row r="15" spans="1:5" ht="14.4" customHeight="1" thickBot="1" x14ac:dyDescent="0.35">
      <c r="A15" s="185"/>
      <c r="B15" s="186"/>
      <c r="C15" s="187"/>
      <c r="D15" s="187"/>
      <c r="E15" s="188"/>
    </row>
    <row r="16" spans="1:5" ht="14.4" customHeight="1" thickBot="1" x14ac:dyDescent="0.35">
      <c r="A16" s="189" t="str">
        <f>HYPERLINK("#HI!A1","VÝNOSY CELKEM (v tisících)")</f>
        <v>VÝNOSY CELKEM (v tisících)</v>
      </c>
      <c r="B16" s="190"/>
      <c r="C16" s="191">
        <f ca="1">IF(ISERROR(VLOOKUP("Výnosy celkem",INDIRECT("HI!$A:$G"),6,0)),0,VLOOKUP("Výnosy celkem",INDIRECT("HI!$A:$G"),6,0))</f>
        <v>592.39400000000001</v>
      </c>
      <c r="D16" s="191">
        <f ca="1">IF(ISERROR(VLOOKUP("Výnosy celkem",INDIRECT("HI!$A:$G"),5,0)),0,VLOOKUP("Výnosy celkem",INDIRECT("HI!$A:$G"),5,0))</f>
        <v>591.52099999999996</v>
      </c>
      <c r="E16" s="192">
        <f t="shared" ref="E16:E21" ca="1" si="1">IF(C16=0,0,D16/C16)</f>
        <v>0.99852631863253161</v>
      </c>
    </row>
    <row r="17" spans="1:5" ht="14.4" customHeight="1" x14ac:dyDescent="0.3">
      <c r="A17" s="193" t="str">
        <f>HYPERLINK("#HI!A1","Ambulance (body za výkony + Kč za ZUM a ZULP)")</f>
        <v>Ambulance (body za výkony + Kč za ZUM a ZULP)</v>
      </c>
      <c r="B17" s="170"/>
      <c r="C17" s="171">
        <f ca="1">IF(ISERROR(VLOOKUP("Ambulance *",INDIRECT("HI!$A:$G"),6,0)),0,VLOOKUP("Ambulance *",INDIRECT("HI!$A:$G"),6,0))</f>
        <v>592.39400000000001</v>
      </c>
      <c r="D17" s="171">
        <f ca="1">IF(ISERROR(VLOOKUP("Ambulance *",INDIRECT("HI!$A:$G"),5,0)),0,VLOOKUP("Ambulance *",INDIRECT("HI!$A:$G"),5,0))</f>
        <v>591.52099999999996</v>
      </c>
      <c r="E17" s="172">
        <f t="shared" ca="1" si="1"/>
        <v>0.99852631863253161</v>
      </c>
    </row>
    <row r="18" spans="1:5" ht="14.4" customHeight="1" x14ac:dyDescent="0.3">
      <c r="A18" s="194" t="str">
        <f>HYPERLINK("#'ZV Vykáz.-A'!A1","Zdravotní výkony vykázané u ambulantních pacientů (min. 100 %)")</f>
        <v>Zdravotní výkony vykázané u ambulantních pacientů (min. 100 %)</v>
      </c>
      <c r="B18" s="157" t="s">
        <v>130</v>
      </c>
      <c r="C18" s="177">
        <v>1</v>
      </c>
      <c r="D18" s="177">
        <f>IF(ISERROR(VLOOKUP("Celkem:",'ZV Vykáz.-A'!$A:$S,7,0)),"",VLOOKUP("Celkem:",'ZV Vykáz.-A'!$A:$S,7,0))</f>
        <v>0.99852631863253172</v>
      </c>
      <c r="E18" s="172">
        <f t="shared" si="1"/>
        <v>0.99852631863253172</v>
      </c>
    </row>
    <row r="19" spans="1:5" ht="14.4" customHeight="1" x14ac:dyDescent="0.3">
      <c r="A19" s="194" t="str">
        <f>HYPERLINK("#'ZV Vykáz.-H'!A1","Zdravotní výkony vykázané u hospitalizovaných pacientů (max. 85 %)")</f>
        <v>Zdravotní výkony vykázané u hospitalizovaných pacientů (max. 85 %)</v>
      </c>
      <c r="B19" s="157" t="s">
        <v>132</v>
      </c>
      <c r="C19" s="177">
        <v>0.85</v>
      </c>
      <c r="D19" s="177">
        <f>IF(ISERROR(VLOOKUP("Celkem:",'ZV Vykáz.-H'!$A:$S,7,0)),"",VLOOKUP("Celkem:",'ZV Vykáz.-H'!$A:$S,7,0))</f>
        <v>7.7010421425214526E-2</v>
      </c>
      <c r="E19" s="172">
        <f t="shared" si="1"/>
        <v>9.0600495794370031E-2</v>
      </c>
    </row>
    <row r="20" spans="1:5" ht="14.4" customHeight="1" x14ac:dyDescent="0.3">
      <c r="A20" s="195" t="str">
        <f>HYPERLINK("#HI!A1","Hospitalizace (casemix * 30000)")</f>
        <v>Hospitalizace (casemix * 30000)</v>
      </c>
      <c r="B20" s="174"/>
      <c r="C20" s="171">
        <f ca="1">IF(ISERROR(VLOOKUP("Hospitalizace *",INDIRECT("HI!$A:$G"),6,0)),0,VLOOKUP("Hospitalizace *",INDIRECT("HI!$A:$G"),6,0))</f>
        <v>0</v>
      </c>
      <c r="D20" s="171">
        <f ca="1">IF(ISERROR(VLOOKUP("Hospitalizace *",INDIRECT("HI!$A:$G"),5,0)),0,VLOOKUP("Hospitalizace *",INDIRECT("HI!$A:$G"),5,0))</f>
        <v>0</v>
      </c>
      <c r="E20" s="172">
        <f ca="1">IF(C20=0,0,D20/C20)</f>
        <v>0</v>
      </c>
    </row>
    <row r="21" spans="1:5" ht="27.6" x14ac:dyDescent="0.3">
      <c r="A21" s="196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1" s="174" t="s">
        <v>127</v>
      </c>
      <c r="C21" s="177" t="e">
        <f>IF(#REF!&gt;1,95%,95%-2*ABS(#REF!-#REF!))</f>
        <v>#REF!</v>
      </c>
      <c r="D21" s="177">
        <f>IF(ISERROR(VLOOKUP("Celkem:",'ZV Vyžád.'!$A:$M,7,0)),"",VLOOKUP("Celkem:",'ZV Vyžád.'!$A:$M,7,0))</f>
        <v>0</v>
      </c>
      <c r="E21" s="172" t="e">
        <f t="shared" si="1"/>
        <v>#REF!</v>
      </c>
    </row>
    <row r="22" spans="1:5" ht="14.4" customHeight="1" thickBot="1" x14ac:dyDescent="0.35">
      <c r="A22" s="197" t="s">
        <v>161</v>
      </c>
      <c r="B22" s="182"/>
      <c r="C22" s="183"/>
      <c r="D22" s="183"/>
      <c r="E22" s="184"/>
    </row>
    <row r="23" spans="1:5" ht="14.4" customHeight="1" thickBot="1" x14ac:dyDescent="0.35">
      <c r="A23" s="198"/>
      <c r="B23" s="199"/>
      <c r="C23" s="200"/>
      <c r="D23" s="200"/>
      <c r="E23" s="201"/>
    </row>
    <row r="24" spans="1:5" ht="14.4" customHeight="1" thickBot="1" x14ac:dyDescent="0.35">
      <c r="A24" s="202" t="s">
        <v>162</v>
      </c>
      <c r="B24" s="203"/>
      <c r="C24" s="204"/>
      <c r="D24" s="204"/>
      <c r="E24" s="205"/>
    </row>
  </sheetData>
  <mergeCells count="1">
    <mergeCell ref="A1:E1"/>
  </mergeCells>
  <conditionalFormatting sqref="E5">
    <cfRule type="cellIs" dxfId="58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0">
    <cfRule type="cellIs" dxfId="54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52" priority="16" operator="lessThan">
      <formula>1</formula>
    </cfRule>
  </conditionalFormatting>
  <conditionalFormatting sqref="E16 E18 E9:E10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21 E4 E7 E13 E19">
    <cfRule type="cellIs" dxfId="51" priority="59" operator="greaterThan">
      <formula>1</formula>
    </cfRule>
    <cfRule type="iconSet" priority="6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6" bestFit="1" customWidth="1"/>
    <col min="2" max="2" width="7.77734375" style="112" customWidth="1"/>
    <col min="3" max="3" width="0.109375" style="136" hidden="1" customWidth="1"/>
    <col min="4" max="4" width="7.77734375" style="112" customWidth="1"/>
    <col min="5" max="5" width="5.44140625" style="136" hidden="1" customWidth="1"/>
    <col min="6" max="6" width="7.77734375" style="112" customWidth="1"/>
    <col min="7" max="7" width="7.77734375" style="218" customWidth="1"/>
    <col min="8" max="8" width="7.77734375" style="112" customWidth="1"/>
    <col min="9" max="9" width="5.44140625" style="136" hidden="1" customWidth="1"/>
    <col min="10" max="10" width="7.77734375" style="112" customWidth="1"/>
    <col min="11" max="11" width="5.44140625" style="136" hidden="1" customWidth="1"/>
    <col min="12" max="12" width="7.77734375" style="112" customWidth="1"/>
    <col min="13" max="13" width="7.77734375" style="218" customWidth="1"/>
    <col min="14" max="14" width="7.77734375" style="112" customWidth="1"/>
    <col min="15" max="15" width="5" style="136" hidden="1" customWidth="1"/>
    <col min="16" max="16" width="7.77734375" style="112" customWidth="1"/>
    <col min="17" max="17" width="5" style="136" hidden="1" customWidth="1"/>
    <col min="18" max="18" width="7.77734375" style="112" customWidth="1"/>
    <col min="19" max="19" width="7.77734375" style="218" customWidth="1"/>
    <col min="20" max="16384" width="8.88671875" style="136"/>
  </cols>
  <sheetData>
    <row r="1" spans="1:19" ht="18.600000000000001" customHeight="1" thickBot="1" x14ac:dyDescent="0.4">
      <c r="A1" s="327" t="s">
        <v>134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" customHeight="1" thickBot="1" x14ac:dyDescent="0.35">
      <c r="A2" s="243" t="s">
        <v>249</v>
      </c>
      <c r="B2" s="234"/>
      <c r="C2" s="117"/>
      <c r="D2" s="234"/>
      <c r="E2" s="117"/>
      <c r="F2" s="234"/>
      <c r="G2" s="235"/>
      <c r="H2" s="234"/>
      <c r="I2" s="117"/>
      <c r="J2" s="234"/>
      <c r="K2" s="117"/>
      <c r="L2" s="234"/>
      <c r="M2" s="235"/>
      <c r="N2" s="234"/>
      <c r="O2" s="117"/>
      <c r="P2" s="234"/>
      <c r="Q2" s="117"/>
      <c r="R2" s="234"/>
      <c r="S2" s="235"/>
    </row>
    <row r="3" spans="1:19" ht="14.4" customHeight="1" thickBot="1" x14ac:dyDescent="0.35">
      <c r="A3" s="228" t="s">
        <v>136</v>
      </c>
      <c r="B3" s="229">
        <f>SUBTOTAL(9,B6:B1048576)</f>
        <v>1217108</v>
      </c>
      <c r="C3" s="230">
        <f t="shared" ref="C3:R3" si="0">SUBTOTAL(9,C6:C1048576)</f>
        <v>14</v>
      </c>
      <c r="D3" s="230">
        <f t="shared" si="0"/>
        <v>17262</v>
      </c>
      <c r="E3" s="230">
        <f t="shared" si="0"/>
        <v>26.957930576204831</v>
      </c>
      <c r="F3" s="230">
        <f t="shared" si="0"/>
        <v>93730</v>
      </c>
      <c r="G3" s="233">
        <f>IF(B3&lt;&gt;0,F3/B3,"")</f>
        <v>7.7010421425214526E-2</v>
      </c>
      <c r="H3" s="229">
        <f t="shared" si="0"/>
        <v>133886.84</v>
      </c>
      <c r="I3" s="230">
        <f t="shared" si="0"/>
        <v>1</v>
      </c>
      <c r="J3" s="230">
        <f t="shared" si="0"/>
        <v>0</v>
      </c>
      <c r="K3" s="230">
        <f t="shared" si="0"/>
        <v>0</v>
      </c>
      <c r="L3" s="230">
        <f t="shared" si="0"/>
        <v>0</v>
      </c>
      <c r="M3" s="231">
        <f>IF(H3&lt;&gt;0,L3/H3,"")</f>
        <v>0</v>
      </c>
      <c r="N3" s="232">
        <f t="shared" si="0"/>
        <v>0</v>
      </c>
      <c r="O3" s="230">
        <f t="shared" si="0"/>
        <v>0</v>
      </c>
      <c r="P3" s="230">
        <f t="shared" si="0"/>
        <v>0</v>
      </c>
      <c r="Q3" s="230">
        <f t="shared" si="0"/>
        <v>0</v>
      </c>
      <c r="R3" s="230">
        <f t="shared" si="0"/>
        <v>0</v>
      </c>
      <c r="S3" s="231" t="str">
        <f>IF(N3&lt;&gt;0,R3/N3,"")</f>
        <v/>
      </c>
    </row>
    <row r="4" spans="1:19" ht="14.4" customHeight="1" x14ac:dyDescent="0.3">
      <c r="A4" s="383" t="s">
        <v>110</v>
      </c>
      <c r="B4" s="384" t="s">
        <v>104</v>
      </c>
      <c r="C4" s="385"/>
      <c r="D4" s="385"/>
      <c r="E4" s="385"/>
      <c r="F4" s="385"/>
      <c r="G4" s="386"/>
      <c r="H4" s="384" t="s">
        <v>105</v>
      </c>
      <c r="I4" s="385"/>
      <c r="J4" s="385"/>
      <c r="K4" s="385"/>
      <c r="L4" s="385"/>
      <c r="M4" s="386"/>
      <c r="N4" s="384" t="s">
        <v>106</v>
      </c>
      <c r="O4" s="385"/>
      <c r="P4" s="385"/>
      <c r="Q4" s="385"/>
      <c r="R4" s="385"/>
      <c r="S4" s="386"/>
    </row>
    <row r="5" spans="1:19" ht="14.4" customHeight="1" thickBot="1" x14ac:dyDescent="0.35">
      <c r="A5" s="522"/>
      <c r="B5" s="523">
        <v>2012</v>
      </c>
      <c r="C5" s="524"/>
      <c r="D5" s="524">
        <v>2013</v>
      </c>
      <c r="E5" s="524"/>
      <c r="F5" s="524">
        <v>2014</v>
      </c>
      <c r="G5" s="525" t="s">
        <v>5</v>
      </c>
      <c r="H5" s="523">
        <v>2012</v>
      </c>
      <c r="I5" s="524"/>
      <c r="J5" s="524">
        <v>2013</v>
      </c>
      <c r="K5" s="524"/>
      <c r="L5" s="524">
        <v>2014</v>
      </c>
      <c r="M5" s="525" t="s">
        <v>5</v>
      </c>
      <c r="N5" s="523">
        <v>2012</v>
      </c>
      <c r="O5" s="524"/>
      <c r="P5" s="524">
        <v>2013</v>
      </c>
      <c r="Q5" s="524"/>
      <c r="R5" s="524">
        <v>2014</v>
      </c>
      <c r="S5" s="525" t="s">
        <v>5</v>
      </c>
    </row>
    <row r="6" spans="1:19" ht="14.4" customHeight="1" x14ac:dyDescent="0.3">
      <c r="A6" s="511" t="s">
        <v>1272</v>
      </c>
      <c r="B6" s="526">
        <v>970</v>
      </c>
      <c r="C6" s="487">
        <v>1</v>
      </c>
      <c r="D6" s="526"/>
      <c r="E6" s="487"/>
      <c r="F6" s="526"/>
      <c r="G6" s="492"/>
      <c r="H6" s="526"/>
      <c r="I6" s="487"/>
      <c r="J6" s="526"/>
      <c r="K6" s="487"/>
      <c r="L6" s="526"/>
      <c r="M6" s="492"/>
      <c r="N6" s="526"/>
      <c r="O6" s="487"/>
      <c r="P6" s="526"/>
      <c r="Q6" s="487"/>
      <c r="R6" s="526"/>
      <c r="S6" s="128"/>
    </row>
    <row r="7" spans="1:19" ht="14.4" customHeight="1" x14ac:dyDescent="0.3">
      <c r="A7" s="512" t="s">
        <v>1273</v>
      </c>
      <c r="B7" s="527">
        <v>508</v>
      </c>
      <c r="C7" s="444">
        <v>1</v>
      </c>
      <c r="D7" s="527">
        <v>812</v>
      </c>
      <c r="E7" s="444">
        <v>1.5984251968503937</v>
      </c>
      <c r="F7" s="527"/>
      <c r="G7" s="471"/>
      <c r="H7" s="527"/>
      <c r="I7" s="444"/>
      <c r="J7" s="527"/>
      <c r="K7" s="444"/>
      <c r="L7" s="527"/>
      <c r="M7" s="471"/>
      <c r="N7" s="527"/>
      <c r="O7" s="444"/>
      <c r="P7" s="527"/>
      <c r="Q7" s="444"/>
      <c r="R7" s="527"/>
      <c r="S7" s="472"/>
    </row>
    <row r="8" spans="1:19" ht="14.4" customHeight="1" x14ac:dyDescent="0.3">
      <c r="A8" s="512" t="s">
        <v>1274</v>
      </c>
      <c r="B8" s="527"/>
      <c r="C8" s="444"/>
      <c r="D8" s="527">
        <v>348</v>
      </c>
      <c r="E8" s="444"/>
      <c r="F8" s="527">
        <v>464</v>
      </c>
      <c r="G8" s="471"/>
      <c r="H8" s="527"/>
      <c r="I8" s="444"/>
      <c r="J8" s="527"/>
      <c r="K8" s="444"/>
      <c r="L8" s="527"/>
      <c r="M8" s="471"/>
      <c r="N8" s="527"/>
      <c r="O8" s="444"/>
      <c r="P8" s="527"/>
      <c r="Q8" s="444"/>
      <c r="R8" s="527"/>
      <c r="S8" s="472"/>
    </row>
    <row r="9" spans="1:19" ht="14.4" customHeight="1" x14ac:dyDescent="0.3">
      <c r="A9" s="512" t="s">
        <v>1275</v>
      </c>
      <c r="B9" s="527">
        <v>666</v>
      </c>
      <c r="C9" s="444">
        <v>1</v>
      </c>
      <c r="D9" s="527">
        <v>878</v>
      </c>
      <c r="E9" s="444">
        <v>1.3183183183183182</v>
      </c>
      <c r="F9" s="527">
        <v>3856</v>
      </c>
      <c r="G9" s="471">
        <v>5.7897897897897899</v>
      </c>
      <c r="H9" s="527"/>
      <c r="I9" s="444"/>
      <c r="J9" s="527"/>
      <c r="K9" s="444"/>
      <c r="L9" s="527"/>
      <c r="M9" s="471"/>
      <c r="N9" s="527"/>
      <c r="O9" s="444"/>
      <c r="P9" s="527"/>
      <c r="Q9" s="444"/>
      <c r="R9" s="527"/>
      <c r="S9" s="472"/>
    </row>
    <row r="10" spans="1:19" ht="14.4" customHeight="1" x14ac:dyDescent="0.3">
      <c r="A10" s="512" t="s">
        <v>1276</v>
      </c>
      <c r="B10" s="527"/>
      <c r="C10" s="444"/>
      <c r="D10" s="527"/>
      <c r="E10" s="444"/>
      <c r="F10" s="527">
        <v>348</v>
      </c>
      <c r="G10" s="471"/>
      <c r="H10" s="527"/>
      <c r="I10" s="444"/>
      <c r="J10" s="527"/>
      <c r="K10" s="444"/>
      <c r="L10" s="527"/>
      <c r="M10" s="471"/>
      <c r="N10" s="527"/>
      <c r="O10" s="444"/>
      <c r="P10" s="527"/>
      <c r="Q10" s="444"/>
      <c r="R10" s="527"/>
      <c r="S10" s="472"/>
    </row>
    <row r="11" spans="1:19" ht="14.4" customHeight="1" x14ac:dyDescent="0.3">
      <c r="A11" s="512" t="s">
        <v>1277</v>
      </c>
      <c r="B11" s="527"/>
      <c r="C11" s="444"/>
      <c r="D11" s="527"/>
      <c r="E11" s="444"/>
      <c r="F11" s="527">
        <v>116</v>
      </c>
      <c r="G11" s="471"/>
      <c r="H11" s="527"/>
      <c r="I11" s="444"/>
      <c r="J11" s="527"/>
      <c r="K11" s="444"/>
      <c r="L11" s="527"/>
      <c r="M11" s="471"/>
      <c r="N11" s="527"/>
      <c r="O11" s="444"/>
      <c r="P11" s="527"/>
      <c r="Q11" s="444"/>
      <c r="R11" s="527"/>
      <c r="S11" s="472"/>
    </row>
    <row r="12" spans="1:19" ht="14.4" customHeight="1" x14ac:dyDescent="0.3">
      <c r="A12" s="512" t="s">
        <v>1278</v>
      </c>
      <c r="B12" s="527">
        <v>17897</v>
      </c>
      <c r="C12" s="444">
        <v>1</v>
      </c>
      <c r="D12" s="527">
        <v>10916</v>
      </c>
      <c r="E12" s="444">
        <v>0.60993462591495784</v>
      </c>
      <c r="F12" s="527">
        <v>79744</v>
      </c>
      <c r="G12" s="471">
        <v>4.4557188355590318</v>
      </c>
      <c r="H12" s="527"/>
      <c r="I12" s="444"/>
      <c r="J12" s="527"/>
      <c r="K12" s="444"/>
      <c r="L12" s="527"/>
      <c r="M12" s="471"/>
      <c r="N12" s="527"/>
      <c r="O12" s="444"/>
      <c r="P12" s="527"/>
      <c r="Q12" s="444"/>
      <c r="R12" s="527"/>
      <c r="S12" s="472"/>
    </row>
    <row r="13" spans="1:19" ht="14.4" customHeight="1" x14ac:dyDescent="0.3">
      <c r="A13" s="512" t="s">
        <v>1279</v>
      </c>
      <c r="B13" s="527">
        <v>167</v>
      </c>
      <c r="C13" s="444">
        <v>1</v>
      </c>
      <c r="D13" s="527">
        <v>1409</v>
      </c>
      <c r="E13" s="444">
        <v>8.4371257485029947</v>
      </c>
      <c r="F13" s="527">
        <v>2341</v>
      </c>
      <c r="G13" s="471">
        <v>14.017964071856287</v>
      </c>
      <c r="H13" s="527"/>
      <c r="I13" s="444"/>
      <c r="J13" s="527"/>
      <c r="K13" s="444"/>
      <c r="L13" s="527"/>
      <c r="M13" s="471"/>
      <c r="N13" s="527"/>
      <c r="O13" s="444"/>
      <c r="P13" s="527"/>
      <c r="Q13" s="444"/>
      <c r="R13" s="527"/>
      <c r="S13" s="472"/>
    </row>
    <row r="14" spans="1:19" ht="14.4" customHeight="1" x14ac:dyDescent="0.3">
      <c r="A14" s="512" t="s">
        <v>1280</v>
      </c>
      <c r="B14" s="527">
        <v>332</v>
      </c>
      <c r="C14" s="444">
        <v>1</v>
      </c>
      <c r="D14" s="527">
        <v>34</v>
      </c>
      <c r="E14" s="444">
        <v>0.10240963855421686</v>
      </c>
      <c r="F14" s="527">
        <v>116</v>
      </c>
      <c r="G14" s="471">
        <v>0.3493975903614458</v>
      </c>
      <c r="H14" s="527"/>
      <c r="I14" s="444"/>
      <c r="J14" s="527"/>
      <c r="K14" s="444"/>
      <c r="L14" s="527"/>
      <c r="M14" s="471"/>
      <c r="N14" s="527"/>
      <c r="O14" s="444"/>
      <c r="P14" s="527"/>
      <c r="Q14" s="444"/>
      <c r="R14" s="527"/>
      <c r="S14" s="472"/>
    </row>
    <row r="15" spans="1:19" ht="14.4" customHeight="1" x14ac:dyDescent="0.3">
      <c r="A15" s="512" t="s">
        <v>1281</v>
      </c>
      <c r="B15" s="527">
        <v>368</v>
      </c>
      <c r="C15" s="444">
        <v>1</v>
      </c>
      <c r="D15" s="527"/>
      <c r="E15" s="444"/>
      <c r="F15" s="527"/>
      <c r="G15" s="471"/>
      <c r="H15" s="527"/>
      <c r="I15" s="444"/>
      <c r="J15" s="527"/>
      <c r="K15" s="444"/>
      <c r="L15" s="527"/>
      <c r="M15" s="471"/>
      <c r="N15" s="527"/>
      <c r="O15" s="444"/>
      <c r="P15" s="527"/>
      <c r="Q15" s="444"/>
      <c r="R15" s="527"/>
      <c r="S15" s="472"/>
    </row>
    <row r="16" spans="1:19" ht="14.4" customHeight="1" x14ac:dyDescent="0.3">
      <c r="A16" s="512" t="s">
        <v>1282</v>
      </c>
      <c r="B16" s="527"/>
      <c r="C16" s="444"/>
      <c r="D16" s="527">
        <v>481</v>
      </c>
      <c r="E16" s="444"/>
      <c r="F16" s="527"/>
      <c r="G16" s="471"/>
      <c r="H16" s="527"/>
      <c r="I16" s="444"/>
      <c r="J16" s="527"/>
      <c r="K16" s="444"/>
      <c r="L16" s="527"/>
      <c r="M16" s="471"/>
      <c r="N16" s="527"/>
      <c r="O16" s="444"/>
      <c r="P16" s="527"/>
      <c r="Q16" s="444"/>
      <c r="R16" s="527"/>
      <c r="S16" s="472"/>
    </row>
    <row r="17" spans="1:19" ht="14.4" customHeight="1" x14ac:dyDescent="0.3">
      <c r="A17" s="512" t="s">
        <v>1283</v>
      </c>
      <c r="B17" s="527">
        <v>664</v>
      </c>
      <c r="C17" s="444">
        <v>1</v>
      </c>
      <c r="D17" s="527"/>
      <c r="E17" s="444"/>
      <c r="F17" s="527">
        <v>1065</v>
      </c>
      <c r="G17" s="471">
        <v>1.6039156626506024</v>
      </c>
      <c r="H17" s="527"/>
      <c r="I17" s="444"/>
      <c r="J17" s="527"/>
      <c r="K17" s="444"/>
      <c r="L17" s="527"/>
      <c r="M17" s="471"/>
      <c r="N17" s="527"/>
      <c r="O17" s="444"/>
      <c r="P17" s="527"/>
      <c r="Q17" s="444"/>
      <c r="R17" s="527"/>
      <c r="S17" s="472"/>
    </row>
    <row r="18" spans="1:19" ht="14.4" customHeight="1" x14ac:dyDescent="0.3">
      <c r="A18" s="512" t="s">
        <v>1284</v>
      </c>
      <c r="B18" s="527">
        <v>167</v>
      </c>
      <c r="C18" s="444">
        <v>1</v>
      </c>
      <c r="D18" s="527"/>
      <c r="E18" s="444"/>
      <c r="F18" s="527"/>
      <c r="G18" s="471"/>
      <c r="H18" s="527"/>
      <c r="I18" s="444"/>
      <c r="J18" s="527"/>
      <c r="K18" s="444"/>
      <c r="L18" s="527"/>
      <c r="M18" s="471"/>
      <c r="N18" s="527"/>
      <c r="O18" s="444"/>
      <c r="P18" s="527"/>
      <c r="Q18" s="444"/>
      <c r="R18" s="527"/>
      <c r="S18" s="472"/>
    </row>
    <row r="19" spans="1:19" ht="14.4" customHeight="1" x14ac:dyDescent="0.3">
      <c r="A19" s="512" t="s">
        <v>1285</v>
      </c>
      <c r="B19" s="527">
        <v>366</v>
      </c>
      <c r="C19" s="444">
        <v>1</v>
      </c>
      <c r="D19" s="527">
        <v>232</v>
      </c>
      <c r="E19" s="444">
        <v>0.63387978142076506</v>
      </c>
      <c r="F19" s="527">
        <v>116</v>
      </c>
      <c r="G19" s="471">
        <v>0.31693989071038253</v>
      </c>
      <c r="H19" s="527"/>
      <c r="I19" s="444"/>
      <c r="J19" s="527"/>
      <c r="K19" s="444"/>
      <c r="L19" s="527"/>
      <c r="M19" s="471"/>
      <c r="N19" s="527"/>
      <c r="O19" s="444"/>
      <c r="P19" s="527"/>
      <c r="Q19" s="444"/>
      <c r="R19" s="527"/>
      <c r="S19" s="472"/>
    </row>
    <row r="20" spans="1:19" ht="14.4" customHeight="1" x14ac:dyDescent="0.3">
      <c r="A20" s="512" t="s">
        <v>1286</v>
      </c>
      <c r="B20" s="527"/>
      <c r="C20" s="444"/>
      <c r="D20" s="527"/>
      <c r="E20" s="444"/>
      <c r="F20" s="527">
        <v>484</v>
      </c>
      <c r="G20" s="471"/>
      <c r="H20" s="527"/>
      <c r="I20" s="444"/>
      <c r="J20" s="527"/>
      <c r="K20" s="444"/>
      <c r="L20" s="527"/>
      <c r="M20" s="471"/>
      <c r="N20" s="527"/>
      <c r="O20" s="444"/>
      <c r="P20" s="527"/>
      <c r="Q20" s="444"/>
      <c r="R20" s="527"/>
      <c r="S20" s="472"/>
    </row>
    <row r="21" spans="1:19" ht="14.4" customHeight="1" x14ac:dyDescent="0.3">
      <c r="A21" s="512" t="s">
        <v>1287</v>
      </c>
      <c r="B21" s="527">
        <v>1437</v>
      </c>
      <c r="C21" s="444">
        <v>1</v>
      </c>
      <c r="D21" s="527"/>
      <c r="E21" s="444"/>
      <c r="F21" s="527">
        <v>116</v>
      </c>
      <c r="G21" s="471">
        <v>8.072372999304106E-2</v>
      </c>
      <c r="H21" s="527"/>
      <c r="I21" s="444"/>
      <c r="J21" s="527"/>
      <c r="K21" s="444"/>
      <c r="L21" s="527"/>
      <c r="M21" s="471"/>
      <c r="N21" s="527"/>
      <c r="O21" s="444"/>
      <c r="P21" s="527"/>
      <c r="Q21" s="444"/>
      <c r="R21" s="527"/>
      <c r="S21" s="472"/>
    </row>
    <row r="22" spans="1:19" ht="14.4" customHeight="1" x14ac:dyDescent="0.3">
      <c r="A22" s="512" t="s">
        <v>1288</v>
      </c>
      <c r="B22" s="527">
        <v>167</v>
      </c>
      <c r="C22" s="444">
        <v>1</v>
      </c>
      <c r="D22" s="527">
        <v>102</v>
      </c>
      <c r="E22" s="444">
        <v>0.6107784431137725</v>
      </c>
      <c r="F22" s="527">
        <v>116</v>
      </c>
      <c r="G22" s="471">
        <v>0.69461077844311381</v>
      </c>
      <c r="H22" s="527"/>
      <c r="I22" s="444"/>
      <c r="J22" s="527"/>
      <c r="K22" s="444"/>
      <c r="L22" s="527"/>
      <c r="M22" s="471"/>
      <c r="N22" s="527"/>
      <c r="O22" s="444"/>
      <c r="P22" s="527"/>
      <c r="Q22" s="444"/>
      <c r="R22" s="527"/>
      <c r="S22" s="472"/>
    </row>
    <row r="23" spans="1:19" ht="14.4" customHeight="1" x14ac:dyDescent="0.3">
      <c r="A23" s="512" t="s">
        <v>1289</v>
      </c>
      <c r="B23" s="527">
        <v>1193365</v>
      </c>
      <c r="C23" s="444">
        <v>1</v>
      </c>
      <c r="D23" s="527"/>
      <c r="E23" s="444"/>
      <c r="F23" s="527"/>
      <c r="G23" s="471"/>
      <c r="H23" s="527">
        <v>133886.84</v>
      </c>
      <c r="I23" s="444">
        <v>1</v>
      </c>
      <c r="J23" s="527"/>
      <c r="K23" s="444"/>
      <c r="L23" s="527"/>
      <c r="M23" s="471"/>
      <c r="N23" s="527"/>
      <c r="O23" s="444"/>
      <c r="P23" s="527"/>
      <c r="Q23" s="444"/>
      <c r="R23" s="527"/>
      <c r="S23" s="472"/>
    </row>
    <row r="24" spans="1:19" ht="14.4" customHeight="1" x14ac:dyDescent="0.3">
      <c r="A24" s="512" t="s">
        <v>1290</v>
      </c>
      <c r="B24" s="527"/>
      <c r="C24" s="444"/>
      <c r="D24" s="527">
        <v>1122</v>
      </c>
      <c r="E24" s="444"/>
      <c r="F24" s="527">
        <v>232</v>
      </c>
      <c r="G24" s="471"/>
      <c r="H24" s="527"/>
      <c r="I24" s="444"/>
      <c r="J24" s="527"/>
      <c r="K24" s="444"/>
      <c r="L24" s="527"/>
      <c r="M24" s="471"/>
      <c r="N24" s="527"/>
      <c r="O24" s="444"/>
      <c r="P24" s="527"/>
      <c r="Q24" s="444"/>
      <c r="R24" s="527"/>
      <c r="S24" s="472"/>
    </row>
    <row r="25" spans="1:19" ht="14.4" customHeight="1" x14ac:dyDescent="0.3">
      <c r="A25" s="512" t="s">
        <v>1291</v>
      </c>
      <c r="B25" s="527"/>
      <c r="C25" s="444"/>
      <c r="D25" s="527">
        <v>232</v>
      </c>
      <c r="E25" s="444"/>
      <c r="F25" s="527">
        <v>1684</v>
      </c>
      <c r="G25" s="471"/>
      <c r="H25" s="527"/>
      <c r="I25" s="444"/>
      <c r="J25" s="527"/>
      <c r="K25" s="444"/>
      <c r="L25" s="527"/>
      <c r="M25" s="471"/>
      <c r="N25" s="527"/>
      <c r="O25" s="444"/>
      <c r="P25" s="527"/>
      <c r="Q25" s="444"/>
      <c r="R25" s="527"/>
      <c r="S25" s="472"/>
    </row>
    <row r="26" spans="1:19" ht="14.4" customHeight="1" x14ac:dyDescent="0.3">
      <c r="A26" s="512" t="s">
        <v>1292</v>
      </c>
      <c r="B26" s="527"/>
      <c r="C26" s="444"/>
      <c r="D26" s="527">
        <v>232</v>
      </c>
      <c r="E26" s="444"/>
      <c r="F26" s="527"/>
      <c r="G26" s="471"/>
      <c r="H26" s="527"/>
      <c r="I26" s="444"/>
      <c r="J26" s="527"/>
      <c r="K26" s="444"/>
      <c r="L26" s="527"/>
      <c r="M26" s="471"/>
      <c r="N26" s="527"/>
      <c r="O26" s="444"/>
      <c r="P26" s="527"/>
      <c r="Q26" s="444"/>
      <c r="R26" s="527"/>
      <c r="S26" s="472"/>
    </row>
    <row r="27" spans="1:19" ht="14.4" customHeight="1" thickBot="1" x14ac:dyDescent="0.35">
      <c r="A27" s="529" t="s">
        <v>1293</v>
      </c>
      <c r="B27" s="528">
        <v>34</v>
      </c>
      <c r="C27" s="450">
        <v>1</v>
      </c>
      <c r="D27" s="528">
        <v>464</v>
      </c>
      <c r="E27" s="450">
        <v>13.647058823529411</v>
      </c>
      <c r="F27" s="528">
        <v>2932</v>
      </c>
      <c r="G27" s="473">
        <v>86.235294117647058</v>
      </c>
      <c r="H27" s="528"/>
      <c r="I27" s="450"/>
      <c r="J27" s="528"/>
      <c r="K27" s="450"/>
      <c r="L27" s="528"/>
      <c r="M27" s="473"/>
      <c r="N27" s="528"/>
      <c r="O27" s="450"/>
      <c r="P27" s="528"/>
      <c r="Q27" s="450"/>
      <c r="R27" s="528"/>
      <c r="S27" s="47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4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6" bestFit="1" customWidth="1"/>
    <col min="2" max="2" width="8.6640625" style="136" bestFit="1" customWidth="1"/>
    <col min="3" max="3" width="2.109375" style="136" bestFit="1" customWidth="1"/>
    <col min="4" max="4" width="8" style="136" bestFit="1" customWidth="1"/>
    <col min="5" max="5" width="52.88671875" style="136" bestFit="1" customWidth="1"/>
    <col min="6" max="7" width="11.109375" style="215" customWidth="1"/>
    <col min="8" max="9" width="9.33203125" style="215" hidden="1" customWidth="1"/>
    <col min="10" max="11" width="11.109375" style="215" customWidth="1"/>
    <col min="12" max="13" width="9.33203125" style="215" hidden="1" customWidth="1"/>
    <col min="14" max="15" width="11.109375" style="215" customWidth="1"/>
    <col min="16" max="16" width="11.109375" style="218" customWidth="1"/>
    <col min="17" max="17" width="11.109375" style="215" customWidth="1"/>
    <col min="18" max="16384" width="8.88671875" style="136"/>
  </cols>
  <sheetData>
    <row r="1" spans="1:17" ht="18.600000000000001" customHeight="1" thickBot="1" x14ac:dyDescent="0.4">
      <c r="A1" s="318" t="s">
        <v>1516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" customHeight="1" thickBot="1" x14ac:dyDescent="0.35">
      <c r="A2" s="243" t="s">
        <v>249</v>
      </c>
      <c r="B2" s="137"/>
      <c r="C2" s="137"/>
      <c r="D2" s="137"/>
      <c r="E2" s="137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7"/>
      <c r="Q2" s="236"/>
    </row>
    <row r="3" spans="1:17" ht="14.4" customHeight="1" thickBot="1" x14ac:dyDescent="0.35">
      <c r="E3" s="87" t="s">
        <v>136</v>
      </c>
      <c r="F3" s="106">
        <f t="shared" ref="F3:O3" si="0">SUBTOTAL(9,F6:F1048576)</f>
        <v>2126.5</v>
      </c>
      <c r="G3" s="107">
        <f t="shared" si="0"/>
        <v>1350994.84</v>
      </c>
      <c r="H3" s="107"/>
      <c r="I3" s="107"/>
      <c r="J3" s="107">
        <f t="shared" si="0"/>
        <v>81</v>
      </c>
      <c r="K3" s="107">
        <f t="shared" si="0"/>
        <v>17262</v>
      </c>
      <c r="L3" s="107"/>
      <c r="M3" s="107"/>
      <c r="N3" s="107">
        <f t="shared" si="0"/>
        <v>228</v>
      </c>
      <c r="O3" s="107">
        <f t="shared" si="0"/>
        <v>93730</v>
      </c>
      <c r="P3" s="75">
        <f>IF(G3=0,0,O3/G3)</f>
        <v>6.9378503325741789E-2</v>
      </c>
      <c r="Q3" s="108">
        <f>IF(N3=0,0,O3/N3)</f>
        <v>411.09649122807019</v>
      </c>
    </row>
    <row r="4" spans="1:17" ht="14.4" customHeight="1" x14ac:dyDescent="0.3">
      <c r="A4" s="389" t="s">
        <v>72</v>
      </c>
      <c r="B4" s="388" t="s">
        <v>99</v>
      </c>
      <c r="C4" s="389" t="s">
        <v>100</v>
      </c>
      <c r="D4" s="390" t="s">
        <v>101</v>
      </c>
      <c r="E4" s="391" t="s">
        <v>73</v>
      </c>
      <c r="F4" s="395">
        <v>2012</v>
      </c>
      <c r="G4" s="396"/>
      <c r="H4" s="109"/>
      <c r="I4" s="109"/>
      <c r="J4" s="395">
        <v>2013</v>
      </c>
      <c r="K4" s="396"/>
      <c r="L4" s="109"/>
      <c r="M4" s="109"/>
      <c r="N4" s="395">
        <v>2014</v>
      </c>
      <c r="O4" s="396"/>
      <c r="P4" s="397" t="s">
        <v>5</v>
      </c>
      <c r="Q4" s="387" t="s">
        <v>102</v>
      </c>
    </row>
    <row r="5" spans="1:17" ht="14.4" customHeight="1" thickBot="1" x14ac:dyDescent="0.35">
      <c r="A5" s="533"/>
      <c r="B5" s="532"/>
      <c r="C5" s="533"/>
      <c r="D5" s="534"/>
      <c r="E5" s="535"/>
      <c r="F5" s="541" t="s">
        <v>75</v>
      </c>
      <c r="G5" s="542" t="s">
        <v>17</v>
      </c>
      <c r="H5" s="543"/>
      <c r="I5" s="543"/>
      <c r="J5" s="541" t="s">
        <v>75</v>
      </c>
      <c r="K5" s="542" t="s">
        <v>17</v>
      </c>
      <c r="L5" s="543"/>
      <c r="M5" s="543"/>
      <c r="N5" s="541" t="s">
        <v>75</v>
      </c>
      <c r="O5" s="542" t="s">
        <v>17</v>
      </c>
      <c r="P5" s="544"/>
      <c r="Q5" s="540"/>
    </row>
    <row r="6" spans="1:17" ht="14.4" customHeight="1" x14ac:dyDescent="0.3">
      <c r="A6" s="486" t="s">
        <v>1294</v>
      </c>
      <c r="B6" s="487" t="s">
        <v>1091</v>
      </c>
      <c r="C6" s="487" t="s">
        <v>1112</v>
      </c>
      <c r="D6" s="487" t="s">
        <v>1123</v>
      </c>
      <c r="E6" s="487" t="s">
        <v>1124</v>
      </c>
      <c r="F6" s="122">
        <v>1</v>
      </c>
      <c r="G6" s="122">
        <v>34</v>
      </c>
      <c r="H6" s="122">
        <v>1</v>
      </c>
      <c r="I6" s="122">
        <v>34</v>
      </c>
      <c r="J6" s="122"/>
      <c r="K6" s="122"/>
      <c r="L6" s="122"/>
      <c r="M6" s="122"/>
      <c r="N6" s="122"/>
      <c r="O6" s="122"/>
      <c r="P6" s="492"/>
      <c r="Q6" s="503"/>
    </row>
    <row r="7" spans="1:17" ht="14.4" customHeight="1" x14ac:dyDescent="0.3">
      <c r="A7" s="443" t="s">
        <v>1294</v>
      </c>
      <c r="B7" s="444" t="s">
        <v>1091</v>
      </c>
      <c r="C7" s="444" t="s">
        <v>1112</v>
      </c>
      <c r="D7" s="444" t="s">
        <v>1182</v>
      </c>
      <c r="E7" s="444" t="s">
        <v>1183</v>
      </c>
      <c r="F7" s="447">
        <v>1</v>
      </c>
      <c r="G7" s="447">
        <v>75</v>
      </c>
      <c r="H7" s="447">
        <v>1</v>
      </c>
      <c r="I7" s="447">
        <v>75</v>
      </c>
      <c r="J7" s="447"/>
      <c r="K7" s="447"/>
      <c r="L7" s="447"/>
      <c r="M7" s="447"/>
      <c r="N7" s="447"/>
      <c r="O7" s="447"/>
      <c r="P7" s="471"/>
      <c r="Q7" s="448"/>
    </row>
    <row r="8" spans="1:17" ht="14.4" customHeight="1" x14ac:dyDescent="0.3">
      <c r="A8" s="443" t="s">
        <v>1294</v>
      </c>
      <c r="B8" s="444" t="s">
        <v>1091</v>
      </c>
      <c r="C8" s="444" t="s">
        <v>1112</v>
      </c>
      <c r="D8" s="444" t="s">
        <v>1218</v>
      </c>
      <c r="E8" s="444" t="s">
        <v>1219</v>
      </c>
      <c r="F8" s="447">
        <v>1</v>
      </c>
      <c r="G8" s="447">
        <v>621</v>
      </c>
      <c r="H8" s="447">
        <v>1</v>
      </c>
      <c r="I8" s="447">
        <v>621</v>
      </c>
      <c r="J8" s="447"/>
      <c r="K8" s="447"/>
      <c r="L8" s="447"/>
      <c r="M8" s="447"/>
      <c r="N8" s="447"/>
      <c r="O8" s="447"/>
      <c r="P8" s="471"/>
      <c r="Q8" s="448"/>
    </row>
    <row r="9" spans="1:17" ht="14.4" customHeight="1" x14ac:dyDescent="0.3">
      <c r="A9" s="443" t="s">
        <v>1294</v>
      </c>
      <c r="B9" s="444" t="s">
        <v>1091</v>
      </c>
      <c r="C9" s="444" t="s">
        <v>1112</v>
      </c>
      <c r="D9" s="444" t="s">
        <v>1226</v>
      </c>
      <c r="E9" s="444" t="s">
        <v>1227</v>
      </c>
      <c r="F9" s="447">
        <v>1</v>
      </c>
      <c r="G9" s="447">
        <v>240</v>
      </c>
      <c r="H9" s="447">
        <v>1</v>
      </c>
      <c r="I9" s="447">
        <v>240</v>
      </c>
      <c r="J9" s="447"/>
      <c r="K9" s="447"/>
      <c r="L9" s="447"/>
      <c r="M9" s="447"/>
      <c r="N9" s="447"/>
      <c r="O9" s="447"/>
      <c r="P9" s="471"/>
      <c r="Q9" s="448"/>
    </row>
    <row r="10" spans="1:17" ht="14.4" customHeight="1" x14ac:dyDescent="0.3">
      <c r="A10" s="443" t="s">
        <v>1295</v>
      </c>
      <c r="B10" s="444" t="s">
        <v>1091</v>
      </c>
      <c r="C10" s="444" t="s">
        <v>1112</v>
      </c>
      <c r="D10" s="444" t="s">
        <v>1136</v>
      </c>
      <c r="E10" s="444" t="s">
        <v>1137</v>
      </c>
      <c r="F10" s="447">
        <v>1</v>
      </c>
      <c r="G10" s="447">
        <v>332</v>
      </c>
      <c r="H10" s="447">
        <v>1</v>
      </c>
      <c r="I10" s="447">
        <v>332</v>
      </c>
      <c r="J10" s="447">
        <v>3</v>
      </c>
      <c r="K10" s="447">
        <v>696</v>
      </c>
      <c r="L10" s="447">
        <v>2.0963855421686746</v>
      </c>
      <c r="M10" s="447">
        <v>232</v>
      </c>
      <c r="N10" s="447"/>
      <c r="O10" s="447"/>
      <c r="P10" s="471"/>
      <c r="Q10" s="448"/>
    </row>
    <row r="11" spans="1:17" ht="14.4" customHeight="1" x14ac:dyDescent="0.3">
      <c r="A11" s="443" t="s">
        <v>1295</v>
      </c>
      <c r="B11" s="444" t="s">
        <v>1091</v>
      </c>
      <c r="C11" s="444" t="s">
        <v>1112</v>
      </c>
      <c r="D11" s="444" t="s">
        <v>1138</v>
      </c>
      <c r="E11" s="444" t="s">
        <v>1139</v>
      </c>
      <c r="F11" s="447"/>
      <c r="G11" s="447"/>
      <c r="H11" s="447"/>
      <c r="I11" s="447"/>
      <c r="J11" s="447">
        <v>1</v>
      </c>
      <c r="K11" s="447">
        <v>116</v>
      </c>
      <c r="L11" s="447"/>
      <c r="M11" s="447">
        <v>116</v>
      </c>
      <c r="N11" s="447"/>
      <c r="O11" s="447"/>
      <c r="P11" s="471"/>
      <c r="Q11" s="448"/>
    </row>
    <row r="12" spans="1:17" ht="14.4" customHeight="1" x14ac:dyDescent="0.3">
      <c r="A12" s="443" t="s">
        <v>1295</v>
      </c>
      <c r="B12" s="444" t="s">
        <v>1091</v>
      </c>
      <c r="C12" s="444" t="s">
        <v>1112</v>
      </c>
      <c r="D12" s="444" t="s">
        <v>1210</v>
      </c>
      <c r="E12" s="444" t="s">
        <v>1211</v>
      </c>
      <c r="F12" s="447">
        <v>1</v>
      </c>
      <c r="G12" s="447">
        <v>176</v>
      </c>
      <c r="H12" s="447">
        <v>1</v>
      </c>
      <c r="I12" s="447">
        <v>176</v>
      </c>
      <c r="J12" s="447"/>
      <c r="K12" s="447"/>
      <c r="L12" s="447"/>
      <c r="M12" s="447"/>
      <c r="N12" s="447"/>
      <c r="O12" s="447"/>
      <c r="P12" s="471"/>
      <c r="Q12" s="448"/>
    </row>
    <row r="13" spans="1:17" ht="14.4" customHeight="1" x14ac:dyDescent="0.3">
      <c r="A13" s="443" t="s">
        <v>1296</v>
      </c>
      <c r="B13" s="444" t="s">
        <v>1091</v>
      </c>
      <c r="C13" s="444" t="s">
        <v>1112</v>
      </c>
      <c r="D13" s="444" t="s">
        <v>1136</v>
      </c>
      <c r="E13" s="444" t="s">
        <v>1137</v>
      </c>
      <c r="F13" s="447"/>
      <c r="G13" s="447"/>
      <c r="H13" s="447"/>
      <c r="I13" s="447"/>
      <c r="J13" s="447">
        <v>1</v>
      </c>
      <c r="K13" s="447">
        <v>232</v>
      </c>
      <c r="L13" s="447"/>
      <c r="M13" s="447">
        <v>232</v>
      </c>
      <c r="N13" s="447">
        <v>1</v>
      </c>
      <c r="O13" s="447">
        <v>232</v>
      </c>
      <c r="P13" s="471"/>
      <c r="Q13" s="448">
        <v>232</v>
      </c>
    </row>
    <row r="14" spans="1:17" ht="14.4" customHeight="1" x14ac:dyDescent="0.3">
      <c r="A14" s="443" t="s">
        <v>1296</v>
      </c>
      <c r="B14" s="444" t="s">
        <v>1091</v>
      </c>
      <c r="C14" s="444" t="s">
        <v>1112</v>
      </c>
      <c r="D14" s="444" t="s">
        <v>1138</v>
      </c>
      <c r="E14" s="444" t="s">
        <v>1139</v>
      </c>
      <c r="F14" s="447"/>
      <c r="G14" s="447"/>
      <c r="H14" s="447"/>
      <c r="I14" s="447"/>
      <c r="J14" s="447">
        <v>1</v>
      </c>
      <c r="K14" s="447">
        <v>116</v>
      </c>
      <c r="L14" s="447"/>
      <c r="M14" s="447">
        <v>116</v>
      </c>
      <c r="N14" s="447">
        <v>2</v>
      </c>
      <c r="O14" s="447">
        <v>232</v>
      </c>
      <c r="P14" s="471"/>
      <c r="Q14" s="448">
        <v>116</v>
      </c>
    </row>
    <row r="15" spans="1:17" ht="14.4" customHeight="1" x14ac:dyDescent="0.3">
      <c r="A15" s="443" t="s">
        <v>1297</v>
      </c>
      <c r="B15" s="444" t="s">
        <v>1091</v>
      </c>
      <c r="C15" s="444" t="s">
        <v>1112</v>
      </c>
      <c r="D15" s="444" t="s">
        <v>1123</v>
      </c>
      <c r="E15" s="444" t="s">
        <v>1124</v>
      </c>
      <c r="F15" s="447"/>
      <c r="G15" s="447"/>
      <c r="H15" s="447"/>
      <c r="I15" s="447"/>
      <c r="J15" s="447">
        <v>19</v>
      </c>
      <c r="K15" s="447">
        <v>646</v>
      </c>
      <c r="L15" s="447"/>
      <c r="M15" s="447">
        <v>34</v>
      </c>
      <c r="N15" s="447">
        <v>18</v>
      </c>
      <c r="O15" s="447">
        <v>612</v>
      </c>
      <c r="P15" s="471"/>
      <c r="Q15" s="448">
        <v>34</v>
      </c>
    </row>
    <row r="16" spans="1:17" ht="14.4" customHeight="1" x14ac:dyDescent="0.3">
      <c r="A16" s="443" t="s">
        <v>1297</v>
      </c>
      <c r="B16" s="444" t="s">
        <v>1091</v>
      </c>
      <c r="C16" s="444" t="s">
        <v>1112</v>
      </c>
      <c r="D16" s="444" t="s">
        <v>1136</v>
      </c>
      <c r="E16" s="444" t="s">
        <v>1137</v>
      </c>
      <c r="F16" s="447">
        <v>1</v>
      </c>
      <c r="G16" s="447">
        <v>332</v>
      </c>
      <c r="H16" s="447">
        <v>1</v>
      </c>
      <c r="I16" s="447">
        <v>332</v>
      </c>
      <c r="J16" s="447">
        <v>1</v>
      </c>
      <c r="K16" s="447">
        <v>232</v>
      </c>
      <c r="L16" s="447">
        <v>0.6987951807228916</v>
      </c>
      <c r="M16" s="447">
        <v>232</v>
      </c>
      <c r="N16" s="447"/>
      <c r="O16" s="447"/>
      <c r="P16" s="471"/>
      <c r="Q16" s="448"/>
    </row>
    <row r="17" spans="1:17" ht="14.4" customHeight="1" x14ac:dyDescent="0.3">
      <c r="A17" s="443" t="s">
        <v>1297</v>
      </c>
      <c r="B17" s="444" t="s">
        <v>1091</v>
      </c>
      <c r="C17" s="444" t="s">
        <v>1112</v>
      </c>
      <c r="D17" s="444" t="s">
        <v>1138</v>
      </c>
      <c r="E17" s="444" t="s">
        <v>1139</v>
      </c>
      <c r="F17" s="447">
        <v>2</v>
      </c>
      <c r="G17" s="447">
        <v>334</v>
      </c>
      <c r="H17" s="447">
        <v>1</v>
      </c>
      <c r="I17" s="447">
        <v>167</v>
      </c>
      <c r="J17" s="447"/>
      <c r="K17" s="447"/>
      <c r="L17" s="447"/>
      <c r="M17" s="447"/>
      <c r="N17" s="447">
        <v>2</v>
      </c>
      <c r="O17" s="447">
        <v>232</v>
      </c>
      <c r="P17" s="471">
        <v>0.69461077844311381</v>
      </c>
      <c r="Q17" s="448">
        <v>116</v>
      </c>
    </row>
    <row r="18" spans="1:17" ht="14.4" customHeight="1" x14ac:dyDescent="0.3">
      <c r="A18" s="443" t="s">
        <v>1297</v>
      </c>
      <c r="B18" s="444" t="s">
        <v>1091</v>
      </c>
      <c r="C18" s="444" t="s">
        <v>1112</v>
      </c>
      <c r="D18" s="444" t="s">
        <v>1176</v>
      </c>
      <c r="E18" s="444" t="s">
        <v>1177</v>
      </c>
      <c r="F18" s="447"/>
      <c r="G18" s="447"/>
      <c r="H18" s="447"/>
      <c r="I18" s="447"/>
      <c r="J18" s="447">
        <v>3</v>
      </c>
      <c r="K18" s="447">
        <v>0</v>
      </c>
      <c r="L18" s="447"/>
      <c r="M18" s="447">
        <v>0</v>
      </c>
      <c r="N18" s="447"/>
      <c r="O18" s="447"/>
      <c r="P18" s="471"/>
      <c r="Q18" s="448"/>
    </row>
    <row r="19" spans="1:17" ht="14.4" customHeight="1" x14ac:dyDescent="0.3">
      <c r="A19" s="443" t="s">
        <v>1297</v>
      </c>
      <c r="B19" s="444" t="s">
        <v>1091</v>
      </c>
      <c r="C19" s="444" t="s">
        <v>1112</v>
      </c>
      <c r="D19" s="444" t="s">
        <v>1182</v>
      </c>
      <c r="E19" s="444" t="s">
        <v>1183</v>
      </c>
      <c r="F19" s="447"/>
      <c r="G19" s="447"/>
      <c r="H19" s="447"/>
      <c r="I19" s="447"/>
      <c r="J19" s="447"/>
      <c r="K19" s="447"/>
      <c r="L19" s="447"/>
      <c r="M19" s="447"/>
      <c r="N19" s="447">
        <v>4</v>
      </c>
      <c r="O19" s="447">
        <v>324</v>
      </c>
      <c r="P19" s="471"/>
      <c r="Q19" s="448">
        <v>81</v>
      </c>
    </row>
    <row r="20" spans="1:17" ht="14.4" customHeight="1" x14ac:dyDescent="0.3">
      <c r="A20" s="443" t="s">
        <v>1297</v>
      </c>
      <c r="B20" s="444" t="s">
        <v>1091</v>
      </c>
      <c r="C20" s="444" t="s">
        <v>1112</v>
      </c>
      <c r="D20" s="444" t="s">
        <v>1204</v>
      </c>
      <c r="E20" s="444" t="s">
        <v>1205</v>
      </c>
      <c r="F20" s="447"/>
      <c r="G20" s="447"/>
      <c r="H20" s="447"/>
      <c r="I20" s="447"/>
      <c r="J20" s="447"/>
      <c r="K20" s="447"/>
      <c r="L20" s="447"/>
      <c r="M20" s="447"/>
      <c r="N20" s="447">
        <v>1</v>
      </c>
      <c r="O20" s="447">
        <v>684</v>
      </c>
      <c r="P20" s="471"/>
      <c r="Q20" s="448">
        <v>684</v>
      </c>
    </row>
    <row r="21" spans="1:17" ht="14.4" customHeight="1" x14ac:dyDescent="0.3">
      <c r="A21" s="443" t="s">
        <v>1297</v>
      </c>
      <c r="B21" s="444" t="s">
        <v>1091</v>
      </c>
      <c r="C21" s="444" t="s">
        <v>1112</v>
      </c>
      <c r="D21" s="444" t="s">
        <v>1214</v>
      </c>
      <c r="E21" s="444" t="s">
        <v>1215</v>
      </c>
      <c r="F21" s="447"/>
      <c r="G21" s="447"/>
      <c r="H21" s="447"/>
      <c r="I21" s="447"/>
      <c r="J21" s="447"/>
      <c r="K21" s="447"/>
      <c r="L21" s="447"/>
      <c r="M21" s="447"/>
      <c r="N21" s="447">
        <v>1</v>
      </c>
      <c r="O21" s="447">
        <v>351</v>
      </c>
      <c r="P21" s="471"/>
      <c r="Q21" s="448">
        <v>351</v>
      </c>
    </row>
    <row r="22" spans="1:17" ht="14.4" customHeight="1" x14ac:dyDescent="0.3">
      <c r="A22" s="443" t="s">
        <v>1297</v>
      </c>
      <c r="B22" s="444" t="s">
        <v>1091</v>
      </c>
      <c r="C22" s="444" t="s">
        <v>1112</v>
      </c>
      <c r="D22" s="444" t="s">
        <v>1230</v>
      </c>
      <c r="E22" s="444" t="s">
        <v>1231</v>
      </c>
      <c r="F22" s="447"/>
      <c r="G22" s="447"/>
      <c r="H22" s="447"/>
      <c r="I22" s="447"/>
      <c r="J22" s="447"/>
      <c r="K22" s="447"/>
      <c r="L22" s="447"/>
      <c r="M22" s="447"/>
      <c r="N22" s="447">
        <v>1</v>
      </c>
      <c r="O22" s="447">
        <v>1653</v>
      </c>
      <c r="P22" s="471"/>
      <c r="Q22" s="448">
        <v>1653</v>
      </c>
    </row>
    <row r="23" spans="1:17" ht="14.4" customHeight="1" x14ac:dyDescent="0.3">
      <c r="A23" s="443" t="s">
        <v>1298</v>
      </c>
      <c r="B23" s="444" t="s">
        <v>1091</v>
      </c>
      <c r="C23" s="444" t="s">
        <v>1112</v>
      </c>
      <c r="D23" s="444" t="s">
        <v>1136</v>
      </c>
      <c r="E23" s="444" t="s">
        <v>1137</v>
      </c>
      <c r="F23" s="447"/>
      <c r="G23" s="447"/>
      <c r="H23" s="447"/>
      <c r="I23" s="447"/>
      <c r="J23" s="447"/>
      <c r="K23" s="447"/>
      <c r="L23" s="447"/>
      <c r="M23" s="447"/>
      <c r="N23" s="447">
        <v>1</v>
      </c>
      <c r="O23" s="447">
        <v>232</v>
      </c>
      <c r="P23" s="471"/>
      <c r="Q23" s="448">
        <v>232</v>
      </c>
    </row>
    <row r="24" spans="1:17" ht="14.4" customHeight="1" x14ac:dyDescent="0.3">
      <c r="A24" s="443" t="s">
        <v>1298</v>
      </c>
      <c r="B24" s="444" t="s">
        <v>1091</v>
      </c>
      <c r="C24" s="444" t="s">
        <v>1112</v>
      </c>
      <c r="D24" s="444" t="s">
        <v>1138</v>
      </c>
      <c r="E24" s="444" t="s">
        <v>1139</v>
      </c>
      <c r="F24" s="447"/>
      <c r="G24" s="447"/>
      <c r="H24" s="447"/>
      <c r="I24" s="447"/>
      <c r="J24" s="447"/>
      <c r="K24" s="447"/>
      <c r="L24" s="447"/>
      <c r="M24" s="447"/>
      <c r="N24" s="447">
        <v>1</v>
      </c>
      <c r="O24" s="447">
        <v>116</v>
      </c>
      <c r="P24" s="471"/>
      <c r="Q24" s="448">
        <v>116</v>
      </c>
    </row>
    <row r="25" spans="1:17" ht="14.4" customHeight="1" x14ac:dyDescent="0.3">
      <c r="A25" s="443" t="s">
        <v>1299</v>
      </c>
      <c r="B25" s="444" t="s">
        <v>1091</v>
      </c>
      <c r="C25" s="444" t="s">
        <v>1112</v>
      </c>
      <c r="D25" s="444" t="s">
        <v>1138</v>
      </c>
      <c r="E25" s="444" t="s">
        <v>1139</v>
      </c>
      <c r="F25" s="447"/>
      <c r="G25" s="447"/>
      <c r="H25" s="447"/>
      <c r="I25" s="447"/>
      <c r="J25" s="447"/>
      <c r="K25" s="447"/>
      <c r="L25" s="447"/>
      <c r="M25" s="447"/>
      <c r="N25" s="447">
        <v>1</v>
      </c>
      <c r="O25" s="447">
        <v>116</v>
      </c>
      <c r="P25" s="471"/>
      <c r="Q25" s="448">
        <v>116</v>
      </c>
    </row>
    <row r="26" spans="1:17" ht="14.4" customHeight="1" x14ac:dyDescent="0.3">
      <c r="A26" s="443" t="s">
        <v>1300</v>
      </c>
      <c r="B26" s="444" t="s">
        <v>1091</v>
      </c>
      <c r="C26" s="444" t="s">
        <v>1112</v>
      </c>
      <c r="D26" s="444" t="s">
        <v>1123</v>
      </c>
      <c r="E26" s="444" t="s">
        <v>1124</v>
      </c>
      <c r="F26" s="447">
        <v>1</v>
      </c>
      <c r="G26" s="447">
        <v>34</v>
      </c>
      <c r="H26" s="447">
        <v>1</v>
      </c>
      <c r="I26" s="447">
        <v>34</v>
      </c>
      <c r="J26" s="447">
        <v>2</v>
      </c>
      <c r="K26" s="447">
        <v>68</v>
      </c>
      <c r="L26" s="447">
        <v>2</v>
      </c>
      <c r="M26" s="447">
        <v>34</v>
      </c>
      <c r="N26" s="447">
        <v>5</v>
      </c>
      <c r="O26" s="447">
        <v>170</v>
      </c>
      <c r="P26" s="471">
        <v>5</v>
      </c>
      <c r="Q26" s="448">
        <v>34</v>
      </c>
    </row>
    <row r="27" spans="1:17" ht="14.4" customHeight="1" x14ac:dyDescent="0.3">
      <c r="A27" s="443" t="s">
        <v>1300</v>
      </c>
      <c r="B27" s="444" t="s">
        <v>1091</v>
      </c>
      <c r="C27" s="444" t="s">
        <v>1112</v>
      </c>
      <c r="D27" s="444" t="s">
        <v>1131</v>
      </c>
      <c r="E27" s="444" t="s">
        <v>1132</v>
      </c>
      <c r="F27" s="447"/>
      <c r="G27" s="447"/>
      <c r="H27" s="447"/>
      <c r="I27" s="447"/>
      <c r="J27" s="447"/>
      <c r="K27" s="447"/>
      <c r="L27" s="447"/>
      <c r="M27" s="447"/>
      <c r="N27" s="447">
        <v>1</v>
      </c>
      <c r="O27" s="447">
        <v>156</v>
      </c>
      <c r="P27" s="471"/>
      <c r="Q27" s="448">
        <v>156</v>
      </c>
    </row>
    <row r="28" spans="1:17" ht="14.4" customHeight="1" x14ac:dyDescent="0.3">
      <c r="A28" s="443" t="s">
        <v>1300</v>
      </c>
      <c r="B28" s="444" t="s">
        <v>1091</v>
      </c>
      <c r="C28" s="444" t="s">
        <v>1112</v>
      </c>
      <c r="D28" s="444" t="s">
        <v>1136</v>
      </c>
      <c r="E28" s="444" t="s">
        <v>1137</v>
      </c>
      <c r="F28" s="447">
        <v>8</v>
      </c>
      <c r="G28" s="447">
        <v>2656</v>
      </c>
      <c r="H28" s="447">
        <v>1</v>
      </c>
      <c r="I28" s="447">
        <v>332</v>
      </c>
      <c r="J28" s="447">
        <v>3</v>
      </c>
      <c r="K28" s="447">
        <v>696</v>
      </c>
      <c r="L28" s="447">
        <v>0.26204819277108432</v>
      </c>
      <c r="M28" s="447">
        <v>232</v>
      </c>
      <c r="N28" s="447">
        <v>2</v>
      </c>
      <c r="O28" s="447">
        <v>464</v>
      </c>
      <c r="P28" s="471">
        <v>0.1746987951807229</v>
      </c>
      <c r="Q28" s="448">
        <v>232</v>
      </c>
    </row>
    <row r="29" spans="1:17" ht="14.4" customHeight="1" x14ac:dyDescent="0.3">
      <c r="A29" s="443" t="s">
        <v>1300</v>
      </c>
      <c r="B29" s="444" t="s">
        <v>1091</v>
      </c>
      <c r="C29" s="444" t="s">
        <v>1112</v>
      </c>
      <c r="D29" s="444" t="s">
        <v>1138</v>
      </c>
      <c r="E29" s="444" t="s">
        <v>1139</v>
      </c>
      <c r="F29" s="447">
        <v>19</v>
      </c>
      <c r="G29" s="447">
        <v>3173</v>
      </c>
      <c r="H29" s="447">
        <v>1</v>
      </c>
      <c r="I29" s="447">
        <v>167</v>
      </c>
      <c r="J29" s="447">
        <v>15</v>
      </c>
      <c r="K29" s="447">
        <v>1740</v>
      </c>
      <c r="L29" s="447">
        <v>0.54837693034982671</v>
      </c>
      <c r="M29" s="447">
        <v>116</v>
      </c>
      <c r="N29" s="447">
        <v>38</v>
      </c>
      <c r="O29" s="447">
        <v>4408</v>
      </c>
      <c r="P29" s="471">
        <v>1.3892215568862276</v>
      </c>
      <c r="Q29" s="448">
        <v>116</v>
      </c>
    </row>
    <row r="30" spans="1:17" ht="14.4" customHeight="1" x14ac:dyDescent="0.3">
      <c r="A30" s="443" t="s">
        <v>1300</v>
      </c>
      <c r="B30" s="444" t="s">
        <v>1091</v>
      </c>
      <c r="C30" s="444" t="s">
        <v>1112</v>
      </c>
      <c r="D30" s="444" t="s">
        <v>1140</v>
      </c>
      <c r="E30" s="444" t="s">
        <v>1141</v>
      </c>
      <c r="F30" s="447"/>
      <c r="G30" s="447"/>
      <c r="H30" s="447"/>
      <c r="I30" s="447"/>
      <c r="J30" s="447"/>
      <c r="K30" s="447"/>
      <c r="L30" s="447"/>
      <c r="M30" s="447"/>
      <c r="N30" s="447">
        <v>1</v>
      </c>
      <c r="O30" s="447">
        <v>527</v>
      </c>
      <c r="P30" s="471"/>
      <c r="Q30" s="448">
        <v>527</v>
      </c>
    </row>
    <row r="31" spans="1:17" ht="14.4" customHeight="1" x14ac:dyDescent="0.3">
      <c r="A31" s="443" t="s">
        <v>1300</v>
      </c>
      <c r="B31" s="444" t="s">
        <v>1091</v>
      </c>
      <c r="C31" s="444" t="s">
        <v>1112</v>
      </c>
      <c r="D31" s="444" t="s">
        <v>1144</v>
      </c>
      <c r="E31" s="444" t="s">
        <v>1145</v>
      </c>
      <c r="F31" s="447"/>
      <c r="G31" s="447"/>
      <c r="H31" s="447"/>
      <c r="I31" s="447"/>
      <c r="J31" s="447"/>
      <c r="K31" s="447"/>
      <c r="L31" s="447"/>
      <c r="M31" s="447"/>
      <c r="N31" s="447">
        <v>15</v>
      </c>
      <c r="O31" s="447">
        <v>7215</v>
      </c>
      <c r="P31" s="471"/>
      <c r="Q31" s="448">
        <v>481</v>
      </c>
    </row>
    <row r="32" spans="1:17" ht="14.4" customHeight="1" x14ac:dyDescent="0.3">
      <c r="A32" s="443" t="s">
        <v>1300</v>
      </c>
      <c r="B32" s="444" t="s">
        <v>1091</v>
      </c>
      <c r="C32" s="444" t="s">
        <v>1112</v>
      </c>
      <c r="D32" s="444" t="s">
        <v>1146</v>
      </c>
      <c r="E32" s="444" t="s">
        <v>1147</v>
      </c>
      <c r="F32" s="447"/>
      <c r="G32" s="447"/>
      <c r="H32" s="447"/>
      <c r="I32" s="447"/>
      <c r="J32" s="447">
        <v>1</v>
      </c>
      <c r="K32" s="447">
        <v>659</v>
      </c>
      <c r="L32" s="447"/>
      <c r="M32" s="447">
        <v>659</v>
      </c>
      <c r="N32" s="447">
        <v>20</v>
      </c>
      <c r="O32" s="447">
        <v>13180</v>
      </c>
      <c r="P32" s="471"/>
      <c r="Q32" s="448">
        <v>659</v>
      </c>
    </row>
    <row r="33" spans="1:17" ht="14.4" customHeight="1" x14ac:dyDescent="0.3">
      <c r="A33" s="443" t="s">
        <v>1300</v>
      </c>
      <c r="B33" s="444" t="s">
        <v>1091</v>
      </c>
      <c r="C33" s="444" t="s">
        <v>1112</v>
      </c>
      <c r="D33" s="444" t="s">
        <v>1148</v>
      </c>
      <c r="E33" s="444" t="s">
        <v>1149</v>
      </c>
      <c r="F33" s="447"/>
      <c r="G33" s="447"/>
      <c r="H33" s="447"/>
      <c r="I33" s="447"/>
      <c r="J33" s="447"/>
      <c r="K33" s="447"/>
      <c r="L33" s="447"/>
      <c r="M33" s="447"/>
      <c r="N33" s="447">
        <v>24</v>
      </c>
      <c r="O33" s="447">
        <v>24024</v>
      </c>
      <c r="P33" s="471"/>
      <c r="Q33" s="448">
        <v>1001</v>
      </c>
    </row>
    <row r="34" spans="1:17" ht="14.4" customHeight="1" x14ac:dyDescent="0.3">
      <c r="A34" s="443" t="s">
        <v>1300</v>
      </c>
      <c r="B34" s="444" t="s">
        <v>1091</v>
      </c>
      <c r="C34" s="444" t="s">
        <v>1112</v>
      </c>
      <c r="D34" s="444" t="s">
        <v>1150</v>
      </c>
      <c r="E34" s="444" t="s">
        <v>1151</v>
      </c>
      <c r="F34" s="447"/>
      <c r="G34" s="447"/>
      <c r="H34" s="447"/>
      <c r="I34" s="447"/>
      <c r="J34" s="447"/>
      <c r="K34" s="447"/>
      <c r="L34" s="447"/>
      <c r="M34" s="447"/>
      <c r="N34" s="447">
        <v>3</v>
      </c>
      <c r="O34" s="447">
        <v>6000</v>
      </c>
      <c r="P34" s="471"/>
      <c r="Q34" s="448">
        <v>2000</v>
      </c>
    </row>
    <row r="35" spans="1:17" ht="14.4" customHeight="1" x14ac:dyDescent="0.3">
      <c r="A35" s="443" t="s">
        <v>1300</v>
      </c>
      <c r="B35" s="444" t="s">
        <v>1091</v>
      </c>
      <c r="C35" s="444" t="s">
        <v>1112</v>
      </c>
      <c r="D35" s="444" t="s">
        <v>1154</v>
      </c>
      <c r="E35" s="444" t="s">
        <v>1155</v>
      </c>
      <c r="F35" s="447"/>
      <c r="G35" s="447"/>
      <c r="H35" s="447"/>
      <c r="I35" s="447"/>
      <c r="J35" s="447"/>
      <c r="K35" s="447"/>
      <c r="L35" s="447"/>
      <c r="M35" s="447"/>
      <c r="N35" s="447">
        <v>1</v>
      </c>
      <c r="O35" s="447">
        <v>932</v>
      </c>
      <c r="P35" s="471"/>
      <c r="Q35" s="448">
        <v>932</v>
      </c>
    </row>
    <row r="36" spans="1:17" ht="14.4" customHeight="1" x14ac:dyDescent="0.3">
      <c r="A36" s="443" t="s">
        <v>1300</v>
      </c>
      <c r="B36" s="444" t="s">
        <v>1091</v>
      </c>
      <c r="C36" s="444" t="s">
        <v>1112</v>
      </c>
      <c r="D36" s="444" t="s">
        <v>1160</v>
      </c>
      <c r="E36" s="444" t="s">
        <v>1161</v>
      </c>
      <c r="F36" s="447"/>
      <c r="G36" s="447"/>
      <c r="H36" s="447"/>
      <c r="I36" s="447"/>
      <c r="J36" s="447"/>
      <c r="K36" s="447"/>
      <c r="L36" s="447"/>
      <c r="M36" s="447"/>
      <c r="N36" s="447">
        <v>7</v>
      </c>
      <c r="O36" s="447">
        <v>10493</v>
      </c>
      <c r="P36" s="471"/>
      <c r="Q36" s="448">
        <v>1499</v>
      </c>
    </row>
    <row r="37" spans="1:17" ht="14.4" customHeight="1" x14ac:dyDescent="0.3">
      <c r="A37" s="443" t="s">
        <v>1300</v>
      </c>
      <c r="B37" s="444" t="s">
        <v>1091</v>
      </c>
      <c r="C37" s="444" t="s">
        <v>1112</v>
      </c>
      <c r="D37" s="444" t="s">
        <v>1164</v>
      </c>
      <c r="E37" s="444" t="s">
        <v>1165</v>
      </c>
      <c r="F37" s="447"/>
      <c r="G37" s="447"/>
      <c r="H37" s="447"/>
      <c r="I37" s="447"/>
      <c r="J37" s="447">
        <v>1</v>
      </c>
      <c r="K37" s="447">
        <v>2198</v>
      </c>
      <c r="L37" s="447"/>
      <c r="M37" s="447">
        <v>2198</v>
      </c>
      <c r="N37" s="447"/>
      <c r="O37" s="447"/>
      <c r="P37" s="471"/>
      <c r="Q37" s="448"/>
    </row>
    <row r="38" spans="1:17" ht="14.4" customHeight="1" x14ac:dyDescent="0.3">
      <c r="A38" s="443" t="s">
        <v>1300</v>
      </c>
      <c r="B38" s="444" t="s">
        <v>1091</v>
      </c>
      <c r="C38" s="444" t="s">
        <v>1112</v>
      </c>
      <c r="D38" s="444" t="s">
        <v>1182</v>
      </c>
      <c r="E38" s="444" t="s">
        <v>1183</v>
      </c>
      <c r="F38" s="447"/>
      <c r="G38" s="447"/>
      <c r="H38" s="447"/>
      <c r="I38" s="447"/>
      <c r="J38" s="447">
        <v>1</v>
      </c>
      <c r="K38" s="447">
        <v>81</v>
      </c>
      <c r="L38" s="447"/>
      <c r="M38" s="447">
        <v>81</v>
      </c>
      <c r="N38" s="447">
        <v>25</v>
      </c>
      <c r="O38" s="447">
        <v>2025</v>
      </c>
      <c r="P38" s="471"/>
      <c r="Q38" s="448">
        <v>81</v>
      </c>
    </row>
    <row r="39" spans="1:17" ht="14.4" customHeight="1" x14ac:dyDescent="0.3">
      <c r="A39" s="443" t="s">
        <v>1300</v>
      </c>
      <c r="B39" s="444" t="s">
        <v>1091</v>
      </c>
      <c r="C39" s="444" t="s">
        <v>1112</v>
      </c>
      <c r="D39" s="444" t="s">
        <v>1188</v>
      </c>
      <c r="E39" s="444" t="s">
        <v>1189</v>
      </c>
      <c r="F39" s="447">
        <v>9</v>
      </c>
      <c r="G39" s="447">
        <v>4338</v>
      </c>
      <c r="H39" s="447">
        <v>1</v>
      </c>
      <c r="I39" s="447">
        <v>482</v>
      </c>
      <c r="J39" s="447"/>
      <c r="K39" s="447"/>
      <c r="L39" s="447"/>
      <c r="M39" s="447"/>
      <c r="N39" s="447">
        <v>1</v>
      </c>
      <c r="O39" s="447">
        <v>485</v>
      </c>
      <c r="P39" s="471">
        <v>0.11180267404333795</v>
      </c>
      <c r="Q39" s="448">
        <v>485</v>
      </c>
    </row>
    <row r="40" spans="1:17" ht="14.4" customHeight="1" x14ac:dyDescent="0.3">
      <c r="A40" s="443" t="s">
        <v>1300</v>
      </c>
      <c r="B40" s="444" t="s">
        <v>1091</v>
      </c>
      <c r="C40" s="444" t="s">
        <v>1112</v>
      </c>
      <c r="D40" s="444" t="s">
        <v>1301</v>
      </c>
      <c r="E40" s="444" t="s">
        <v>1302</v>
      </c>
      <c r="F40" s="447">
        <v>1</v>
      </c>
      <c r="G40" s="447">
        <v>564</v>
      </c>
      <c r="H40" s="447">
        <v>1</v>
      </c>
      <c r="I40" s="447">
        <v>564</v>
      </c>
      <c r="J40" s="447"/>
      <c r="K40" s="447"/>
      <c r="L40" s="447"/>
      <c r="M40" s="447"/>
      <c r="N40" s="447"/>
      <c r="O40" s="447"/>
      <c r="P40" s="471"/>
      <c r="Q40" s="448"/>
    </row>
    <row r="41" spans="1:17" ht="14.4" customHeight="1" x14ac:dyDescent="0.3">
      <c r="A41" s="443" t="s">
        <v>1300</v>
      </c>
      <c r="B41" s="444" t="s">
        <v>1091</v>
      </c>
      <c r="C41" s="444" t="s">
        <v>1112</v>
      </c>
      <c r="D41" s="444" t="s">
        <v>1196</v>
      </c>
      <c r="E41" s="444" t="s">
        <v>1197</v>
      </c>
      <c r="F41" s="447"/>
      <c r="G41" s="447"/>
      <c r="H41" s="447"/>
      <c r="I41" s="447"/>
      <c r="J41" s="447"/>
      <c r="K41" s="447"/>
      <c r="L41" s="447"/>
      <c r="M41" s="447"/>
      <c r="N41" s="447">
        <v>1</v>
      </c>
      <c r="O41" s="447">
        <v>431</v>
      </c>
      <c r="P41" s="471"/>
      <c r="Q41" s="448">
        <v>431</v>
      </c>
    </row>
    <row r="42" spans="1:17" ht="14.4" customHeight="1" x14ac:dyDescent="0.3">
      <c r="A42" s="443" t="s">
        <v>1300</v>
      </c>
      <c r="B42" s="444" t="s">
        <v>1091</v>
      </c>
      <c r="C42" s="444" t="s">
        <v>1112</v>
      </c>
      <c r="D42" s="444" t="s">
        <v>1204</v>
      </c>
      <c r="E42" s="444" t="s">
        <v>1205</v>
      </c>
      <c r="F42" s="447"/>
      <c r="G42" s="447"/>
      <c r="H42" s="447"/>
      <c r="I42" s="447"/>
      <c r="J42" s="447">
        <v>3</v>
      </c>
      <c r="K42" s="447">
        <v>2052</v>
      </c>
      <c r="L42" s="447"/>
      <c r="M42" s="447">
        <v>684</v>
      </c>
      <c r="N42" s="447">
        <v>3</v>
      </c>
      <c r="O42" s="447">
        <v>2052</v>
      </c>
      <c r="P42" s="471"/>
      <c r="Q42" s="448">
        <v>684</v>
      </c>
    </row>
    <row r="43" spans="1:17" ht="14.4" customHeight="1" x14ac:dyDescent="0.3">
      <c r="A43" s="443" t="s">
        <v>1300</v>
      </c>
      <c r="B43" s="444" t="s">
        <v>1091</v>
      </c>
      <c r="C43" s="444" t="s">
        <v>1112</v>
      </c>
      <c r="D43" s="444" t="s">
        <v>1212</v>
      </c>
      <c r="E43" s="444" t="s">
        <v>1213</v>
      </c>
      <c r="F43" s="447"/>
      <c r="G43" s="447"/>
      <c r="H43" s="447"/>
      <c r="I43" s="447"/>
      <c r="J43" s="447">
        <v>1</v>
      </c>
      <c r="K43" s="447">
        <v>119</v>
      </c>
      <c r="L43" s="447"/>
      <c r="M43" s="447">
        <v>119</v>
      </c>
      <c r="N43" s="447"/>
      <c r="O43" s="447"/>
      <c r="P43" s="471"/>
      <c r="Q43" s="448"/>
    </row>
    <row r="44" spans="1:17" ht="14.4" customHeight="1" x14ac:dyDescent="0.3">
      <c r="A44" s="443" t="s">
        <v>1300</v>
      </c>
      <c r="B44" s="444" t="s">
        <v>1091</v>
      </c>
      <c r="C44" s="444" t="s">
        <v>1112</v>
      </c>
      <c r="D44" s="444" t="s">
        <v>1214</v>
      </c>
      <c r="E44" s="444" t="s">
        <v>1215</v>
      </c>
      <c r="F44" s="447"/>
      <c r="G44" s="447"/>
      <c r="H44" s="447"/>
      <c r="I44" s="447"/>
      <c r="J44" s="447"/>
      <c r="K44" s="447"/>
      <c r="L44" s="447"/>
      <c r="M44" s="447"/>
      <c r="N44" s="447">
        <v>2</v>
      </c>
      <c r="O44" s="447">
        <v>702</v>
      </c>
      <c r="P44" s="471"/>
      <c r="Q44" s="448">
        <v>351</v>
      </c>
    </row>
    <row r="45" spans="1:17" ht="14.4" customHeight="1" x14ac:dyDescent="0.3">
      <c r="A45" s="443" t="s">
        <v>1300</v>
      </c>
      <c r="B45" s="444" t="s">
        <v>1091</v>
      </c>
      <c r="C45" s="444" t="s">
        <v>1112</v>
      </c>
      <c r="D45" s="444" t="s">
        <v>1224</v>
      </c>
      <c r="E45" s="444" t="s">
        <v>1225</v>
      </c>
      <c r="F45" s="447"/>
      <c r="G45" s="447"/>
      <c r="H45" s="447"/>
      <c r="I45" s="447"/>
      <c r="J45" s="447"/>
      <c r="K45" s="447"/>
      <c r="L45" s="447"/>
      <c r="M45" s="447"/>
      <c r="N45" s="447">
        <v>1</v>
      </c>
      <c r="O45" s="447">
        <v>200</v>
      </c>
      <c r="P45" s="471"/>
      <c r="Q45" s="448">
        <v>200</v>
      </c>
    </row>
    <row r="46" spans="1:17" ht="14.4" customHeight="1" x14ac:dyDescent="0.3">
      <c r="A46" s="443" t="s">
        <v>1300</v>
      </c>
      <c r="B46" s="444" t="s">
        <v>1091</v>
      </c>
      <c r="C46" s="444" t="s">
        <v>1112</v>
      </c>
      <c r="D46" s="444" t="s">
        <v>1226</v>
      </c>
      <c r="E46" s="444" t="s">
        <v>1227</v>
      </c>
      <c r="F46" s="447"/>
      <c r="G46" s="447"/>
      <c r="H46" s="447"/>
      <c r="I46" s="447"/>
      <c r="J46" s="447"/>
      <c r="K46" s="447"/>
      <c r="L46" s="447"/>
      <c r="M46" s="447"/>
      <c r="N46" s="447">
        <v>1</v>
      </c>
      <c r="O46" s="447">
        <v>241</v>
      </c>
      <c r="P46" s="471"/>
      <c r="Q46" s="448">
        <v>241</v>
      </c>
    </row>
    <row r="47" spans="1:17" ht="14.4" customHeight="1" x14ac:dyDescent="0.3">
      <c r="A47" s="443" t="s">
        <v>1300</v>
      </c>
      <c r="B47" s="444" t="s">
        <v>1091</v>
      </c>
      <c r="C47" s="444" t="s">
        <v>1112</v>
      </c>
      <c r="D47" s="444" t="s">
        <v>1230</v>
      </c>
      <c r="E47" s="444" t="s">
        <v>1231</v>
      </c>
      <c r="F47" s="447"/>
      <c r="G47" s="447"/>
      <c r="H47" s="447"/>
      <c r="I47" s="447"/>
      <c r="J47" s="447"/>
      <c r="K47" s="447"/>
      <c r="L47" s="447"/>
      <c r="M47" s="447"/>
      <c r="N47" s="447">
        <v>1</v>
      </c>
      <c r="O47" s="447">
        <v>1653</v>
      </c>
      <c r="P47" s="471"/>
      <c r="Q47" s="448">
        <v>1653</v>
      </c>
    </row>
    <row r="48" spans="1:17" ht="14.4" customHeight="1" x14ac:dyDescent="0.3">
      <c r="A48" s="443" t="s">
        <v>1300</v>
      </c>
      <c r="B48" s="444" t="s">
        <v>1091</v>
      </c>
      <c r="C48" s="444" t="s">
        <v>1112</v>
      </c>
      <c r="D48" s="444" t="s">
        <v>1244</v>
      </c>
      <c r="E48" s="444" t="s">
        <v>1245</v>
      </c>
      <c r="F48" s="447"/>
      <c r="G48" s="447"/>
      <c r="H48" s="447"/>
      <c r="I48" s="447"/>
      <c r="J48" s="447"/>
      <c r="K48" s="447"/>
      <c r="L48" s="447"/>
      <c r="M48" s="447"/>
      <c r="N48" s="447">
        <v>4</v>
      </c>
      <c r="O48" s="447">
        <v>3232</v>
      </c>
      <c r="P48" s="471"/>
      <c r="Q48" s="448">
        <v>808</v>
      </c>
    </row>
    <row r="49" spans="1:17" ht="14.4" customHeight="1" x14ac:dyDescent="0.3">
      <c r="A49" s="443" t="s">
        <v>1300</v>
      </c>
      <c r="B49" s="444" t="s">
        <v>1091</v>
      </c>
      <c r="C49" s="444" t="s">
        <v>1112</v>
      </c>
      <c r="D49" s="444" t="s">
        <v>1248</v>
      </c>
      <c r="E49" s="444" t="s">
        <v>1249</v>
      </c>
      <c r="F49" s="447"/>
      <c r="G49" s="447"/>
      <c r="H49" s="447"/>
      <c r="I49" s="447"/>
      <c r="J49" s="447">
        <v>1</v>
      </c>
      <c r="K49" s="447">
        <v>1154</v>
      </c>
      <c r="L49" s="447"/>
      <c r="M49" s="447">
        <v>1154</v>
      </c>
      <c r="N49" s="447">
        <v>1</v>
      </c>
      <c r="O49" s="447">
        <v>1154</v>
      </c>
      <c r="P49" s="471"/>
      <c r="Q49" s="448">
        <v>1154</v>
      </c>
    </row>
    <row r="50" spans="1:17" ht="14.4" customHeight="1" x14ac:dyDescent="0.3">
      <c r="A50" s="443" t="s">
        <v>1300</v>
      </c>
      <c r="B50" s="444" t="s">
        <v>1303</v>
      </c>
      <c r="C50" s="444" t="s">
        <v>1112</v>
      </c>
      <c r="D50" s="444" t="s">
        <v>1144</v>
      </c>
      <c r="E50" s="444" t="s">
        <v>1145</v>
      </c>
      <c r="F50" s="447">
        <v>2</v>
      </c>
      <c r="G50" s="447">
        <v>958</v>
      </c>
      <c r="H50" s="447">
        <v>1</v>
      </c>
      <c r="I50" s="447">
        <v>479</v>
      </c>
      <c r="J50" s="447"/>
      <c r="K50" s="447"/>
      <c r="L50" s="447"/>
      <c r="M50" s="447"/>
      <c r="N50" s="447"/>
      <c r="O50" s="447"/>
      <c r="P50" s="471"/>
      <c r="Q50" s="448"/>
    </row>
    <row r="51" spans="1:17" ht="14.4" customHeight="1" x14ac:dyDescent="0.3">
      <c r="A51" s="443" t="s">
        <v>1300</v>
      </c>
      <c r="B51" s="444" t="s">
        <v>1303</v>
      </c>
      <c r="C51" s="444" t="s">
        <v>1112</v>
      </c>
      <c r="D51" s="444" t="s">
        <v>1148</v>
      </c>
      <c r="E51" s="444" t="s">
        <v>1149</v>
      </c>
      <c r="F51" s="447">
        <v>3</v>
      </c>
      <c r="G51" s="447">
        <v>2991</v>
      </c>
      <c r="H51" s="447">
        <v>1</v>
      </c>
      <c r="I51" s="447">
        <v>997</v>
      </c>
      <c r="J51" s="447"/>
      <c r="K51" s="447"/>
      <c r="L51" s="447"/>
      <c r="M51" s="447"/>
      <c r="N51" s="447"/>
      <c r="O51" s="447"/>
      <c r="P51" s="471"/>
      <c r="Q51" s="448"/>
    </row>
    <row r="52" spans="1:17" ht="14.4" customHeight="1" x14ac:dyDescent="0.3">
      <c r="A52" s="443" t="s">
        <v>1300</v>
      </c>
      <c r="B52" s="444" t="s">
        <v>1303</v>
      </c>
      <c r="C52" s="444" t="s">
        <v>1112</v>
      </c>
      <c r="D52" s="444" t="s">
        <v>1150</v>
      </c>
      <c r="E52" s="444" t="s">
        <v>1151</v>
      </c>
      <c r="F52" s="447">
        <v>1</v>
      </c>
      <c r="G52" s="447">
        <v>1993</v>
      </c>
      <c r="H52" s="447">
        <v>1</v>
      </c>
      <c r="I52" s="447">
        <v>1993</v>
      </c>
      <c r="J52" s="447"/>
      <c r="K52" s="447"/>
      <c r="L52" s="447"/>
      <c r="M52" s="447"/>
      <c r="N52" s="447"/>
      <c r="O52" s="447"/>
      <c r="P52" s="471"/>
      <c r="Q52" s="448"/>
    </row>
    <row r="53" spans="1:17" ht="14.4" customHeight="1" x14ac:dyDescent="0.3">
      <c r="A53" s="443" t="s">
        <v>1300</v>
      </c>
      <c r="B53" s="444" t="s">
        <v>1303</v>
      </c>
      <c r="C53" s="444" t="s">
        <v>1112</v>
      </c>
      <c r="D53" s="444" t="s">
        <v>1304</v>
      </c>
      <c r="E53" s="444" t="s">
        <v>1305</v>
      </c>
      <c r="F53" s="447"/>
      <c r="G53" s="447"/>
      <c r="H53" s="447"/>
      <c r="I53" s="447"/>
      <c r="J53" s="447">
        <v>1</v>
      </c>
      <c r="K53" s="447">
        <v>2149</v>
      </c>
      <c r="L53" s="447"/>
      <c r="M53" s="447">
        <v>2149</v>
      </c>
      <c r="N53" s="447"/>
      <c r="O53" s="447"/>
      <c r="P53" s="471"/>
      <c r="Q53" s="448"/>
    </row>
    <row r="54" spans="1:17" ht="14.4" customHeight="1" x14ac:dyDescent="0.3">
      <c r="A54" s="443" t="s">
        <v>1300</v>
      </c>
      <c r="B54" s="444" t="s">
        <v>1303</v>
      </c>
      <c r="C54" s="444" t="s">
        <v>1112</v>
      </c>
      <c r="D54" s="444" t="s">
        <v>1182</v>
      </c>
      <c r="E54" s="444" t="s">
        <v>1183</v>
      </c>
      <c r="F54" s="447">
        <v>2</v>
      </c>
      <c r="G54" s="447">
        <v>150</v>
      </c>
      <c r="H54" s="447">
        <v>1</v>
      </c>
      <c r="I54" s="447">
        <v>75</v>
      </c>
      <c r="J54" s="447"/>
      <c r="K54" s="447"/>
      <c r="L54" s="447"/>
      <c r="M54" s="447"/>
      <c r="N54" s="447"/>
      <c r="O54" s="447"/>
      <c r="P54" s="471"/>
      <c r="Q54" s="448"/>
    </row>
    <row r="55" spans="1:17" ht="14.4" customHeight="1" x14ac:dyDescent="0.3">
      <c r="A55" s="443" t="s">
        <v>1300</v>
      </c>
      <c r="B55" s="444" t="s">
        <v>1303</v>
      </c>
      <c r="C55" s="444" t="s">
        <v>1112</v>
      </c>
      <c r="D55" s="444" t="s">
        <v>1200</v>
      </c>
      <c r="E55" s="444" t="s">
        <v>1201</v>
      </c>
      <c r="F55" s="447">
        <v>1</v>
      </c>
      <c r="G55" s="447">
        <v>1040</v>
      </c>
      <c r="H55" s="447">
        <v>1</v>
      </c>
      <c r="I55" s="447">
        <v>1040</v>
      </c>
      <c r="J55" s="447"/>
      <c r="K55" s="447"/>
      <c r="L55" s="447"/>
      <c r="M55" s="447"/>
      <c r="N55" s="447"/>
      <c r="O55" s="447"/>
      <c r="P55" s="471"/>
      <c r="Q55" s="448"/>
    </row>
    <row r="56" spans="1:17" ht="14.4" customHeight="1" x14ac:dyDescent="0.3">
      <c r="A56" s="443" t="s">
        <v>1306</v>
      </c>
      <c r="B56" s="444" t="s">
        <v>1091</v>
      </c>
      <c r="C56" s="444" t="s">
        <v>1112</v>
      </c>
      <c r="D56" s="444" t="s">
        <v>1136</v>
      </c>
      <c r="E56" s="444" t="s">
        <v>1137</v>
      </c>
      <c r="F56" s="447"/>
      <c r="G56" s="447"/>
      <c r="H56" s="447"/>
      <c r="I56" s="447"/>
      <c r="J56" s="447">
        <v>1</v>
      </c>
      <c r="K56" s="447">
        <v>232</v>
      </c>
      <c r="L56" s="447"/>
      <c r="M56" s="447">
        <v>232</v>
      </c>
      <c r="N56" s="447">
        <v>1</v>
      </c>
      <c r="O56" s="447">
        <v>232</v>
      </c>
      <c r="P56" s="471"/>
      <c r="Q56" s="448">
        <v>232</v>
      </c>
    </row>
    <row r="57" spans="1:17" ht="14.4" customHeight="1" x14ac:dyDescent="0.3">
      <c r="A57" s="443" t="s">
        <v>1306</v>
      </c>
      <c r="B57" s="444" t="s">
        <v>1091</v>
      </c>
      <c r="C57" s="444" t="s">
        <v>1112</v>
      </c>
      <c r="D57" s="444" t="s">
        <v>1138</v>
      </c>
      <c r="E57" s="444" t="s">
        <v>1139</v>
      </c>
      <c r="F57" s="447">
        <v>1</v>
      </c>
      <c r="G57" s="447">
        <v>167</v>
      </c>
      <c r="H57" s="447">
        <v>1</v>
      </c>
      <c r="I57" s="447">
        <v>167</v>
      </c>
      <c r="J57" s="447">
        <v>2</v>
      </c>
      <c r="K57" s="447">
        <v>232</v>
      </c>
      <c r="L57" s="447">
        <v>1.3892215568862276</v>
      </c>
      <c r="M57" s="447">
        <v>116</v>
      </c>
      <c r="N57" s="447">
        <v>2</v>
      </c>
      <c r="O57" s="447">
        <v>232</v>
      </c>
      <c r="P57" s="471">
        <v>1.3892215568862276</v>
      </c>
      <c r="Q57" s="448">
        <v>116</v>
      </c>
    </row>
    <row r="58" spans="1:17" ht="14.4" customHeight="1" x14ac:dyDescent="0.3">
      <c r="A58" s="443" t="s">
        <v>1306</v>
      </c>
      <c r="B58" s="444" t="s">
        <v>1091</v>
      </c>
      <c r="C58" s="444" t="s">
        <v>1112</v>
      </c>
      <c r="D58" s="444" t="s">
        <v>1182</v>
      </c>
      <c r="E58" s="444" t="s">
        <v>1183</v>
      </c>
      <c r="F58" s="447"/>
      <c r="G58" s="447"/>
      <c r="H58" s="447"/>
      <c r="I58" s="447"/>
      <c r="J58" s="447">
        <v>1</v>
      </c>
      <c r="K58" s="447">
        <v>81</v>
      </c>
      <c r="L58" s="447"/>
      <c r="M58" s="447">
        <v>81</v>
      </c>
      <c r="N58" s="447">
        <v>1</v>
      </c>
      <c r="O58" s="447">
        <v>81</v>
      </c>
      <c r="P58" s="471"/>
      <c r="Q58" s="448">
        <v>81</v>
      </c>
    </row>
    <row r="59" spans="1:17" ht="14.4" customHeight="1" x14ac:dyDescent="0.3">
      <c r="A59" s="443" t="s">
        <v>1306</v>
      </c>
      <c r="B59" s="444" t="s">
        <v>1091</v>
      </c>
      <c r="C59" s="444" t="s">
        <v>1112</v>
      </c>
      <c r="D59" s="444" t="s">
        <v>1218</v>
      </c>
      <c r="E59" s="444" t="s">
        <v>1219</v>
      </c>
      <c r="F59" s="447"/>
      <c r="G59" s="447"/>
      <c r="H59" s="447"/>
      <c r="I59" s="447"/>
      <c r="J59" s="447">
        <v>1</v>
      </c>
      <c r="K59" s="447">
        <v>623</v>
      </c>
      <c r="L59" s="447"/>
      <c r="M59" s="447">
        <v>623</v>
      </c>
      <c r="N59" s="447"/>
      <c r="O59" s="447"/>
      <c r="P59" s="471"/>
      <c r="Q59" s="448"/>
    </row>
    <row r="60" spans="1:17" ht="14.4" customHeight="1" x14ac:dyDescent="0.3">
      <c r="A60" s="443" t="s">
        <v>1306</v>
      </c>
      <c r="B60" s="444" t="s">
        <v>1091</v>
      </c>
      <c r="C60" s="444" t="s">
        <v>1112</v>
      </c>
      <c r="D60" s="444" t="s">
        <v>1226</v>
      </c>
      <c r="E60" s="444" t="s">
        <v>1227</v>
      </c>
      <c r="F60" s="447"/>
      <c r="G60" s="447"/>
      <c r="H60" s="447"/>
      <c r="I60" s="447"/>
      <c r="J60" s="447">
        <v>1</v>
      </c>
      <c r="K60" s="447">
        <v>241</v>
      </c>
      <c r="L60" s="447"/>
      <c r="M60" s="447">
        <v>241</v>
      </c>
      <c r="N60" s="447"/>
      <c r="O60" s="447"/>
      <c r="P60" s="471"/>
      <c r="Q60" s="448"/>
    </row>
    <row r="61" spans="1:17" ht="14.4" customHeight="1" x14ac:dyDescent="0.3">
      <c r="A61" s="443" t="s">
        <v>1306</v>
      </c>
      <c r="B61" s="444" t="s">
        <v>1091</v>
      </c>
      <c r="C61" s="444" t="s">
        <v>1112</v>
      </c>
      <c r="D61" s="444" t="s">
        <v>1250</v>
      </c>
      <c r="E61" s="444" t="s">
        <v>1251</v>
      </c>
      <c r="F61" s="447"/>
      <c r="G61" s="447"/>
      <c r="H61" s="447"/>
      <c r="I61" s="447"/>
      <c r="J61" s="447"/>
      <c r="K61" s="447"/>
      <c r="L61" s="447"/>
      <c r="M61" s="447"/>
      <c r="N61" s="447">
        <v>1</v>
      </c>
      <c r="O61" s="447">
        <v>1796</v>
      </c>
      <c r="P61" s="471"/>
      <c r="Q61" s="448">
        <v>1796</v>
      </c>
    </row>
    <row r="62" spans="1:17" ht="14.4" customHeight="1" x14ac:dyDescent="0.3">
      <c r="A62" s="443" t="s">
        <v>1307</v>
      </c>
      <c r="B62" s="444" t="s">
        <v>1091</v>
      </c>
      <c r="C62" s="444" t="s">
        <v>1112</v>
      </c>
      <c r="D62" s="444" t="s">
        <v>1123</v>
      </c>
      <c r="E62" s="444" t="s">
        <v>1124</v>
      </c>
      <c r="F62" s="447"/>
      <c r="G62" s="447"/>
      <c r="H62" s="447"/>
      <c r="I62" s="447"/>
      <c r="J62" s="447">
        <v>1</v>
      </c>
      <c r="K62" s="447">
        <v>34</v>
      </c>
      <c r="L62" s="447"/>
      <c r="M62" s="447">
        <v>34</v>
      </c>
      <c r="N62" s="447"/>
      <c r="O62" s="447"/>
      <c r="P62" s="471"/>
      <c r="Q62" s="448"/>
    </row>
    <row r="63" spans="1:17" ht="14.4" customHeight="1" x14ac:dyDescent="0.3">
      <c r="A63" s="443" t="s">
        <v>1307</v>
      </c>
      <c r="B63" s="444" t="s">
        <v>1091</v>
      </c>
      <c r="C63" s="444" t="s">
        <v>1112</v>
      </c>
      <c r="D63" s="444" t="s">
        <v>1136</v>
      </c>
      <c r="E63" s="444" t="s">
        <v>1137</v>
      </c>
      <c r="F63" s="447">
        <v>1</v>
      </c>
      <c r="G63" s="447">
        <v>332</v>
      </c>
      <c r="H63" s="447">
        <v>1</v>
      </c>
      <c r="I63" s="447">
        <v>332</v>
      </c>
      <c r="J63" s="447"/>
      <c r="K63" s="447"/>
      <c r="L63" s="447"/>
      <c r="M63" s="447"/>
      <c r="N63" s="447"/>
      <c r="O63" s="447"/>
      <c r="P63" s="471"/>
      <c r="Q63" s="448"/>
    </row>
    <row r="64" spans="1:17" ht="14.4" customHeight="1" x14ac:dyDescent="0.3">
      <c r="A64" s="443" t="s">
        <v>1307</v>
      </c>
      <c r="B64" s="444" t="s">
        <v>1091</v>
      </c>
      <c r="C64" s="444" t="s">
        <v>1112</v>
      </c>
      <c r="D64" s="444" t="s">
        <v>1138</v>
      </c>
      <c r="E64" s="444" t="s">
        <v>1139</v>
      </c>
      <c r="F64" s="447"/>
      <c r="G64" s="447"/>
      <c r="H64" s="447"/>
      <c r="I64" s="447"/>
      <c r="J64" s="447"/>
      <c r="K64" s="447"/>
      <c r="L64" s="447"/>
      <c r="M64" s="447"/>
      <c r="N64" s="447">
        <v>1</v>
      </c>
      <c r="O64" s="447">
        <v>116</v>
      </c>
      <c r="P64" s="471"/>
      <c r="Q64" s="448">
        <v>116</v>
      </c>
    </row>
    <row r="65" spans="1:17" ht="14.4" customHeight="1" x14ac:dyDescent="0.3">
      <c r="A65" s="443" t="s">
        <v>1308</v>
      </c>
      <c r="B65" s="444" t="s">
        <v>1091</v>
      </c>
      <c r="C65" s="444" t="s">
        <v>1112</v>
      </c>
      <c r="D65" s="444" t="s">
        <v>1123</v>
      </c>
      <c r="E65" s="444" t="s">
        <v>1124</v>
      </c>
      <c r="F65" s="447">
        <v>1</v>
      </c>
      <c r="G65" s="447">
        <v>34</v>
      </c>
      <c r="H65" s="447">
        <v>1</v>
      </c>
      <c r="I65" s="447">
        <v>34</v>
      </c>
      <c r="J65" s="447"/>
      <c r="K65" s="447"/>
      <c r="L65" s="447"/>
      <c r="M65" s="447"/>
      <c r="N65" s="447"/>
      <c r="O65" s="447"/>
      <c r="P65" s="471"/>
      <c r="Q65" s="448"/>
    </row>
    <row r="66" spans="1:17" ht="14.4" customHeight="1" x14ac:dyDescent="0.3">
      <c r="A66" s="443" t="s">
        <v>1308</v>
      </c>
      <c r="B66" s="444" t="s">
        <v>1091</v>
      </c>
      <c r="C66" s="444" t="s">
        <v>1112</v>
      </c>
      <c r="D66" s="444" t="s">
        <v>1138</v>
      </c>
      <c r="E66" s="444" t="s">
        <v>1139</v>
      </c>
      <c r="F66" s="447">
        <v>2</v>
      </c>
      <c r="G66" s="447">
        <v>334</v>
      </c>
      <c r="H66" s="447">
        <v>1</v>
      </c>
      <c r="I66" s="447">
        <v>167</v>
      </c>
      <c r="J66" s="447"/>
      <c r="K66" s="447"/>
      <c r="L66" s="447"/>
      <c r="M66" s="447"/>
      <c r="N66" s="447"/>
      <c r="O66" s="447"/>
      <c r="P66" s="471"/>
      <c r="Q66" s="448"/>
    </row>
    <row r="67" spans="1:17" ht="14.4" customHeight="1" x14ac:dyDescent="0.3">
      <c r="A67" s="443" t="s">
        <v>1309</v>
      </c>
      <c r="B67" s="444" t="s">
        <v>1091</v>
      </c>
      <c r="C67" s="444" t="s">
        <v>1112</v>
      </c>
      <c r="D67" s="444" t="s">
        <v>1144</v>
      </c>
      <c r="E67" s="444" t="s">
        <v>1145</v>
      </c>
      <c r="F67" s="447"/>
      <c r="G67" s="447"/>
      <c r="H67" s="447"/>
      <c r="I67" s="447"/>
      <c r="J67" s="447">
        <v>1</v>
      </c>
      <c r="K67" s="447">
        <v>481</v>
      </c>
      <c r="L67" s="447"/>
      <c r="M67" s="447">
        <v>481</v>
      </c>
      <c r="N67" s="447"/>
      <c r="O67" s="447"/>
      <c r="P67" s="471"/>
      <c r="Q67" s="448"/>
    </row>
    <row r="68" spans="1:17" ht="14.4" customHeight="1" x14ac:dyDescent="0.3">
      <c r="A68" s="443" t="s">
        <v>1310</v>
      </c>
      <c r="B68" s="444" t="s">
        <v>1091</v>
      </c>
      <c r="C68" s="444" t="s">
        <v>1112</v>
      </c>
      <c r="D68" s="444" t="s">
        <v>1136</v>
      </c>
      <c r="E68" s="444" t="s">
        <v>1137</v>
      </c>
      <c r="F68" s="447">
        <v>2</v>
      </c>
      <c r="G68" s="447">
        <v>664</v>
      </c>
      <c r="H68" s="447">
        <v>1</v>
      </c>
      <c r="I68" s="447">
        <v>332</v>
      </c>
      <c r="J68" s="447"/>
      <c r="K68" s="447"/>
      <c r="L68" s="447"/>
      <c r="M68" s="447"/>
      <c r="N68" s="447">
        <v>2</v>
      </c>
      <c r="O68" s="447">
        <v>464</v>
      </c>
      <c r="P68" s="471">
        <v>0.6987951807228916</v>
      </c>
      <c r="Q68" s="448">
        <v>232</v>
      </c>
    </row>
    <row r="69" spans="1:17" ht="14.4" customHeight="1" x14ac:dyDescent="0.3">
      <c r="A69" s="443" t="s">
        <v>1310</v>
      </c>
      <c r="B69" s="444" t="s">
        <v>1091</v>
      </c>
      <c r="C69" s="444" t="s">
        <v>1112</v>
      </c>
      <c r="D69" s="444" t="s">
        <v>1138</v>
      </c>
      <c r="E69" s="444" t="s">
        <v>1139</v>
      </c>
      <c r="F69" s="447"/>
      <c r="G69" s="447"/>
      <c r="H69" s="447"/>
      <c r="I69" s="447"/>
      <c r="J69" s="447"/>
      <c r="K69" s="447"/>
      <c r="L69" s="447"/>
      <c r="M69" s="447"/>
      <c r="N69" s="447">
        <v>1</v>
      </c>
      <c r="O69" s="447">
        <v>116</v>
      </c>
      <c r="P69" s="471"/>
      <c r="Q69" s="448">
        <v>116</v>
      </c>
    </row>
    <row r="70" spans="1:17" ht="14.4" customHeight="1" x14ac:dyDescent="0.3">
      <c r="A70" s="443" t="s">
        <v>1310</v>
      </c>
      <c r="B70" s="444" t="s">
        <v>1091</v>
      </c>
      <c r="C70" s="444" t="s">
        <v>1112</v>
      </c>
      <c r="D70" s="444" t="s">
        <v>1176</v>
      </c>
      <c r="E70" s="444" t="s">
        <v>1177</v>
      </c>
      <c r="F70" s="447">
        <v>1</v>
      </c>
      <c r="G70" s="447">
        <v>0</v>
      </c>
      <c r="H70" s="447"/>
      <c r="I70" s="447">
        <v>0</v>
      </c>
      <c r="J70" s="447"/>
      <c r="K70" s="447"/>
      <c r="L70" s="447"/>
      <c r="M70" s="447"/>
      <c r="N70" s="447"/>
      <c r="O70" s="447"/>
      <c r="P70" s="471"/>
      <c r="Q70" s="448"/>
    </row>
    <row r="71" spans="1:17" ht="14.4" customHeight="1" x14ac:dyDescent="0.3">
      <c r="A71" s="443" t="s">
        <v>1310</v>
      </c>
      <c r="B71" s="444" t="s">
        <v>1091</v>
      </c>
      <c r="C71" s="444" t="s">
        <v>1112</v>
      </c>
      <c r="D71" s="444" t="s">
        <v>1188</v>
      </c>
      <c r="E71" s="444" t="s">
        <v>1189</v>
      </c>
      <c r="F71" s="447"/>
      <c r="G71" s="447"/>
      <c r="H71" s="447"/>
      <c r="I71" s="447"/>
      <c r="J71" s="447"/>
      <c r="K71" s="447"/>
      <c r="L71" s="447"/>
      <c r="M71" s="447"/>
      <c r="N71" s="447">
        <v>1</v>
      </c>
      <c r="O71" s="447">
        <v>485</v>
      </c>
      <c r="P71" s="471"/>
      <c r="Q71" s="448">
        <v>485</v>
      </c>
    </row>
    <row r="72" spans="1:17" ht="14.4" customHeight="1" x14ac:dyDescent="0.3">
      <c r="A72" s="443" t="s">
        <v>1311</v>
      </c>
      <c r="B72" s="444" t="s">
        <v>1091</v>
      </c>
      <c r="C72" s="444" t="s">
        <v>1112</v>
      </c>
      <c r="D72" s="444" t="s">
        <v>1138</v>
      </c>
      <c r="E72" s="444" t="s">
        <v>1139</v>
      </c>
      <c r="F72" s="447">
        <v>1</v>
      </c>
      <c r="G72" s="447">
        <v>167</v>
      </c>
      <c r="H72" s="447">
        <v>1</v>
      </c>
      <c r="I72" s="447">
        <v>167</v>
      </c>
      <c r="J72" s="447"/>
      <c r="K72" s="447"/>
      <c r="L72" s="447"/>
      <c r="M72" s="447"/>
      <c r="N72" s="447"/>
      <c r="O72" s="447"/>
      <c r="P72" s="471"/>
      <c r="Q72" s="448"/>
    </row>
    <row r="73" spans="1:17" ht="14.4" customHeight="1" x14ac:dyDescent="0.3">
      <c r="A73" s="443" t="s">
        <v>1312</v>
      </c>
      <c r="B73" s="444" t="s">
        <v>1091</v>
      </c>
      <c r="C73" s="444" t="s">
        <v>1112</v>
      </c>
      <c r="D73" s="444" t="s">
        <v>1123</v>
      </c>
      <c r="E73" s="444" t="s">
        <v>1124</v>
      </c>
      <c r="F73" s="447">
        <v>1</v>
      </c>
      <c r="G73" s="447">
        <v>34</v>
      </c>
      <c r="H73" s="447">
        <v>1</v>
      </c>
      <c r="I73" s="447">
        <v>34</v>
      </c>
      <c r="J73" s="447"/>
      <c r="K73" s="447"/>
      <c r="L73" s="447"/>
      <c r="M73" s="447"/>
      <c r="N73" s="447"/>
      <c r="O73" s="447"/>
      <c r="P73" s="471"/>
      <c r="Q73" s="448"/>
    </row>
    <row r="74" spans="1:17" ht="14.4" customHeight="1" x14ac:dyDescent="0.3">
      <c r="A74" s="443" t="s">
        <v>1312</v>
      </c>
      <c r="B74" s="444" t="s">
        <v>1091</v>
      </c>
      <c r="C74" s="444" t="s">
        <v>1112</v>
      </c>
      <c r="D74" s="444" t="s">
        <v>1136</v>
      </c>
      <c r="E74" s="444" t="s">
        <v>1137</v>
      </c>
      <c r="F74" s="447">
        <v>1</v>
      </c>
      <c r="G74" s="447">
        <v>332</v>
      </c>
      <c r="H74" s="447">
        <v>1</v>
      </c>
      <c r="I74" s="447">
        <v>332</v>
      </c>
      <c r="J74" s="447"/>
      <c r="K74" s="447"/>
      <c r="L74" s="447"/>
      <c r="M74" s="447"/>
      <c r="N74" s="447"/>
      <c r="O74" s="447"/>
      <c r="P74" s="471"/>
      <c r="Q74" s="448"/>
    </row>
    <row r="75" spans="1:17" ht="14.4" customHeight="1" x14ac:dyDescent="0.3">
      <c r="A75" s="443" t="s">
        <v>1312</v>
      </c>
      <c r="B75" s="444" t="s">
        <v>1091</v>
      </c>
      <c r="C75" s="444" t="s">
        <v>1112</v>
      </c>
      <c r="D75" s="444" t="s">
        <v>1138</v>
      </c>
      <c r="E75" s="444" t="s">
        <v>1139</v>
      </c>
      <c r="F75" s="447"/>
      <c r="G75" s="447"/>
      <c r="H75" s="447"/>
      <c r="I75" s="447"/>
      <c r="J75" s="447">
        <v>2</v>
      </c>
      <c r="K75" s="447">
        <v>232</v>
      </c>
      <c r="L75" s="447"/>
      <c r="M75" s="447">
        <v>116</v>
      </c>
      <c r="N75" s="447">
        <v>1</v>
      </c>
      <c r="O75" s="447">
        <v>116</v>
      </c>
      <c r="P75" s="471"/>
      <c r="Q75" s="448">
        <v>116</v>
      </c>
    </row>
    <row r="76" spans="1:17" ht="14.4" customHeight="1" x14ac:dyDescent="0.3">
      <c r="A76" s="443" t="s">
        <v>1312</v>
      </c>
      <c r="B76" s="444" t="s">
        <v>1091</v>
      </c>
      <c r="C76" s="444" t="s">
        <v>1112</v>
      </c>
      <c r="D76" s="444" t="s">
        <v>1176</v>
      </c>
      <c r="E76" s="444" t="s">
        <v>1177</v>
      </c>
      <c r="F76" s="447">
        <v>1</v>
      </c>
      <c r="G76" s="447">
        <v>0</v>
      </c>
      <c r="H76" s="447"/>
      <c r="I76" s="447">
        <v>0</v>
      </c>
      <c r="J76" s="447"/>
      <c r="K76" s="447"/>
      <c r="L76" s="447"/>
      <c r="M76" s="447"/>
      <c r="N76" s="447"/>
      <c r="O76" s="447"/>
      <c r="P76" s="471"/>
      <c r="Q76" s="448"/>
    </row>
    <row r="77" spans="1:17" ht="14.4" customHeight="1" x14ac:dyDescent="0.3">
      <c r="A77" s="443" t="s">
        <v>1313</v>
      </c>
      <c r="B77" s="444" t="s">
        <v>1091</v>
      </c>
      <c r="C77" s="444" t="s">
        <v>1112</v>
      </c>
      <c r="D77" s="444" t="s">
        <v>1123</v>
      </c>
      <c r="E77" s="444" t="s">
        <v>1124</v>
      </c>
      <c r="F77" s="447"/>
      <c r="G77" s="447"/>
      <c r="H77" s="447"/>
      <c r="I77" s="447"/>
      <c r="J77" s="447"/>
      <c r="K77" s="447"/>
      <c r="L77" s="447"/>
      <c r="M77" s="447"/>
      <c r="N77" s="447">
        <v>4</v>
      </c>
      <c r="O77" s="447">
        <v>136</v>
      </c>
      <c r="P77" s="471"/>
      <c r="Q77" s="448">
        <v>34</v>
      </c>
    </row>
    <row r="78" spans="1:17" ht="14.4" customHeight="1" x14ac:dyDescent="0.3">
      <c r="A78" s="443" t="s">
        <v>1313</v>
      </c>
      <c r="B78" s="444" t="s">
        <v>1091</v>
      </c>
      <c r="C78" s="444" t="s">
        <v>1112</v>
      </c>
      <c r="D78" s="444" t="s">
        <v>1138</v>
      </c>
      <c r="E78" s="444" t="s">
        <v>1139</v>
      </c>
      <c r="F78" s="447"/>
      <c r="G78" s="447"/>
      <c r="H78" s="447"/>
      <c r="I78" s="447"/>
      <c r="J78" s="447"/>
      <c r="K78" s="447"/>
      <c r="L78" s="447"/>
      <c r="M78" s="447"/>
      <c r="N78" s="447">
        <v>3</v>
      </c>
      <c r="O78" s="447">
        <v>348</v>
      </c>
      <c r="P78" s="471"/>
      <c r="Q78" s="448">
        <v>116</v>
      </c>
    </row>
    <row r="79" spans="1:17" ht="14.4" customHeight="1" x14ac:dyDescent="0.3">
      <c r="A79" s="443" t="s">
        <v>1314</v>
      </c>
      <c r="B79" s="444" t="s">
        <v>1091</v>
      </c>
      <c r="C79" s="444" t="s">
        <v>1112</v>
      </c>
      <c r="D79" s="444" t="s">
        <v>1138</v>
      </c>
      <c r="E79" s="444" t="s">
        <v>1139</v>
      </c>
      <c r="F79" s="447">
        <v>3</v>
      </c>
      <c r="G79" s="447">
        <v>501</v>
      </c>
      <c r="H79" s="447">
        <v>1</v>
      </c>
      <c r="I79" s="447">
        <v>167</v>
      </c>
      <c r="J79" s="447"/>
      <c r="K79" s="447"/>
      <c r="L79" s="447"/>
      <c r="M79" s="447"/>
      <c r="N79" s="447">
        <v>1</v>
      </c>
      <c r="O79" s="447">
        <v>116</v>
      </c>
      <c r="P79" s="471">
        <v>0.2315369261477046</v>
      </c>
      <c r="Q79" s="448">
        <v>116</v>
      </c>
    </row>
    <row r="80" spans="1:17" ht="14.4" customHeight="1" x14ac:dyDescent="0.3">
      <c r="A80" s="443" t="s">
        <v>1314</v>
      </c>
      <c r="B80" s="444" t="s">
        <v>1303</v>
      </c>
      <c r="C80" s="444" t="s">
        <v>1112</v>
      </c>
      <c r="D80" s="444" t="s">
        <v>1182</v>
      </c>
      <c r="E80" s="444" t="s">
        <v>1183</v>
      </c>
      <c r="F80" s="447">
        <v>1</v>
      </c>
      <c r="G80" s="447">
        <v>75</v>
      </c>
      <c r="H80" s="447">
        <v>1</v>
      </c>
      <c r="I80" s="447">
        <v>75</v>
      </c>
      <c r="J80" s="447"/>
      <c r="K80" s="447"/>
      <c r="L80" s="447"/>
      <c r="M80" s="447"/>
      <c r="N80" s="447"/>
      <c r="O80" s="447"/>
      <c r="P80" s="471"/>
      <c r="Q80" s="448"/>
    </row>
    <row r="81" spans="1:17" ht="14.4" customHeight="1" x14ac:dyDescent="0.3">
      <c r="A81" s="443" t="s">
        <v>1314</v>
      </c>
      <c r="B81" s="444" t="s">
        <v>1303</v>
      </c>
      <c r="C81" s="444" t="s">
        <v>1112</v>
      </c>
      <c r="D81" s="444" t="s">
        <v>1218</v>
      </c>
      <c r="E81" s="444" t="s">
        <v>1219</v>
      </c>
      <c r="F81" s="447">
        <v>1</v>
      </c>
      <c r="G81" s="447">
        <v>621</v>
      </c>
      <c r="H81" s="447">
        <v>1</v>
      </c>
      <c r="I81" s="447">
        <v>621</v>
      </c>
      <c r="J81" s="447"/>
      <c r="K81" s="447"/>
      <c r="L81" s="447"/>
      <c r="M81" s="447"/>
      <c r="N81" s="447"/>
      <c r="O81" s="447"/>
      <c r="P81" s="471"/>
      <c r="Q81" s="448"/>
    </row>
    <row r="82" spans="1:17" ht="14.4" customHeight="1" x14ac:dyDescent="0.3">
      <c r="A82" s="443" t="s">
        <v>1314</v>
      </c>
      <c r="B82" s="444" t="s">
        <v>1303</v>
      </c>
      <c r="C82" s="444" t="s">
        <v>1112</v>
      </c>
      <c r="D82" s="444" t="s">
        <v>1226</v>
      </c>
      <c r="E82" s="444" t="s">
        <v>1227</v>
      </c>
      <c r="F82" s="447">
        <v>1</v>
      </c>
      <c r="G82" s="447">
        <v>240</v>
      </c>
      <c r="H82" s="447">
        <v>1</v>
      </c>
      <c r="I82" s="447">
        <v>240</v>
      </c>
      <c r="J82" s="447"/>
      <c r="K82" s="447"/>
      <c r="L82" s="447"/>
      <c r="M82" s="447"/>
      <c r="N82" s="447"/>
      <c r="O82" s="447"/>
      <c r="P82" s="471"/>
      <c r="Q82" s="448"/>
    </row>
    <row r="83" spans="1:17" ht="14.4" customHeight="1" x14ac:dyDescent="0.3">
      <c r="A83" s="443" t="s">
        <v>1315</v>
      </c>
      <c r="B83" s="444" t="s">
        <v>1091</v>
      </c>
      <c r="C83" s="444" t="s">
        <v>1112</v>
      </c>
      <c r="D83" s="444" t="s">
        <v>1123</v>
      </c>
      <c r="E83" s="444" t="s">
        <v>1124</v>
      </c>
      <c r="F83" s="447"/>
      <c r="G83" s="447"/>
      <c r="H83" s="447"/>
      <c r="I83" s="447"/>
      <c r="J83" s="447">
        <v>3</v>
      </c>
      <c r="K83" s="447">
        <v>102</v>
      </c>
      <c r="L83" s="447"/>
      <c r="M83" s="447">
        <v>34</v>
      </c>
      <c r="N83" s="447"/>
      <c r="O83" s="447"/>
      <c r="P83" s="471"/>
      <c r="Q83" s="448"/>
    </row>
    <row r="84" spans="1:17" ht="14.4" customHeight="1" x14ac:dyDescent="0.3">
      <c r="A84" s="443" t="s">
        <v>1315</v>
      </c>
      <c r="B84" s="444" t="s">
        <v>1091</v>
      </c>
      <c r="C84" s="444" t="s">
        <v>1112</v>
      </c>
      <c r="D84" s="444" t="s">
        <v>1138</v>
      </c>
      <c r="E84" s="444" t="s">
        <v>1139</v>
      </c>
      <c r="F84" s="447">
        <v>1</v>
      </c>
      <c r="G84" s="447">
        <v>167</v>
      </c>
      <c r="H84" s="447">
        <v>1</v>
      </c>
      <c r="I84" s="447">
        <v>167</v>
      </c>
      <c r="J84" s="447"/>
      <c r="K84" s="447"/>
      <c r="L84" s="447"/>
      <c r="M84" s="447"/>
      <c r="N84" s="447">
        <v>1</v>
      </c>
      <c r="O84" s="447">
        <v>116</v>
      </c>
      <c r="P84" s="471">
        <v>0.69461077844311381</v>
      </c>
      <c r="Q84" s="448">
        <v>116</v>
      </c>
    </row>
    <row r="85" spans="1:17" ht="14.4" customHeight="1" x14ac:dyDescent="0.3">
      <c r="A85" s="443" t="s">
        <v>437</v>
      </c>
      <c r="B85" s="444" t="s">
        <v>1316</v>
      </c>
      <c r="C85" s="444" t="s">
        <v>1112</v>
      </c>
      <c r="D85" s="444" t="s">
        <v>1317</v>
      </c>
      <c r="E85" s="444" t="s">
        <v>1318</v>
      </c>
      <c r="F85" s="447">
        <v>1</v>
      </c>
      <c r="G85" s="447">
        <v>269</v>
      </c>
      <c r="H85" s="447">
        <v>1</v>
      </c>
      <c r="I85" s="447">
        <v>269</v>
      </c>
      <c r="J85" s="447"/>
      <c r="K85" s="447"/>
      <c r="L85" s="447"/>
      <c r="M85" s="447"/>
      <c r="N85" s="447"/>
      <c r="O85" s="447"/>
      <c r="P85" s="471"/>
      <c r="Q85" s="448"/>
    </row>
    <row r="86" spans="1:17" ht="14.4" customHeight="1" x14ac:dyDescent="0.3">
      <c r="A86" s="443" t="s">
        <v>437</v>
      </c>
      <c r="B86" s="444" t="s">
        <v>1319</v>
      </c>
      <c r="C86" s="444" t="s">
        <v>1112</v>
      </c>
      <c r="D86" s="444" t="s">
        <v>1320</v>
      </c>
      <c r="E86" s="444" t="s">
        <v>1321</v>
      </c>
      <c r="F86" s="447">
        <v>1</v>
      </c>
      <c r="G86" s="447">
        <v>185</v>
      </c>
      <c r="H86" s="447">
        <v>1</v>
      </c>
      <c r="I86" s="447">
        <v>185</v>
      </c>
      <c r="J86" s="447"/>
      <c r="K86" s="447"/>
      <c r="L86" s="447"/>
      <c r="M86" s="447"/>
      <c r="N86" s="447"/>
      <c r="O86" s="447"/>
      <c r="P86" s="471"/>
      <c r="Q86" s="448"/>
    </row>
    <row r="87" spans="1:17" ht="14.4" customHeight="1" x14ac:dyDescent="0.3">
      <c r="A87" s="443" t="s">
        <v>437</v>
      </c>
      <c r="B87" s="444" t="s">
        <v>1319</v>
      </c>
      <c r="C87" s="444" t="s">
        <v>1112</v>
      </c>
      <c r="D87" s="444" t="s">
        <v>1322</v>
      </c>
      <c r="E87" s="444" t="s">
        <v>1323</v>
      </c>
      <c r="F87" s="447">
        <v>2</v>
      </c>
      <c r="G87" s="447">
        <v>232</v>
      </c>
      <c r="H87" s="447">
        <v>1</v>
      </c>
      <c r="I87" s="447">
        <v>116</v>
      </c>
      <c r="J87" s="447"/>
      <c r="K87" s="447"/>
      <c r="L87" s="447"/>
      <c r="M87" s="447"/>
      <c r="N87" s="447"/>
      <c r="O87" s="447"/>
      <c r="P87" s="471"/>
      <c r="Q87" s="448"/>
    </row>
    <row r="88" spans="1:17" ht="14.4" customHeight="1" x14ac:dyDescent="0.3">
      <c r="A88" s="443" t="s">
        <v>437</v>
      </c>
      <c r="B88" s="444" t="s">
        <v>1319</v>
      </c>
      <c r="C88" s="444" t="s">
        <v>1112</v>
      </c>
      <c r="D88" s="444" t="s">
        <v>1324</v>
      </c>
      <c r="E88" s="444" t="s">
        <v>1325</v>
      </c>
      <c r="F88" s="447">
        <v>4</v>
      </c>
      <c r="G88" s="447">
        <v>1932</v>
      </c>
      <c r="H88" s="447">
        <v>1</v>
      </c>
      <c r="I88" s="447">
        <v>483</v>
      </c>
      <c r="J88" s="447"/>
      <c r="K88" s="447"/>
      <c r="L88" s="447"/>
      <c r="M88" s="447"/>
      <c r="N88" s="447"/>
      <c r="O88" s="447"/>
      <c r="P88" s="471"/>
      <c r="Q88" s="448"/>
    </row>
    <row r="89" spans="1:17" ht="14.4" customHeight="1" x14ac:dyDescent="0.3">
      <c r="A89" s="443" t="s">
        <v>437</v>
      </c>
      <c r="B89" s="444" t="s">
        <v>1319</v>
      </c>
      <c r="C89" s="444" t="s">
        <v>1112</v>
      </c>
      <c r="D89" s="444" t="s">
        <v>1326</v>
      </c>
      <c r="E89" s="444" t="s">
        <v>1327</v>
      </c>
      <c r="F89" s="447">
        <v>60</v>
      </c>
      <c r="G89" s="447">
        <v>4860</v>
      </c>
      <c r="H89" s="447">
        <v>1</v>
      </c>
      <c r="I89" s="447">
        <v>81</v>
      </c>
      <c r="J89" s="447"/>
      <c r="K89" s="447"/>
      <c r="L89" s="447"/>
      <c r="M89" s="447"/>
      <c r="N89" s="447"/>
      <c r="O89" s="447"/>
      <c r="P89" s="471"/>
      <c r="Q89" s="448"/>
    </row>
    <row r="90" spans="1:17" ht="14.4" customHeight="1" x14ac:dyDescent="0.3">
      <c r="A90" s="443" t="s">
        <v>437</v>
      </c>
      <c r="B90" s="444" t="s">
        <v>1319</v>
      </c>
      <c r="C90" s="444" t="s">
        <v>1112</v>
      </c>
      <c r="D90" s="444" t="s">
        <v>1328</v>
      </c>
      <c r="E90" s="444" t="s">
        <v>1329</v>
      </c>
      <c r="F90" s="447">
        <v>10</v>
      </c>
      <c r="G90" s="447">
        <v>1720</v>
      </c>
      <c r="H90" s="447">
        <v>1</v>
      </c>
      <c r="I90" s="447">
        <v>172</v>
      </c>
      <c r="J90" s="447"/>
      <c r="K90" s="447"/>
      <c r="L90" s="447"/>
      <c r="M90" s="447"/>
      <c r="N90" s="447"/>
      <c r="O90" s="447"/>
      <c r="P90" s="471"/>
      <c r="Q90" s="448"/>
    </row>
    <row r="91" spans="1:17" ht="14.4" customHeight="1" x14ac:dyDescent="0.3">
      <c r="A91" s="443" t="s">
        <v>437</v>
      </c>
      <c r="B91" s="444" t="s">
        <v>1319</v>
      </c>
      <c r="C91" s="444" t="s">
        <v>1112</v>
      </c>
      <c r="D91" s="444" t="s">
        <v>1330</v>
      </c>
      <c r="E91" s="444" t="s">
        <v>1331</v>
      </c>
      <c r="F91" s="447">
        <v>49</v>
      </c>
      <c r="G91" s="447">
        <v>42091</v>
      </c>
      <c r="H91" s="447">
        <v>1</v>
      </c>
      <c r="I91" s="447">
        <v>859</v>
      </c>
      <c r="J91" s="447"/>
      <c r="K91" s="447"/>
      <c r="L91" s="447"/>
      <c r="M91" s="447"/>
      <c r="N91" s="447"/>
      <c r="O91" s="447"/>
      <c r="P91" s="471"/>
      <c r="Q91" s="448"/>
    </row>
    <row r="92" spans="1:17" ht="14.4" customHeight="1" x14ac:dyDescent="0.3">
      <c r="A92" s="443" t="s">
        <v>437</v>
      </c>
      <c r="B92" s="444" t="s">
        <v>1091</v>
      </c>
      <c r="C92" s="444" t="s">
        <v>1112</v>
      </c>
      <c r="D92" s="444" t="s">
        <v>1123</v>
      </c>
      <c r="E92" s="444" t="s">
        <v>1124</v>
      </c>
      <c r="F92" s="447">
        <v>22</v>
      </c>
      <c r="G92" s="447">
        <v>748</v>
      </c>
      <c r="H92" s="447">
        <v>1</v>
      </c>
      <c r="I92" s="447">
        <v>34</v>
      </c>
      <c r="J92" s="447"/>
      <c r="K92" s="447"/>
      <c r="L92" s="447"/>
      <c r="M92" s="447"/>
      <c r="N92" s="447"/>
      <c r="O92" s="447"/>
      <c r="P92" s="471"/>
      <c r="Q92" s="448"/>
    </row>
    <row r="93" spans="1:17" ht="14.4" customHeight="1" x14ac:dyDescent="0.3">
      <c r="A93" s="443" t="s">
        <v>437</v>
      </c>
      <c r="B93" s="444" t="s">
        <v>1091</v>
      </c>
      <c r="C93" s="444" t="s">
        <v>1112</v>
      </c>
      <c r="D93" s="444" t="s">
        <v>1136</v>
      </c>
      <c r="E93" s="444" t="s">
        <v>1137</v>
      </c>
      <c r="F93" s="447">
        <v>1</v>
      </c>
      <c r="G93" s="447">
        <v>332</v>
      </c>
      <c r="H93" s="447">
        <v>1</v>
      </c>
      <c r="I93" s="447">
        <v>332</v>
      </c>
      <c r="J93" s="447"/>
      <c r="K93" s="447"/>
      <c r="L93" s="447"/>
      <c r="M93" s="447"/>
      <c r="N93" s="447"/>
      <c r="O93" s="447"/>
      <c r="P93" s="471"/>
      <c r="Q93" s="448"/>
    </row>
    <row r="94" spans="1:17" ht="14.4" customHeight="1" x14ac:dyDescent="0.3">
      <c r="A94" s="443" t="s">
        <v>437</v>
      </c>
      <c r="B94" s="444" t="s">
        <v>1091</v>
      </c>
      <c r="C94" s="444" t="s">
        <v>1112</v>
      </c>
      <c r="D94" s="444" t="s">
        <v>1138</v>
      </c>
      <c r="E94" s="444" t="s">
        <v>1139</v>
      </c>
      <c r="F94" s="447">
        <v>1</v>
      </c>
      <c r="G94" s="447">
        <v>167</v>
      </c>
      <c r="H94" s="447">
        <v>1</v>
      </c>
      <c r="I94" s="447">
        <v>167</v>
      </c>
      <c r="J94" s="447"/>
      <c r="K94" s="447"/>
      <c r="L94" s="447"/>
      <c r="M94" s="447"/>
      <c r="N94" s="447"/>
      <c r="O94" s="447"/>
      <c r="P94" s="471"/>
      <c r="Q94" s="448"/>
    </row>
    <row r="95" spans="1:17" ht="14.4" customHeight="1" x14ac:dyDescent="0.3">
      <c r="A95" s="443" t="s">
        <v>437</v>
      </c>
      <c r="B95" s="444" t="s">
        <v>1303</v>
      </c>
      <c r="C95" s="444" t="s">
        <v>1092</v>
      </c>
      <c r="D95" s="444" t="s">
        <v>1332</v>
      </c>
      <c r="E95" s="444" t="s">
        <v>1333</v>
      </c>
      <c r="F95" s="447">
        <v>0.1</v>
      </c>
      <c r="G95" s="447">
        <v>23</v>
      </c>
      <c r="H95" s="447">
        <v>1</v>
      </c>
      <c r="I95" s="447">
        <v>230</v>
      </c>
      <c r="J95" s="447"/>
      <c r="K95" s="447"/>
      <c r="L95" s="447"/>
      <c r="M95" s="447"/>
      <c r="N95" s="447"/>
      <c r="O95" s="447"/>
      <c r="P95" s="471"/>
      <c r="Q95" s="448"/>
    </row>
    <row r="96" spans="1:17" ht="14.4" customHeight="1" x14ac:dyDescent="0.3">
      <c r="A96" s="443" t="s">
        <v>437</v>
      </c>
      <c r="B96" s="444" t="s">
        <v>1303</v>
      </c>
      <c r="C96" s="444" t="s">
        <v>1092</v>
      </c>
      <c r="D96" s="444" t="s">
        <v>1334</v>
      </c>
      <c r="E96" s="444" t="s">
        <v>1335</v>
      </c>
      <c r="F96" s="447">
        <v>19</v>
      </c>
      <c r="G96" s="447">
        <v>2620.86</v>
      </c>
      <c r="H96" s="447">
        <v>1</v>
      </c>
      <c r="I96" s="447">
        <v>137.94</v>
      </c>
      <c r="J96" s="447"/>
      <c r="K96" s="447"/>
      <c r="L96" s="447"/>
      <c r="M96" s="447"/>
      <c r="N96" s="447"/>
      <c r="O96" s="447"/>
      <c r="P96" s="471"/>
      <c r="Q96" s="448"/>
    </row>
    <row r="97" spans="1:17" ht="14.4" customHeight="1" x14ac:dyDescent="0.3">
      <c r="A97" s="443" t="s">
        <v>437</v>
      </c>
      <c r="B97" s="444" t="s">
        <v>1303</v>
      </c>
      <c r="C97" s="444" t="s">
        <v>1092</v>
      </c>
      <c r="D97" s="444" t="s">
        <v>1336</v>
      </c>
      <c r="E97" s="444" t="s">
        <v>1335</v>
      </c>
      <c r="F97" s="447">
        <v>31</v>
      </c>
      <c r="G97" s="447">
        <v>6484.27</v>
      </c>
      <c r="H97" s="447">
        <v>1</v>
      </c>
      <c r="I97" s="447">
        <v>209.17000000000002</v>
      </c>
      <c r="J97" s="447"/>
      <c r="K97" s="447"/>
      <c r="L97" s="447"/>
      <c r="M97" s="447"/>
      <c r="N97" s="447"/>
      <c r="O97" s="447"/>
      <c r="P97" s="471"/>
      <c r="Q97" s="448"/>
    </row>
    <row r="98" spans="1:17" ht="14.4" customHeight="1" x14ac:dyDescent="0.3">
      <c r="A98" s="443" t="s">
        <v>437</v>
      </c>
      <c r="B98" s="444" t="s">
        <v>1303</v>
      </c>
      <c r="C98" s="444" t="s">
        <v>1092</v>
      </c>
      <c r="D98" s="444" t="s">
        <v>1337</v>
      </c>
      <c r="E98" s="444" t="s">
        <v>817</v>
      </c>
      <c r="F98" s="447">
        <v>15</v>
      </c>
      <c r="G98" s="447">
        <v>1268.0999999999999</v>
      </c>
      <c r="H98" s="447">
        <v>1</v>
      </c>
      <c r="I98" s="447">
        <v>84.539999999999992</v>
      </c>
      <c r="J98" s="447"/>
      <c r="K98" s="447"/>
      <c r="L98" s="447"/>
      <c r="M98" s="447"/>
      <c r="N98" s="447"/>
      <c r="O98" s="447"/>
      <c r="P98" s="471"/>
      <c r="Q98" s="448"/>
    </row>
    <row r="99" spans="1:17" ht="14.4" customHeight="1" x14ac:dyDescent="0.3">
      <c r="A99" s="443" t="s">
        <v>437</v>
      </c>
      <c r="B99" s="444" t="s">
        <v>1303</v>
      </c>
      <c r="C99" s="444" t="s">
        <v>1092</v>
      </c>
      <c r="D99" s="444" t="s">
        <v>1338</v>
      </c>
      <c r="E99" s="444" t="s">
        <v>1088</v>
      </c>
      <c r="F99" s="447">
        <v>1.5</v>
      </c>
      <c r="G99" s="447">
        <v>5438.47</v>
      </c>
      <c r="H99" s="447">
        <v>1</v>
      </c>
      <c r="I99" s="447">
        <v>3625.646666666667</v>
      </c>
      <c r="J99" s="447"/>
      <c r="K99" s="447"/>
      <c r="L99" s="447"/>
      <c r="M99" s="447"/>
      <c r="N99" s="447"/>
      <c r="O99" s="447"/>
      <c r="P99" s="471"/>
      <c r="Q99" s="448"/>
    </row>
    <row r="100" spans="1:17" ht="14.4" customHeight="1" x14ac:dyDescent="0.3">
      <c r="A100" s="443" t="s">
        <v>437</v>
      </c>
      <c r="B100" s="444" t="s">
        <v>1303</v>
      </c>
      <c r="C100" s="444" t="s">
        <v>1092</v>
      </c>
      <c r="D100" s="444" t="s">
        <v>1101</v>
      </c>
      <c r="E100" s="444" t="s">
        <v>1102</v>
      </c>
      <c r="F100" s="447">
        <v>17.900000000000002</v>
      </c>
      <c r="G100" s="447">
        <v>6776.95</v>
      </c>
      <c r="H100" s="447">
        <v>1</v>
      </c>
      <c r="I100" s="447">
        <v>378.60055865921782</v>
      </c>
      <c r="J100" s="447"/>
      <c r="K100" s="447"/>
      <c r="L100" s="447"/>
      <c r="M100" s="447"/>
      <c r="N100" s="447"/>
      <c r="O100" s="447"/>
      <c r="P100" s="471"/>
      <c r="Q100" s="448"/>
    </row>
    <row r="101" spans="1:17" ht="14.4" customHeight="1" x14ac:dyDescent="0.3">
      <c r="A101" s="443" t="s">
        <v>437</v>
      </c>
      <c r="B101" s="444" t="s">
        <v>1303</v>
      </c>
      <c r="C101" s="444" t="s">
        <v>1092</v>
      </c>
      <c r="D101" s="444" t="s">
        <v>1339</v>
      </c>
      <c r="E101" s="444" t="s">
        <v>1340</v>
      </c>
      <c r="F101" s="447">
        <v>7.8</v>
      </c>
      <c r="G101" s="447">
        <v>4634.8999999999996</v>
      </c>
      <c r="H101" s="447">
        <v>1</v>
      </c>
      <c r="I101" s="447">
        <v>594.21794871794873</v>
      </c>
      <c r="J101" s="447"/>
      <c r="K101" s="447"/>
      <c r="L101" s="447"/>
      <c r="M101" s="447"/>
      <c r="N101" s="447"/>
      <c r="O101" s="447"/>
      <c r="P101" s="471"/>
      <c r="Q101" s="448"/>
    </row>
    <row r="102" spans="1:17" ht="14.4" customHeight="1" x14ac:dyDescent="0.3">
      <c r="A102" s="443" t="s">
        <v>437</v>
      </c>
      <c r="B102" s="444" t="s">
        <v>1303</v>
      </c>
      <c r="C102" s="444" t="s">
        <v>1092</v>
      </c>
      <c r="D102" s="444" t="s">
        <v>1341</v>
      </c>
      <c r="E102" s="444" t="s">
        <v>1342</v>
      </c>
      <c r="F102" s="447">
        <v>2</v>
      </c>
      <c r="G102" s="447">
        <v>209.76</v>
      </c>
      <c r="H102" s="447">
        <v>1</v>
      </c>
      <c r="I102" s="447">
        <v>104.88</v>
      </c>
      <c r="J102" s="447"/>
      <c r="K102" s="447"/>
      <c r="L102" s="447"/>
      <c r="M102" s="447"/>
      <c r="N102" s="447"/>
      <c r="O102" s="447"/>
      <c r="P102" s="471"/>
      <c r="Q102" s="448"/>
    </row>
    <row r="103" spans="1:17" ht="14.4" customHeight="1" x14ac:dyDescent="0.3">
      <c r="A103" s="443" t="s">
        <v>437</v>
      </c>
      <c r="B103" s="444" t="s">
        <v>1303</v>
      </c>
      <c r="C103" s="444" t="s">
        <v>1092</v>
      </c>
      <c r="D103" s="444" t="s">
        <v>1343</v>
      </c>
      <c r="E103" s="444" t="s">
        <v>1344</v>
      </c>
      <c r="F103" s="447">
        <v>3.4</v>
      </c>
      <c r="G103" s="447">
        <v>2020.32</v>
      </c>
      <c r="H103" s="447">
        <v>1</v>
      </c>
      <c r="I103" s="447">
        <v>594.21176470588239</v>
      </c>
      <c r="J103" s="447"/>
      <c r="K103" s="447"/>
      <c r="L103" s="447"/>
      <c r="M103" s="447"/>
      <c r="N103" s="447"/>
      <c r="O103" s="447"/>
      <c r="P103" s="471"/>
      <c r="Q103" s="448"/>
    </row>
    <row r="104" spans="1:17" ht="14.4" customHeight="1" x14ac:dyDescent="0.3">
      <c r="A104" s="443" t="s">
        <v>437</v>
      </c>
      <c r="B104" s="444" t="s">
        <v>1303</v>
      </c>
      <c r="C104" s="444" t="s">
        <v>1092</v>
      </c>
      <c r="D104" s="444" t="s">
        <v>1345</v>
      </c>
      <c r="E104" s="444" t="s">
        <v>1346</v>
      </c>
      <c r="F104" s="447">
        <v>0.3</v>
      </c>
      <c r="G104" s="447">
        <v>141.74</v>
      </c>
      <c r="H104" s="447">
        <v>1</v>
      </c>
      <c r="I104" s="447">
        <v>472.4666666666667</v>
      </c>
      <c r="J104" s="447"/>
      <c r="K104" s="447"/>
      <c r="L104" s="447"/>
      <c r="M104" s="447"/>
      <c r="N104" s="447"/>
      <c r="O104" s="447"/>
      <c r="P104" s="471"/>
      <c r="Q104" s="448"/>
    </row>
    <row r="105" spans="1:17" ht="14.4" customHeight="1" x14ac:dyDescent="0.3">
      <c r="A105" s="443" t="s">
        <v>437</v>
      </c>
      <c r="B105" s="444" t="s">
        <v>1303</v>
      </c>
      <c r="C105" s="444" t="s">
        <v>1092</v>
      </c>
      <c r="D105" s="444" t="s">
        <v>1347</v>
      </c>
      <c r="E105" s="444" t="s">
        <v>1348</v>
      </c>
      <c r="F105" s="447">
        <v>1.6</v>
      </c>
      <c r="G105" s="447">
        <v>142.36000000000001</v>
      </c>
      <c r="H105" s="447">
        <v>1</v>
      </c>
      <c r="I105" s="447">
        <v>88.975000000000009</v>
      </c>
      <c r="J105" s="447"/>
      <c r="K105" s="447"/>
      <c r="L105" s="447"/>
      <c r="M105" s="447"/>
      <c r="N105" s="447"/>
      <c r="O105" s="447"/>
      <c r="P105" s="471"/>
      <c r="Q105" s="448"/>
    </row>
    <row r="106" spans="1:17" ht="14.4" customHeight="1" x14ac:dyDescent="0.3">
      <c r="A106" s="443" t="s">
        <v>437</v>
      </c>
      <c r="B106" s="444" t="s">
        <v>1303</v>
      </c>
      <c r="C106" s="444" t="s">
        <v>1349</v>
      </c>
      <c r="D106" s="444" t="s">
        <v>1350</v>
      </c>
      <c r="E106" s="444" t="s">
        <v>1351</v>
      </c>
      <c r="F106" s="447">
        <v>6</v>
      </c>
      <c r="G106" s="447">
        <v>10692.960000000001</v>
      </c>
      <c r="H106" s="447">
        <v>1</v>
      </c>
      <c r="I106" s="447">
        <v>1782.16</v>
      </c>
      <c r="J106" s="447"/>
      <c r="K106" s="447"/>
      <c r="L106" s="447"/>
      <c r="M106" s="447"/>
      <c r="N106" s="447"/>
      <c r="O106" s="447"/>
      <c r="P106" s="471"/>
      <c r="Q106" s="448"/>
    </row>
    <row r="107" spans="1:17" ht="14.4" customHeight="1" x14ac:dyDescent="0.3">
      <c r="A107" s="443" t="s">
        <v>437</v>
      </c>
      <c r="B107" s="444" t="s">
        <v>1303</v>
      </c>
      <c r="C107" s="444" t="s">
        <v>1349</v>
      </c>
      <c r="D107" s="444" t="s">
        <v>1352</v>
      </c>
      <c r="E107" s="444" t="s">
        <v>1353</v>
      </c>
      <c r="F107" s="447">
        <v>2</v>
      </c>
      <c r="G107" s="447">
        <v>15445.5</v>
      </c>
      <c r="H107" s="447">
        <v>1</v>
      </c>
      <c r="I107" s="447">
        <v>7722.75</v>
      </c>
      <c r="J107" s="447"/>
      <c r="K107" s="447"/>
      <c r="L107" s="447"/>
      <c r="M107" s="447"/>
      <c r="N107" s="447"/>
      <c r="O107" s="447"/>
      <c r="P107" s="471"/>
      <c r="Q107" s="448"/>
    </row>
    <row r="108" spans="1:17" ht="14.4" customHeight="1" x14ac:dyDescent="0.3">
      <c r="A108" s="443" t="s">
        <v>437</v>
      </c>
      <c r="B108" s="444" t="s">
        <v>1303</v>
      </c>
      <c r="C108" s="444" t="s">
        <v>1349</v>
      </c>
      <c r="D108" s="444" t="s">
        <v>1354</v>
      </c>
      <c r="E108" s="444" t="s">
        <v>1355</v>
      </c>
      <c r="F108" s="447">
        <v>7</v>
      </c>
      <c r="G108" s="447">
        <v>6018.04</v>
      </c>
      <c r="H108" s="447">
        <v>1</v>
      </c>
      <c r="I108" s="447">
        <v>859.72</v>
      </c>
      <c r="J108" s="447"/>
      <c r="K108" s="447"/>
      <c r="L108" s="447"/>
      <c r="M108" s="447"/>
      <c r="N108" s="447"/>
      <c r="O108" s="447"/>
      <c r="P108" s="471"/>
      <c r="Q108" s="448"/>
    </row>
    <row r="109" spans="1:17" ht="14.4" customHeight="1" x14ac:dyDescent="0.3">
      <c r="A109" s="443" t="s">
        <v>437</v>
      </c>
      <c r="B109" s="444" t="s">
        <v>1303</v>
      </c>
      <c r="C109" s="444" t="s">
        <v>1105</v>
      </c>
      <c r="D109" s="444" t="s">
        <v>1356</v>
      </c>
      <c r="E109" s="444" t="s">
        <v>1357</v>
      </c>
      <c r="F109" s="447">
        <v>0.7</v>
      </c>
      <c r="G109" s="447">
        <v>230.98</v>
      </c>
      <c r="H109" s="447">
        <v>1</v>
      </c>
      <c r="I109" s="447">
        <v>329.97142857142859</v>
      </c>
      <c r="J109" s="447"/>
      <c r="K109" s="447"/>
      <c r="L109" s="447"/>
      <c r="M109" s="447"/>
      <c r="N109" s="447"/>
      <c r="O109" s="447"/>
      <c r="P109" s="471"/>
      <c r="Q109" s="448"/>
    </row>
    <row r="110" spans="1:17" ht="14.4" customHeight="1" x14ac:dyDescent="0.3">
      <c r="A110" s="443" t="s">
        <v>437</v>
      </c>
      <c r="B110" s="444" t="s">
        <v>1303</v>
      </c>
      <c r="C110" s="444" t="s">
        <v>1105</v>
      </c>
      <c r="D110" s="444" t="s">
        <v>1358</v>
      </c>
      <c r="E110" s="444" t="s">
        <v>1359</v>
      </c>
      <c r="F110" s="447">
        <v>0.1</v>
      </c>
      <c r="G110" s="447">
        <v>368.05</v>
      </c>
      <c r="H110" s="447">
        <v>1</v>
      </c>
      <c r="I110" s="447">
        <v>3680.5</v>
      </c>
      <c r="J110" s="447"/>
      <c r="K110" s="447"/>
      <c r="L110" s="447"/>
      <c r="M110" s="447"/>
      <c r="N110" s="447"/>
      <c r="O110" s="447"/>
      <c r="P110" s="471"/>
      <c r="Q110" s="448"/>
    </row>
    <row r="111" spans="1:17" ht="14.4" customHeight="1" x14ac:dyDescent="0.3">
      <c r="A111" s="443" t="s">
        <v>437</v>
      </c>
      <c r="B111" s="444" t="s">
        <v>1303</v>
      </c>
      <c r="C111" s="444" t="s">
        <v>1105</v>
      </c>
      <c r="D111" s="444" t="s">
        <v>1360</v>
      </c>
      <c r="E111" s="444" t="s">
        <v>1361</v>
      </c>
      <c r="F111" s="447">
        <v>1</v>
      </c>
      <c r="G111" s="447">
        <v>2625</v>
      </c>
      <c r="H111" s="447">
        <v>1</v>
      </c>
      <c r="I111" s="447">
        <v>2625</v>
      </c>
      <c r="J111" s="447"/>
      <c r="K111" s="447"/>
      <c r="L111" s="447"/>
      <c r="M111" s="447"/>
      <c r="N111" s="447"/>
      <c r="O111" s="447"/>
      <c r="P111" s="471"/>
      <c r="Q111" s="448"/>
    </row>
    <row r="112" spans="1:17" ht="14.4" customHeight="1" x14ac:dyDescent="0.3">
      <c r="A112" s="443" t="s">
        <v>437</v>
      </c>
      <c r="B112" s="444" t="s">
        <v>1303</v>
      </c>
      <c r="C112" s="444" t="s">
        <v>1105</v>
      </c>
      <c r="D112" s="444" t="s">
        <v>1362</v>
      </c>
      <c r="E112" s="444" t="s">
        <v>1363</v>
      </c>
      <c r="F112" s="447">
        <v>1</v>
      </c>
      <c r="G112" s="447">
        <v>2625</v>
      </c>
      <c r="H112" s="447">
        <v>1</v>
      </c>
      <c r="I112" s="447">
        <v>2625</v>
      </c>
      <c r="J112" s="447"/>
      <c r="K112" s="447"/>
      <c r="L112" s="447"/>
      <c r="M112" s="447"/>
      <c r="N112" s="447"/>
      <c r="O112" s="447"/>
      <c r="P112" s="471"/>
      <c r="Q112" s="448"/>
    </row>
    <row r="113" spans="1:17" ht="14.4" customHeight="1" x14ac:dyDescent="0.3">
      <c r="A113" s="443" t="s">
        <v>437</v>
      </c>
      <c r="B113" s="444" t="s">
        <v>1303</v>
      </c>
      <c r="C113" s="444" t="s">
        <v>1105</v>
      </c>
      <c r="D113" s="444" t="s">
        <v>1364</v>
      </c>
      <c r="E113" s="444" t="s">
        <v>1365</v>
      </c>
      <c r="F113" s="447">
        <v>2</v>
      </c>
      <c r="G113" s="447">
        <v>1578.58</v>
      </c>
      <c r="H113" s="447">
        <v>1</v>
      </c>
      <c r="I113" s="447">
        <v>789.29</v>
      </c>
      <c r="J113" s="447"/>
      <c r="K113" s="447"/>
      <c r="L113" s="447"/>
      <c r="M113" s="447"/>
      <c r="N113" s="447"/>
      <c r="O113" s="447"/>
      <c r="P113" s="471"/>
      <c r="Q113" s="448"/>
    </row>
    <row r="114" spans="1:17" ht="14.4" customHeight="1" x14ac:dyDescent="0.3">
      <c r="A114" s="443" t="s">
        <v>437</v>
      </c>
      <c r="B114" s="444" t="s">
        <v>1303</v>
      </c>
      <c r="C114" s="444" t="s">
        <v>1105</v>
      </c>
      <c r="D114" s="444" t="s">
        <v>1366</v>
      </c>
      <c r="E114" s="444" t="s">
        <v>1367</v>
      </c>
      <c r="F114" s="447">
        <v>16</v>
      </c>
      <c r="G114" s="447">
        <v>7763.68</v>
      </c>
      <c r="H114" s="447">
        <v>1</v>
      </c>
      <c r="I114" s="447">
        <v>485.23</v>
      </c>
      <c r="J114" s="447"/>
      <c r="K114" s="447"/>
      <c r="L114" s="447"/>
      <c r="M114" s="447"/>
      <c r="N114" s="447"/>
      <c r="O114" s="447"/>
      <c r="P114" s="471"/>
      <c r="Q114" s="448"/>
    </row>
    <row r="115" spans="1:17" ht="14.4" customHeight="1" x14ac:dyDescent="0.3">
      <c r="A115" s="443" t="s">
        <v>437</v>
      </c>
      <c r="B115" s="444" t="s">
        <v>1303</v>
      </c>
      <c r="C115" s="444" t="s">
        <v>1105</v>
      </c>
      <c r="D115" s="444" t="s">
        <v>1368</v>
      </c>
      <c r="E115" s="444" t="s">
        <v>1369</v>
      </c>
      <c r="F115" s="447">
        <v>1</v>
      </c>
      <c r="G115" s="447">
        <v>7829</v>
      </c>
      <c r="H115" s="447">
        <v>1</v>
      </c>
      <c r="I115" s="447">
        <v>7829</v>
      </c>
      <c r="J115" s="447"/>
      <c r="K115" s="447"/>
      <c r="L115" s="447"/>
      <c r="M115" s="447"/>
      <c r="N115" s="447"/>
      <c r="O115" s="447"/>
      <c r="P115" s="471"/>
      <c r="Q115" s="448"/>
    </row>
    <row r="116" spans="1:17" ht="14.4" customHeight="1" x14ac:dyDescent="0.3">
      <c r="A116" s="443" t="s">
        <v>437</v>
      </c>
      <c r="B116" s="444" t="s">
        <v>1303</v>
      </c>
      <c r="C116" s="444" t="s">
        <v>1105</v>
      </c>
      <c r="D116" s="444" t="s">
        <v>1370</v>
      </c>
      <c r="E116" s="444" t="s">
        <v>1371</v>
      </c>
      <c r="F116" s="447">
        <v>1</v>
      </c>
      <c r="G116" s="447">
        <v>5101</v>
      </c>
      <c r="H116" s="447">
        <v>1</v>
      </c>
      <c r="I116" s="447">
        <v>5101</v>
      </c>
      <c r="J116" s="447"/>
      <c r="K116" s="447"/>
      <c r="L116" s="447"/>
      <c r="M116" s="447"/>
      <c r="N116" s="447"/>
      <c r="O116" s="447"/>
      <c r="P116" s="471"/>
      <c r="Q116" s="448"/>
    </row>
    <row r="117" spans="1:17" ht="14.4" customHeight="1" x14ac:dyDescent="0.3">
      <c r="A117" s="443" t="s">
        <v>437</v>
      </c>
      <c r="B117" s="444" t="s">
        <v>1303</v>
      </c>
      <c r="C117" s="444" t="s">
        <v>1105</v>
      </c>
      <c r="D117" s="444" t="s">
        <v>1372</v>
      </c>
      <c r="E117" s="444" t="s">
        <v>1373</v>
      </c>
      <c r="F117" s="447">
        <v>1</v>
      </c>
      <c r="G117" s="447">
        <v>68</v>
      </c>
      <c r="H117" s="447">
        <v>1</v>
      </c>
      <c r="I117" s="447">
        <v>68</v>
      </c>
      <c r="J117" s="447"/>
      <c r="K117" s="447"/>
      <c r="L117" s="447"/>
      <c r="M117" s="447"/>
      <c r="N117" s="447"/>
      <c r="O117" s="447"/>
      <c r="P117" s="471"/>
      <c r="Q117" s="448"/>
    </row>
    <row r="118" spans="1:17" ht="14.4" customHeight="1" x14ac:dyDescent="0.3">
      <c r="A118" s="443" t="s">
        <v>437</v>
      </c>
      <c r="B118" s="444" t="s">
        <v>1303</v>
      </c>
      <c r="C118" s="444" t="s">
        <v>1105</v>
      </c>
      <c r="D118" s="444" t="s">
        <v>1374</v>
      </c>
      <c r="E118" s="444" t="s">
        <v>1375</v>
      </c>
      <c r="F118" s="447">
        <v>12</v>
      </c>
      <c r="G118" s="447">
        <v>16848</v>
      </c>
      <c r="H118" s="447">
        <v>1</v>
      </c>
      <c r="I118" s="447">
        <v>1404</v>
      </c>
      <c r="J118" s="447"/>
      <c r="K118" s="447"/>
      <c r="L118" s="447"/>
      <c r="M118" s="447"/>
      <c r="N118" s="447"/>
      <c r="O118" s="447"/>
      <c r="P118" s="471"/>
      <c r="Q118" s="448"/>
    </row>
    <row r="119" spans="1:17" ht="14.4" customHeight="1" x14ac:dyDescent="0.3">
      <c r="A119" s="443" t="s">
        <v>437</v>
      </c>
      <c r="B119" s="444" t="s">
        <v>1303</v>
      </c>
      <c r="C119" s="444" t="s">
        <v>1105</v>
      </c>
      <c r="D119" s="444" t="s">
        <v>1376</v>
      </c>
      <c r="E119" s="444" t="s">
        <v>1377</v>
      </c>
      <c r="F119" s="447">
        <v>8</v>
      </c>
      <c r="G119" s="447">
        <v>10496</v>
      </c>
      <c r="H119" s="447">
        <v>1</v>
      </c>
      <c r="I119" s="447">
        <v>1312</v>
      </c>
      <c r="J119" s="447"/>
      <c r="K119" s="447"/>
      <c r="L119" s="447"/>
      <c r="M119" s="447"/>
      <c r="N119" s="447"/>
      <c r="O119" s="447"/>
      <c r="P119" s="471"/>
      <c r="Q119" s="448"/>
    </row>
    <row r="120" spans="1:17" ht="14.4" customHeight="1" x14ac:dyDescent="0.3">
      <c r="A120" s="443" t="s">
        <v>437</v>
      </c>
      <c r="B120" s="444" t="s">
        <v>1303</v>
      </c>
      <c r="C120" s="444" t="s">
        <v>1105</v>
      </c>
      <c r="D120" s="444" t="s">
        <v>1378</v>
      </c>
      <c r="E120" s="444" t="s">
        <v>1379</v>
      </c>
      <c r="F120" s="447">
        <v>2</v>
      </c>
      <c r="G120" s="447">
        <v>640.88</v>
      </c>
      <c r="H120" s="447">
        <v>1</v>
      </c>
      <c r="I120" s="447">
        <v>320.44</v>
      </c>
      <c r="J120" s="447"/>
      <c r="K120" s="447"/>
      <c r="L120" s="447"/>
      <c r="M120" s="447"/>
      <c r="N120" s="447"/>
      <c r="O120" s="447"/>
      <c r="P120" s="471"/>
      <c r="Q120" s="448"/>
    </row>
    <row r="121" spans="1:17" ht="14.4" customHeight="1" x14ac:dyDescent="0.3">
      <c r="A121" s="443" t="s">
        <v>437</v>
      </c>
      <c r="B121" s="444" t="s">
        <v>1303</v>
      </c>
      <c r="C121" s="444" t="s">
        <v>1105</v>
      </c>
      <c r="D121" s="444" t="s">
        <v>1108</v>
      </c>
      <c r="E121" s="444" t="s">
        <v>1109</v>
      </c>
      <c r="F121" s="447">
        <v>2</v>
      </c>
      <c r="G121" s="447">
        <v>117.2</v>
      </c>
      <c r="H121" s="447">
        <v>1</v>
      </c>
      <c r="I121" s="447">
        <v>58.6</v>
      </c>
      <c r="J121" s="447"/>
      <c r="K121" s="447"/>
      <c r="L121" s="447"/>
      <c r="M121" s="447"/>
      <c r="N121" s="447"/>
      <c r="O121" s="447"/>
      <c r="P121" s="471"/>
      <c r="Q121" s="448"/>
    </row>
    <row r="122" spans="1:17" ht="14.4" customHeight="1" x14ac:dyDescent="0.3">
      <c r="A122" s="443" t="s">
        <v>437</v>
      </c>
      <c r="B122" s="444" t="s">
        <v>1303</v>
      </c>
      <c r="C122" s="444" t="s">
        <v>1105</v>
      </c>
      <c r="D122" s="444" t="s">
        <v>1110</v>
      </c>
      <c r="E122" s="444" t="s">
        <v>1111</v>
      </c>
      <c r="F122" s="447">
        <v>17</v>
      </c>
      <c r="G122" s="447">
        <v>1190</v>
      </c>
      <c r="H122" s="447">
        <v>1</v>
      </c>
      <c r="I122" s="447">
        <v>70</v>
      </c>
      <c r="J122" s="447"/>
      <c r="K122" s="447"/>
      <c r="L122" s="447"/>
      <c r="M122" s="447"/>
      <c r="N122" s="447"/>
      <c r="O122" s="447"/>
      <c r="P122" s="471"/>
      <c r="Q122" s="448"/>
    </row>
    <row r="123" spans="1:17" ht="14.4" customHeight="1" x14ac:dyDescent="0.3">
      <c r="A123" s="443" t="s">
        <v>437</v>
      </c>
      <c r="B123" s="444" t="s">
        <v>1303</v>
      </c>
      <c r="C123" s="444" t="s">
        <v>1105</v>
      </c>
      <c r="D123" s="444" t="s">
        <v>1380</v>
      </c>
      <c r="E123" s="444" t="s">
        <v>1381</v>
      </c>
      <c r="F123" s="447">
        <v>1</v>
      </c>
      <c r="G123" s="447">
        <v>75</v>
      </c>
      <c r="H123" s="447">
        <v>1</v>
      </c>
      <c r="I123" s="447">
        <v>75</v>
      </c>
      <c r="J123" s="447"/>
      <c r="K123" s="447"/>
      <c r="L123" s="447"/>
      <c r="M123" s="447"/>
      <c r="N123" s="447"/>
      <c r="O123" s="447"/>
      <c r="P123" s="471"/>
      <c r="Q123" s="448"/>
    </row>
    <row r="124" spans="1:17" ht="14.4" customHeight="1" x14ac:dyDescent="0.3">
      <c r="A124" s="443" t="s">
        <v>437</v>
      </c>
      <c r="B124" s="444" t="s">
        <v>1303</v>
      </c>
      <c r="C124" s="444" t="s">
        <v>1105</v>
      </c>
      <c r="D124" s="444" t="s">
        <v>1382</v>
      </c>
      <c r="E124" s="444" t="s">
        <v>1383</v>
      </c>
      <c r="F124" s="447">
        <v>1</v>
      </c>
      <c r="G124" s="447">
        <v>149</v>
      </c>
      <c r="H124" s="447">
        <v>1</v>
      </c>
      <c r="I124" s="447">
        <v>149</v>
      </c>
      <c r="J124" s="447"/>
      <c r="K124" s="447"/>
      <c r="L124" s="447"/>
      <c r="M124" s="447"/>
      <c r="N124" s="447"/>
      <c r="O124" s="447"/>
      <c r="P124" s="471"/>
      <c r="Q124" s="448"/>
    </row>
    <row r="125" spans="1:17" ht="14.4" customHeight="1" x14ac:dyDescent="0.3">
      <c r="A125" s="443" t="s">
        <v>437</v>
      </c>
      <c r="B125" s="444" t="s">
        <v>1303</v>
      </c>
      <c r="C125" s="444" t="s">
        <v>1105</v>
      </c>
      <c r="D125" s="444" t="s">
        <v>1384</v>
      </c>
      <c r="E125" s="444" t="s">
        <v>1385</v>
      </c>
      <c r="F125" s="447">
        <v>1</v>
      </c>
      <c r="G125" s="447">
        <v>2466</v>
      </c>
      <c r="H125" s="447">
        <v>1</v>
      </c>
      <c r="I125" s="447">
        <v>2466</v>
      </c>
      <c r="J125" s="447"/>
      <c r="K125" s="447"/>
      <c r="L125" s="447"/>
      <c r="M125" s="447"/>
      <c r="N125" s="447"/>
      <c r="O125" s="447"/>
      <c r="P125" s="471"/>
      <c r="Q125" s="448"/>
    </row>
    <row r="126" spans="1:17" ht="14.4" customHeight="1" x14ac:dyDescent="0.3">
      <c r="A126" s="443" t="s">
        <v>437</v>
      </c>
      <c r="B126" s="444" t="s">
        <v>1303</v>
      </c>
      <c r="C126" s="444" t="s">
        <v>1105</v>
      </c>
      <c r="D126" s="444" t="s">
        <v>1386</v>
      </c>
      <c r="E126" s="444" t="s">
        <v>1387</v>
      </c>
      <c r="F126" s="447">
        <v>1.9</v>
      </c>
      <c r="G126" s="447">
        <v>1390.8200000000002</v>
      </c>
      <c r="H126" s="447">
        <v>1</v>
      </c>
      <c r="I126" s="447">
        <v>732.01052631578955</v>
      </c>
      <c r="J126" s="447"/>
      <c r="K126" s="447"/>
      <c r="L126" s="447"/>
      <c r="M126" s="447"/>
      <c r="N126" s="447"/>
      <c r="O126" s="447"/>
      <c r="P126" s="471"/>
      <c r="Q126" s="448"/>
    </row>
    <row r="127" spans="1:17" ht="14.4" customHeight="1" x14ac:dyDescent="0.3">
      <c r="A127" s="443" t="s">
        <v>437</v>
      </c>
      <c r="B127" s="444" t="s">
        <v>1303</v>
      </c>
      <c r="C127" s="444" t="s">
        <v>1105</v>
      </c>
      <c r="D127" s="444" t="s">
        <v>1388</v>
      </c>
      <c r="E127" s="444" t="s">
        <v>1389</v>
      </c>
      <c r="F127" s="447">
        <v>1</v>
      </c>
      <c r="G127" s="447">
        <v>7990</v>
      </c>
      <c r="H127" s="447">
        <v>1</v>
      </c>
      <c r="I127" s="447">
        <v>7990</v>
      </c>
      <c r="J127" s="447"/>
      <c r="K127" s="447"/>
      <c r="L127" s="447"/>
      <c r="M127" s="447"/>
      <c r="N127" s="447"/>
      <c r="O127" s="447"/>
      <c r="P127" s="471"/>
      <c r="Q127" s="448"/>
    </row>
    <row r="128" spans="1:17" ht="14.4" customHeight="1" x14ac:dyDescent="0.3">
      <c r="A128" s="443" t="s">
        <v>437</v>
      </c>
      <c r="B128" s="444" t="s">
        <v>1303</v>
      </c>
      <c r="C128" s="444" t="s">
        <v>1105</v>
      </c>
      <c r="D128" s="444" t="s">
        <v>1390</v>
      </c>
      <c r="E128" s="444" t="s">
        <v>1391</v>
      </c>
      <c r="F128" s="447">
        <v>10</v>
      </c>
      <c r="G128" s="447">
        <v>2371.1999999999998</v>
      </c>
      <c r="H128" s="447">
        <v>1</v>
      </c>
      <c r="I128" s="447">
        <v>237.11999999999998</v>
      </c>
      <c r="J128" s="447"/>
      <c r="K128" s="447"/>
      <c r="L128" s="447"/>
      <c r="M128" s="447"/>
      <c r="N128" s="447"/>
      <c r="O128" s="447"/>
      <c r="P128" s="471"/>
      <c r="Q128" s="448"/>
    </row>
    <row r="129" spans="1:17" ht="14.4" customHeight="1" x14ac:dyDescent="0.3">
      <c r="A129" s="443" t="s">
        <v>437</v>
      </c>
      <c r="B129" s="444" t="s">
        <v>1303</v>
      </c>
      <c r="C129" s="444" t="s">
        <v>1105</v>
      </c>
      <c r="D129" s="444" t="s">
        <v>1392</v>
      </c>
      <c r="E129" s="444" t="s">
        <v>1393</v>
      </c>
      <c r="F129" s="447">
        <v>0.2</v>
      </c>
      <c r="G129" s="447">
        <v>46.22</v>
      </c>
      <c r="H129" s="447">
        <v>1</v>
      </c>
      <c r="I129" s="447">
        <v>231.1</v>
      </c>
      <c r="J129" s="447"/>
      <c r="K129" s="447"/>
      <c r="L129" s="447"/>
      <c r="M129" s="447"/>
      <c r="N129" s="447"/>
      <c r="O129" s="447"/>
      <c r="P129" s="471"/>
      <c r="Q129" s="448"/>
    </row>
    <row r="130" spans="1:17" ht="14.4" customHeight="1" x14ac:dyDescent="0.3">
      <c r="A130" s="443" t="s">
        <v>437</v>
      </c>
      <c r="B130" s="444" t="s">
        <v>1303</v>
      </c>
      <c r="C130" s="444" t="s">
        <v>1112</v>
      </c>
      <c r="D130" s="444" t="s">
        <v>1394</v>
      </c>
      <c r="E130" s="444" t="s">
        <v>1395</v>
      </c>
      <c r="F130" s="447">
        <v>3</v>
      </c>
      <c r="G130" s="447">
        <v>513</v>
      </c>
      <c r="H130" s="447">
        <v>1</v>
      </c>
      <c r="I130" s="447">
        <v>171</v>
      </c>
      <c r="J130" s="447"/>
      <c r="K130" s="447"/>
      <c r="L130" s="447"/>
      <c r="M130" s="447"/>
      <c r="N130" s="447"/>
      <c r="O130" s="447"/>
      <c r="P130" s="471"/>
      <c r="Q130" s="448"/>
    </row>
    <row r="131" spans="1:17" ht="14.4" customHeight="1" x14ac:dyDescent="0.3">
      <c r="A131" s="443" t="s">
        <v>437</v>
      </c>
      <c r="B131" s="444" t="s">
        <v>1303</v>
      </c>
      <c r="C131" s="444" t="s">
        <v>1112</v>
      </c>
      <c r="D131" s="444" t="s">
        <v>1320</v>
      </c>
      <c r="E131" s="444" t="s">
        <v>1321</v>
      </c>
      <c r="F131" s="447">
        <v>2</v>
      </c>
      <c r="G131" s="447">
        <v>370</v>
      </c>
      <c r="H131" s="447">
        <v>1</v>
      </c>
      <c r="I131" s="447">
        <v>185</v>
      </c>
      <c r="J131" s="447"/>
      <c r="K131" s="447"/>
      <c r="L131" s="447"/>
      <c r="M131" s="447"/>
      <c r="N131" s="447"/>
      <c r="O131" s="447"/>
      <c r="P131" s="471"/>
      <c r="Q131" s="448"/>
    </row>
    <row r="132" spans="1:17" ht="14.4" customHeight="1" x14ac:dyDescent="0.3">
      <c r="A132" s="443" t="s">
        <v>437</v>
      </c>
      <c r="B132" s="444" t="s">
        <v>1303</v>
      </c>
      <c r="C132" s="444" t="s">
        <v>1112</v>
      </c>
      <c r="D132" s="444" t="s">
        <v>1129</v>
      </c>
      <c r="E132" s="444" t="s">
        <v>1130</v>
      </c>
      <c r="F132" s="447">
        <v>1</v>
      </c>
      <c r="G132" s="447">
        <v>637</v>
      </c>
      <c r="H132" s="447">
        <v>1</v>
      </c>
      <c r="I132" s="447">
        <v>637</v>
      </c>
      <c r="J132" s="447"/>
      <c r="K132" s="447"/>
      <c r="L132" s="447"/>
      <c r="M132" s="447"/>
      <c r="N132" s="447"/>
      <c r="O132" s="447"/>
      <c r="P132" s="471"/>
      <c r="Q132" s="448"/>
    </row>
    <row r="133" spans="1:17" ht="14.4" customHeight="1" x14ac:dyDescent="0.3">
      <c r="A133" s="443" t="s">
        <v>437</v>
      </c>
      <c r="B133" s="444" t="s">
        <v>1303</v>
      </c>
      <c r="C133" s="444" t="s">
        <v>1112</v>
      </c>
      <c r="D133" s="444" t="s">
        <v>1396</v>
      </c>
      <c r="E133" s="444" t="s">
        <v>1397</v>
      </c>
      <c r="F133" s="447">
        <v>2</v>
      </c>
      <c r="G133" s="447">
        <v>1166</v>
      </c>
      <c r="H133" s="447">
        <v>1</v>
      </c>
      <c r="I133" s="447">
        <v>583</v>
      </c>
      <c r="J133" s="447"/>
      <c r="K133" s="447"/>
      <c r="L133" s="447"/>
      <c r="M133" s="447"/>
      <c r="N133" s="447"/>
      <c r="O133" s="447"/>
      <c r="P133" s="471"/>
      <c r="Q133" s="448"/>
    </row>
    <row r="134" spans="1:17" ht="14.4" customHeight="1" x14ac:dyDescent="0.3">
      <c r="A134" s="443" t="s">
        <v>437</v>
      </c>
      <c r="B134" s="444" t="s">
        <v>1303</v>
      </c>
      <c r="C134" s="444" t="s">
        <v>1112</v>
      </c>
      <c r="D134" s="444" t="s">
        <v>1398</v>
      </c>
      <c r="E134" s="444" t="s">
        <v>1399</v>
      </c>
      <c r="F134" s="447">
        <v>11</v>
      </c>
      <c r="G134" s="447">
        <v>32439</v>
      </c>
      <c r="H134" s="447">
        <v>1</v>
      </c>
      <c r="I134" s="447">
        <v>2949</v>
      </c>
      <c r="J134" s="447"/>
      <c r="K134" s="447"/>
      <c r="L134" s="447"/>
      <c r="M134" s="447"/>
      <c r="N134" s="447"/>
      <c r="O134" s="447"/>
      <c r="P134" s="471"/>
      <c r="Q134" s="448"/>
    </row>
    <row r="135" spans="1:17" ht="14.4" customHeight="1" x14ac:dyDescent="0.3">
      <c r="A135" s="443" t="s">
        <v>437</v>
      </c>
      <c r="B135" s="444" t="s">
        <v>1303</v>
      </c>
      <c r="C135" s="444" t="s">
        <v>1112</v>
      </c>
      <c r="D135" s="444" t="s">
        <v>1400</v>
      </c>
      <c r="E135" s="444" t="s">
        <v>1401</v>
      </c>
      <c r="F135" s="447">
        <v>1</v>
      </c>
      <c r="G135" s="447">
        <v>123</v>
      </c>
      <c r="H135" s="447">
        <v>1</v>
      </c>
      <c r="I135" s="447">
        <v>123</v>
      </c>
      <c r="J135" s="447"/>
      <c r="K135" s="447"/>
      <c r="L135" s="447"/>
      <c r="M135" s="447"/>
      <c r="N135" s="447"/>
      <c r="O135" s="447"/>
      <c r="P135" s="471"/>
      <c r="Q135" s="448"/>
    </row>
    <row r="136" spans="1:17" ht="14.4" customHeight="1" x14ac:dyDescent="0.3">
      <c r="A136" s="443" t="s">
        <v>437</v>
      </c>
      <c r="B136" s="444" t="s">
        <v>1303</v>
      </c>
      <c r="C136" s="444" t="s">
        <v>1112</v>
      </c>
      <c r="D136" s="444" t="s">
        <v>1134</v>
      </c>
      <c r="E136" s="444" t="s">
        <v>1135</v>
      </c>
      <c r="F136" s="447">
        <v>1</v>
      </c>
      <c r="G136" s="447">
        <v>148</v>
      </c>
      <c r="H136" s="447">
        <v>1</v>
      </c>
      <c r="I136" s="447">
        <v>148</v>
      </c>
      <c r="J136" s="447"/>
      <c r="K136" s="447"/>
      <c r="L136" s="447"/>
      <c r="M136" s="447"/>
      <c r="N136" s="447"/>
      <c r="O136" s="447"/>
      <c r="P136" s="471"/>
      <c r="Q136" s="448"/>
    </row>
    <row r="137" spans="1:17" ht="14.4" customHeight="1" x14ac:dyDescent="0.3">
      <c r="A137" s="443" t="s">
        <v>437</v>
      </c>
      <c r="B137" s="444" t="s">
        <v>1303</v>
      </c>
      <c r="C137" s="444" t="s">
        <v>1112</v>
      </c>
      <c r="D137" s="444" t="s">
        <v>1402</v>
      </c>
      <c r="E137" s="444" t="s">
        <v>1403</v>
      </c>
      <c r="F137" s="447">
        <v>1</v>
      </c>
      <c r="G137" s="447">
        <v>373</v>
      </c>
      <c r="H137" s="447">
        <v>1</v>
      </c>
      <c r="I137" s="447">
        <v>373</v>
      </c>
      <c r="J137" s="447"/>
      <c r="K137" s="447"/>
      <c r="L137" s="447"/>
      <c r="M137" s="447"/>
      <c r="N137" s="447"/>
      <c r="O137" s="447"/>
      <c r="P137" s="471"/>
      <c r="Q137" s="448"/>
    </row>
    <row r="138" spans="1:17" ht="14.4" customHeight="1" x14ac:dyDescent="0.3">
      <c r="A138" s="443" t="s">
        <v>437</v>
      </c>
      <c r="B138" s="444" t="s">
        <v>1303</v>
      </c>
      <c r="C138" s="444" t="s">
        <v>1112</v>
      </c>
      <c r="D138" s="444" t="s">
        <v>1404</v>
      </c>
      <c r="E138" s="444" t="s">
        <v>1405</v>
      </c>
      <c r="F138" s="447">
        <v>38</v>
      </c>
      <c r="G138" s="447">
        <v>6498</v>
      </c>
      <c r="H138" s="447">
        <v>1</v>
      </c>
      <c r="I138" s="447">
        <v>171</v>
      </c>
      <c r="J138" s="447"/>
      <c r="K138" s="447"/>
      <c r="L138" s="447"/>
      <c r="M138" s="447"/>
      <c r="N138" s="447"/>
      <c r="O138" s="447"/>
      <c r="P138" s="471"/>
      <c r="Q138" s="448"/>
    </row>
    <row r="139" spans="1:17" ht="14.4" customHeight="1" x14ac:dyDescent="0.3">
      <c r="A139" s="443" t="s">
        <v>437</v>
      </c>
      <c r="B139" s="444" t="s">
        <v>1303</v>
      </c>
      <c r="C139" s="444" t="s">
        <v>1112</v>
      </c>
      <c r="D139" s="444" t="s">
        <v>1136</v>
      </c>
      <c r="E139" s="444" t="s">
        <v>1137</v>
      </c>
      <c r="F139" s="447">
        <v>128</v>
      </c>
      <c r="G139" s="447">
        <v>42496</v>
      </c>
      <c r="H139" s="447">
        <v>1</v>
      </c>
      <c r="I139" s="447">
        <v>332</v>
      </c>
      <c r="J139" s="447"/>
      <c r="K139" s="447"/>
      <c r="L139" s="447"/>
      <c r="M139" s="447"/>
      <c r="N139" s="447"/>
      <c r="O139" s="447"/>
      <c r="P139" s="471"/>
      <c r="Q139" s="448"/>
    </row>
    <row r="140" spans="1:17" ht="14.4" customHeight="1" x14ac:dyDescent="0.3">
      <c r="A140" s="443" t="s">
        <v>437</v>
      </c>
      <c r="B140" s="444" t="s">
        <v>1303</v>
      </c>
      <c r="C140" s="444" t="s">
        <v>1112</v>
      </c>
      <c r="D140" s="444" t="s">
        <v>1406</v>
      </c>
      <c r="E140" s="444" t="s">
        <v>1407</v>
      </c>
      <c r="F140" s="447">
        <v>4</v>
      </c>
      <c r="G140" s="447">
        <v>16852</v>
      </c>
      <c r="H140" s="447">
        <v>1</v>
      </c>
      <c r="I140" s="447">
        <v>4213</v>
      </c>
      <c r="J140" s="447"/>
      <c r="K140" s="447"/>
      <c r="L140" s="447"/>
      <c r="M140" s="447"/>
      <c r="N140" s="447"/>
      <c r="O140" s="447"/>
      <c r="P140" s="471"/>
      <c r="Q140" s="448"/>
    </row>
    <row r="141" spans="1:17" ht="14.4" customHeight="1" x14ac:dyDescent="0.3">
      <c r="A141" s="443" t="s">
        <v>437</v>
      </c>
      <c r="B141" s="444" t="s">
        <v>1303</v>
      </c>
      <c r="C141" s="444" t="s">
        <v>1112</v>
      </c>
      <c r="D141" s="444" t="s">
        <v>1144</v>
      </c>
      <c r="E141" s="444" t="s">
        <v>1145</v>
      </c>
      <c r="F141" s="447">
        <v>12</v>
      </c>
      <c r="G141" s="447">
        <v>5748</v>
      </c>
      <c r="H141" s="447">
        <v>1</v>
      </c>
      <c r="I141" s="447">
        <v>479</v>
      </c>
      <c r="J141" s="447"/>
      <c r="K141" s="447"/>
      <c r="L141" s="447"/>
      <c r="M141" s="447"/>
      <c r="N141" s="447"/>
      <c r="O141" s="447"/>
      <c r="P141" s="471"/>
      <c r="Q141" s="448"/>
    </row>
    <row r="142" spans="1:17" ht="14.4" customHeight="1" x14ac:dyDescent="0.3">
      <c r="A142" s="443" t="s">
        <v>437</v>
      </c>
      <c r="B142" s="444" t="s">
        <v>1303</v>
      </c>
      <c r="C142" s="444" t="s">
        <v>1112</v>
      </c>
      <c r="D142" s="444" t="s">
        <v>1408</v>
      </c>
      <c r="E142" s="444" t="s">
        <v>1409</v>
      </c>
      <c r="F142" s="447">
        <v>1</v>
      </c>
      <c r="G142" s="447">
        <v>2379</v>
      </c>
      <c r="H142" s="447">
        <v>1</v>
      </c>
      <c r="I142" s="447">
        <v>2379</v>
      </c>
      <c r="J142" s="447"/>
      <c r="K142" s="447"/>
      <c r="L142" s="447"/>
      <c r="M142" s="447"/>
      <c r="N142" s="447"/>
      <c r="O142" s="447"/>
      <c r="P142" s="471"/>
      <c r="Q142" s="448"/>
    </row>
    <row r="143" spans="1:17" ht="14.4" customHeight="1" x14ac:dyDescent="0.3">
      <c r="A143" s="443" t="s">
        <v>437</v>
      </c>
      <c r="B143" s="444" t="s">
        <v>1303</v>
      </c>
      <c r="C143" s="444" t="s">
        <v>1112</v>
      </c>
      <c r="D143" s="444" t="s">
        <v>1146</v>
      </c>
      <c r="E143" s="444" t="s">
        <v>1147</v>
      </c>
      <c r="F143" s="447">
        <v>2</v>
      </c>
      <c r="G143" s="447">
        <v>1312</v>
      </c>
      <c r="H143" s="447">
        <v>1</v>
      </c>
      <c r="I143" s="447">
        <v>656</v>
      </c>
      <c r="J143" s="447"/>
      <c r="K143" s="447"/>
      <c r="L143" s="447"/>
      <c r="M143" s="447"/>
      <c r="N143" s="447"/>
      <c r="O143" s="447"/>
      <c r="P143" s="471"/>
      <c r="Q143" s="448"/>
    </row>
    <row r="144" spans="1:17" ht="14.4" customHeight="1" x14ac:dyDescent="0.3">
      <c r="A144" s="443" t="s">
        <v>437</v>
      </c>
      <c r="B144" s="444" t="s">
        <v>1303</v>
      </c>
      <c r="C144" s="444" t="s">
        <v>1112</v>
      </c>
      <c r="D144" s="444" t="s">
        <v>1410</v>
      </c>
      <c r="E144" s="444" t="s">
        <v>1411</v>
      </c>
      <c r="F144" s="447">
        <v>6</v>
      </c>
      <c r="G144" s="447">
        <v>10260</v>
      </c>
      <c r="H144" s="447">
        <v>1</v>
      </c>
      <c r="I144" s="447">
        <v>1710</v>
      </c>
      <c r="J144" s="447"/>
      <c r="K144" s="447"/>
      <c r="L144" s="447"/>
      <c r="M144" s="447"/>
      <c r="N144" s="447"/>
      <c r="O144" s="447"/>
      <c r="P144" s="471"/>
      <c r="Q144" s="448"/>
    </row>
    <row r="145" spans="1:17" ht="14.4" customHeight="1" x14ac:dyDescent="0.3">
      <c r="A145" s="443" t="s">
        <v>437</v>
      </c>
      <c r="B145" s="444" t="s">
        <v>1303</v>
      </c>
      <c r="C145" s="444" t="s">
        <v>1112</v>
      </c>
      <c r="D145" s="444" t="s">
        <v>1412</v>
      </c>
      <c r="E145" s="444" t="s">
        <v>1413</v>
      </c>
      <c r="F145" s="447">
        <v>1</v>
      </c>
      <c r="G145" s="447">
        <v>1348</v>
      </c>
      <c r="H145" s="447">
        <v>1</v>
      </c>
      <c r="I145" s="447">
        <v>1348</v>
      </c>
      <c r="J145" s="447"/>
      <c r="K145" s="447"/>
      <c r="L145" s="447"/>
      <c r="M145" s="447"/>
      <c r="N145" s="447"/>
      <c r="O145" s="447"/>
      <c r="P145" s="471"/>
      <c r="Q145" s="448"/>
    </row>
    <row r="146" spans="1:17" ht="14.4" customHeight="1" x14ac:dyDescent="0.3">
      <c r="A146" s="443" t="s">
        <v>437</v>
      </c>
      <c r="B146" s="444" t="s">
        <v>1303</v>
      </c>
      <c r="C146" s="444" t="s">
        <v>1112</v>
      </c>
      <c r="D146" s="444" t="s">
        <v>1148</v>
      </c>
      <c r="E146" s="444" t="s">
        <v>1149</v>
      </c>
      <c r="F146" s="447">
        <v>20</v>
      </c>
      <c r="G146" s="447">
        <v>19940</v>
      </c>
      <c r="H146" s="447">
        <v>1</v>
      </c>
      <c r="I146" s="447">
        <v>997</v>
      </c>
      <c r="J146" s="447"/>
      <c r="K146" s="447"/>
      <c r="L146" s="447"/>
      <c r="M146" s="447"/>
      <c r="N146" s="447"/>
      <c r="O146" s="447"/>
      <c r="P146" s="471"/>
      <c r="Q146" s="448"/>
    </row>
    <row r="147" spans="1:17" ht="14.4" customHeight="1" x14ac:dyDescent="0.3">
      <c r="A147" s="443" t="s">
        <v>437</v>
      </c>
      <c r="B147" s="444" t="s">
        <v>1303</v>
      </c>
      <c r="C147" s="444" t="s">
        <v>1112</v>
      </c>
      <c r="D147" s="444" t="s">
        <v>1150</v>
      </c>
      <c r="E147" s="444" t="s">
        <v>1151</v>
      </c>
      <c r="F147" s="447">
        <v>12</v>
      </c>
      <c r="G147" s="447">
        <v>23916</v>
      </c>
      <c r="H147" s="447">
        <v>1</v>
      </c>
      <c r="I147" s="447">
        <v>1993</v>
      </c>
      <c r="J147" s="447"/>
      <c r="K147" s="447"/>
      <c r="L147" s="447"/>
      <c r="M147" s="447"/>
      <c r="N147" s="447"/>
      <c r="O147" s="447"/>
      <c r="P147" s="471"/>
      <c r="Q147" s="448"/>
    </row>
    <row r="148" spans="1:17" ht="14.4" customHeight="1" x14ac:dyDescent="0.3">
      <c r="A148" s="443" t="s">
        <v>437</v>
      </c>
      <c r="B148" s="444" t="s">
        <v>1303</v>
      </c>
      <c r="C148" s="444" t="s">
        <v>1112</v>
      </c>
      <c r="D148" s="444" t="s">
        <v>1414</v>
      </c>
      <c r="E148" s="444" t="s">
        <v>1415</v>
      </c>
      <c r="F148" s="447">
        <v>1</v>
      </c>
      <c r="G148" s="447">
        <v>3471</v>
      </c>
      <c r="H148" s="447">
        <v>1</v>
      </c>
      <c r="I148" s="447">
        <v>3471</v>
      </c>
      <c r="J148" s="447"/>
      <c r="K148" s="447"/>
      <c r="L148" s="447"/>
      <c r="M148" s="447"/>
      <c r="N148" s="447"/>
      <c r="O148" s="447"/>
      <c r="P148" s="471"/>
      <c r="Q148" s="448"/>
    </row>
    <row r="149" spans="1:17" ht="14.4" customHeight="1" x14ac:dyDescent="0.3">
      <c r="A149" s="443" t="s">
        <v>437</v>
      </c>
      <c r="B149" s="444" t="s">
        <v>1303</v>
      </c>
      <c r="C149" s="444" t="s">
        <v>1112</v>
      </c>
      <c r="D149" s="444" t="s">
        <v>1416</v>
      </c>
      <c r="E149" s="444" t="s">
        <v>1417</v>
      </c>
      <c r="F149" s="447">
        <v>1</v>
      </c>
      <c r="G149" s="447">
        <v>1474</v>
      </c>
      <c r="H149" s="447">
        <v>1</v>
      </c>
      <c r="I149" s="447">
        <v>1474</v>
      </c>
      <c r="J149" s="447"/>
      <c r="K149" s="447"/>
      <c r="L149" s="447"/>
      <c r="M149" s="447"/>
      <c r="N149" s="447"/>
      <c r="O149" s="447"/>
      <c r="P149" s="471"/>
      <c r="Q149" s="448"/>
    </row>
    <row r="150" spans="1:17" ht="14.4" customHeight="1" x14ac:dyDescent="0.3">
      <c r="A150" s="443" t="s">
        <v>437</v>
      </c>
      <c r="B150" s="444" t="s">
        <v>1303</v>
      </c>
      <c r="C150" s="444" t="s">
        <v>1112</v>
      </c>
      <c r="D150" s="444" t="s">
        <v>1418</v>
      </c>
      <c r="E150" s="444" t="s">
        <v>1419</v>
      </c>
      <c r="F150" s="447">
        <v>1</v>
      </c>
      <c r="G150" s="447">
        <v>3966</v>
      </c>
      <c r="H150" s="447">
        <v>1</v>
      </c>
      <c r="I150" s="447">
        <v>3966</v>
      </c>
      <c r="J150" s="447"/>
      <c r="K150" s="447"/>
      <c r="L150" s="447"/>
      <c r="M150" s="447"/>
      <c r="N150" s="447"/>
      <c r="O150" s="447"/>
      <c r="P150" s="471"/>
      <c r="Q150" s="448"/>
    </row>
    <row r="151" spans="1:17" ht="14.4" customHeight="1" x14ac:dyDescent="0.3">
      <c r="A151" s="443" t="s">
        <v>437</v>
      </c>
      <c r="B151" s="444" t="s">
        <v>1303</v>
      </c>
      <c r="C151" s="444" t="s">
        <v>1112</v>
      </c>
      <c r="D151" s="444" t="s">
        <v>1420</v>
      </c>
      <c r="E151" s="444" t="s">
        <v>1421</v>
      </c>
      <c r="F151" s="447">
        <v>3</v>
      </c>
      <c r="G151" s="447">
        <v>60720</v>
      </c>
      <c r="H151" s="447">
        <v>1</v>
      </c>
      <c r="I151" s="447">
        <v>20240</v>
      </c>
      <c r="J151" s="447"/>
      <c r="K151" s="447"/>
      <c r="L151" s="447"/>
      <c r="M151" s="447"/>
      <c r="N151" s="447"/>
      <c r="O151" s="447"/>
      <c r="P151" s="471"/>
      <c r="Q151" s="448"/>
    </row>
    <row r="152" spans="1:17" ht="14.4" customHeight="1" x14ac:dyDescent="0.3">
      <c r="A152" s="443" t="s">
        <v>437</v>
      </c>
      <c r="B152" s="444" t="s">
        <v>1303</v>
      </c>
      <c r="C152" s="444" t="s">
        <v>1112</v>
      </c>
      <c r="D152" s="444" t="s">
        <v>1152</v>
      </c>
      <c r="E152" s="444" t="s">
        <v>1153</v>
      </c>
      <c r="F152" s="447">
        <v>1</v>
      </c>
      <c r="G152" s="447">
        <v>1204</v>
      </c>
      <c r="H152" s="447">
        <v>1</v>
      </c>
      <c r="I152" s="447">
        <v>1204</v>
      </c>
      <c r="J152" s="447"/>
      <c r="K152" s="447"/>
      <c r="L152" s="447"/>
      <c r="M152" s="447"/>
      <c r="N152" s="447"/>
      <c r="O152" s="447"/>
      <c r="P152" s="471"/>
      <c r="Q152" s="448"/>
    </row>
    <row r="153" spans="1:17" ht="14.4" customHeight="1" x14ac:dyDescent="0.3">
      <c r="A153" s="443" t="s">
        <v>437</v>
      </c>
      <c r="B153" s="444" t="s">
        <v>1303</v>
      </c>
      <c r="C153" s="444" t="s">
        <v>1112</v>
      </c>
      <c r="D153" s="444" t="s">
        <v>1154</v>
      </c>
      <c r="E153" s="444" t="s">
        <v>1155</v>
      </c>
      <c r="F153" s="447">
        <v>8</v>
      </c>
      <c r="G153" s="447">
        <v>7408</v>
      </c>
      <c r="H153" s="447">
        <v>1</v>
      </c>
      <c r="I153" s="447">
        <v>926</v>
      </c>
      <c r="J153" s="447"/>
      <c r="K153" s="447"/>
      <c r="L153" s="447"/>
      <c r="M153" s="447"/>
      <c r="N153" s="447"/>
      <c r="O153" s="447"/>
      <c r="P153" s="471"/>
      <c r="Q153" s="448"/>
    </row>
    <row r="154" spans="1:17" ht="14.4" customHeight="1" x14ac:dyDescent="0.3">
      <c r="A154" s="443" t="s">
        <v>437</v>
      </c>
      <c r="B154" s="444" t="s">
        <v>1303</v>
      </c>
      <c r="C154" s="444" t="s">
        <v>1112</v>
      </c>
      <c r="D154" s="444" t="s">
        <v>1422</v>
      </c>
      <c r="E154" s="444" t="s">
        <v>1423</v>
      </c>
      <c r="F154" s="447">
        <v>2</v>
      </c>
      <c r="G154" s="447">
        <v>1566</v>
      </c>
      <c r="H154" s="447">
        <v>1</v>
      </c>
      <c r="I154" s="447">
        <v>783</v>
      </c>
      <c r="J154" s="447"/>
      <c r="K154" s="447"/>
      <c r="L154" s="447"/>
      <c r="M154" s="447"/>
      <c r="N154" s="447"/>
      <c r="O154" s="447"/>
      <c r="P154" s="471"/>
      <c r="Q154" s="448"/>
    </row>
    <row r="155" spans="1:17" ht="14.4" customHeight="1" x14ac:dyDescent="0.3">
      <c r="A155" s="443" t="s">
        <v>437</v>
      </c>
      <c r="B155" s="444" t="s">
        <v>1303</v>
      </c>
      <c r="C155" s="444" t="s">
        <v>1112</v>
      </c>
      <c r="D155" s="444" t="s">
        <v>1156</v>
      </c>
      <c r="E155" s="444" t="s">
        <v>1157</v>
      </c>
      <c r="F155" s="447">
        <v>2</v>
      </c>
      <c r="G155" s="447">
        <v>3240</v>
      </c>
      <c r="H155" s="447">
        <v>1</v>
      </c>
      <c r="I155" s="447">
        <v>1620</v>
      </c>
      <c r="J155" s="447"/>
      <c r="K155" s="447"/>
      <c r="L155" s="447"/>
      <c r="M155" s="447"/>
      <c r="N155" s="447"/>
      <c r="O155" s="447"/>
      <c r="P155" s="471"/>
      <c r="Q155" s="448"/>
    </row>
    <row r="156" spans="1:17" ht="14.4" customHeight="1" x14ac:dyDescent="0.3">
      <c r="A156" s="443" t="s">
        <v>437</v>
      </c>
      <c r="B156" s="444" t="s">
        <v>1303</v>
      </c>
      <c r="C156" s="444" t="s">
        <v>1112</v>
      </c>
      <c r="D156" s="444" t="s">
        <v>1158</v>
      </c>
      <c r="E156" s="444" t="s">
        <v>1159</v>
      </c>
      <c r="F156" s="447">
        <v>4</v>
      </c>
      <c r="G156" s="447">
        <v>5264</v>
      </c>
      <c r="H156" s="447">
        <v>1</v>
      </c>
      <c r="I156" s="447">
        <v>1316</v>
      </c>
      <c r="J156" s="447"/>
      <c r="K156" s="447"/>
      <c r="L156" s="447"/>
      <c r="M156" s="447"/>
      <c r="N156" s="447"/>
      <c r="O156" s="447"/>
      <c r="P156" s="471"/>
      <c r="Q156" s="448"/>
    </row>
    <row r="157" spans="1:17" ht="14.4" customHeight="1" x14ac:dyDescent="0.3">
      <c r="A157" s="443" t="s">
        <v>437</v>
      </c>
      <c r="B157" s="444" t="s">
        <v>1303</v>
      </c>
      <c r="C157" s="444" t="s">
        <v>1112</v>
      </c>
      <c r="D157" s="444" t="s">
        <v>1160</v>
      </c>
      <c r="E157" s="444" t="s">
        <v>1161</v>
      </c>
      <c r="F157" s="447">
        <v>5</v>
      </c>
      <c r="G157" s="447">
        <v>7470</v>
      </c>
      <c r="H157" s="447">
        <v>1</v>
      </c>
      <c r="I157" s="447">
        <v>1494</v>
      </c>
      <c r="J157" s="447"/>
      <c r="K157" s="447"/>
      <c r="L157" s="447"/>
      <c r="M157" s="447"/>
      <c r="N157" s="447"/>
      <c r="O157" s="447"/>
      <c r="P157" s="471"/>
      <c r="Q157" s="448"/>
    </row>
    <row r="158" spans="1:17" ht="14.4" customHeight="1" x14ac:dyDescent="0.3">
      <c r="A158" s="443" t="s">
        <v>437</v>
      </c>
      <c r="B158" s="444" t="s">
        <v>1303</v>
      </c>
      <c r="C158" s="444" t="s">
        <v>1112</v>
      </c>
      <c r="D158" s="444" t="s">
        <v>1424</v>
      </c>
      <c r="E158" s="444" t="s">
        <v>1425</v>
      </c>
      <c r="F158" s="447">
        <v>1</v>
      </c>
      <c r="G158" s="447">
        <v>1903</v>
      </c>
      <c r="H158" s="447">
        <v>1</v>
      </c>
      <c r="I158" s="447">
        <v>1903</v>
      </c>
      <c r="J158" s="447"/>
      <c r="K158" s="447"/>
      <c r="L158" s="447"/>
      <c r="M158" s="447"/>
      <c r="N158" s="447"/>
      <c r="O158" s="447"/>
      <c r="P158" s="471"/>
      <c r="Q158" s="448"/>
    </row>
    <row r="159" spans="1:17" ht="14.4" customHeight="1" x14ac:dyDescent="0.3">
      <c r="A159" s="443" t="s">
        <v>437</v>
      </c>
      <c r="B159" s="444" t="s">
        <v>1303</v>
      </c>
      <c r="C159" s="444" t="s">
        <v>1112</v>
      </c>
      <c r="D159" s="444" t="s">
        <v>1426</v>
      </c>
      <c r="E159" s="444" t="s">
        <v>1427</v>
      </c>
      <c r="F159" s="447">
        <v>3</v>
      </c>
      <c r="G159" s="447">
        <v>9477</v>
      </c>
      <c r="H159" s="447">
        <v>1</v>
      </c>
      <c r="I159" s="447">
        <v>3159</v>
      </c>
      <c r="J159" s="447"/>
      <c r="K159" s="447"/>
      <c r="L159" s="447"/>
      <c r="M159" s="447"/>
      <c r="N159" s="447"/>
      <c r="O159" s="447"/>
      <c r="P159" s="471"/>
      <c r="Q159" s="448"/>
    </row>
    <row r="160" spans="1:17" ht="14.4" customHeight="1" x14ac:dyDescent="0.3">
      <c r="A160" s="443" t="s">
        <v>437</v>
      </c>
      <c r="B160" s="444" t="s">
        <v>1303</v>
      </c>
      <c r="C160" s="444" t="s">
        <v>1112</v>
      </c>
      <c r="D160" s="444" t="s">
        <v>1304</v>
      </c>
      <c r="E160" s="444" t="s">
        <v>1305</v>
      </c>
      <c r="F160" s="447">
        <v>1</v>
      </c>
      <c r="G160" s="447">
        <v>2137</v>
      </c>
      <c r="H160" s="447">
        <v>1</v>
      </c>
      <c r="I160" s="447">
        <v>2137</v>
      </c>
      <c r="J160" s="447"/>
      <c r="K160" s="447"/>
      <c r="L160" s="447"/>
      <c r="M160" s="447"/>
      <c r="N160" s="447"/>
      <c r="O160" s="447"/>
      <c r="P160" s="471"/>
      <c r="Q160" s="448"/>
    </row>
    <row r="161" spans="1:17" ht="14.4" customHeight="1" x14ac:dyDescent="0.3">
      <c r="A161" s="443" t="s">
        <v>437</v>
      </c>
      <c r="B161" s="444" t="s">
        <v>1303</v>
      </c>
      <c r="C161" s="444" t="s">
        <v>1112</v>
      </c>
      <c r="D161" s="444" t="s">
        <v>1162</v>
      </c>
      <c r="E161" s="444" t="s">
        <v>1163</v>
      </c>
      <c r="F161" s="447">
        <v>1</v>
      </c>
      <c r="G161" s="447">
        <v>408</v>
      </c>
      <c r="H161" s="447">
        <v>1</v>
      </c>
      <c r="I161" s="447">
        <v>408</v>
      </c>
      <c r="J161" s="447"/>
      <c r="K161" s="447"/>
      <c r="L161" s="447"/>
      <c r="M161" s="447"/>
      <c r="N161" s="447"/>
      <c r="O161" s="447"/>
      <c r="P161" s="471"/>
      <c r="Q161" s="448"/>
    </row>
    <row r="162" spans="1:17" ht="14.4" customHeight="1" x14ac:dyDescent="0.3">
      <c r="A162" s="443" t="s">
        <v>437</v>
      </c>
      <c r="B162" s="444" t="s">
        <v>1303</v>
      </c>
      <c r="C162" s="444" t="s">
        <v>1112</v>
      </c>
      <c r="D162" s="444" t="s">
        <v>1428</v>
      </c>
      <c r="E162" s="444" t="s">
        <v>1429</v>
      </c>
      <c r="F162" s="447">
        <v>1</v>
      </c>
      <c r="G162" s="447">
        <v>634</v>
      </c>
      <c r="H162" s="447">
        <v>1</v>
      </c>
      <c r="I162" s="447">
        <v>634</v>
      </c>
      <c r="J162" s="447"/>
      <c r="K162" s="447"/>
      <c r="L162" s="447"/>
      <c r="M162" s="447"/>
      <c r="N162" s="447"/>
      <c r="O162" s="447"/>
      <c r="P162" s="471"/>
      <c r="Q162" s="448"/>
    </row>
    <row r="163" spans="1:17" ht="14.4" customHeight="1" x14ac:dyDescent="0.3">
      <c r="A163" s="443" t="s">
        <v>437</v>
      </c>
      <c r="B163" s="444" t="s">
        <v>1303</v>
      </c>
      <c r="C163" s="444" t="s">
        <v>1112</v>
      </c>
      <c r="D163" s="444" t="s">
        <v>1430</v>
      </c>
      <c r="E163" s="444" t="s">
        <v>1431</v>
      </c>
      <c r="F163" s="447">
        <v>3</v>
      </c>
      <c r="G163" s="447">
        <v>12039</v>
      </c>
      <c r="H163" s="447">
        <v>1</v>
      </c>
      <c r="I163" s="447">
        <v>4013</v>
      </c>
      <c r="J163" s="447"/>
      <c r="K163" s="447"/>
      <c r="L163" s="447"/>
      <c r="M163" s="447"/>
      <c r="N163" s="447"/>
      <c r="O163" s="447"/>
      <c r="P163" s="471"/>
      <c r="Q163" s="448"/>
    </row>
    <row r="164" spans="1:17" ht="14.4" customHeight="1" x14ac:dyDescent="0.3">
      <c r="A164" s="443" t="s">
        <v>437</v>
      </c>
      <c r="B164" s="444" t="s">
        <v>1303</v>
      </c>
      <c r="C164" s="444" t="s">
        <v>1112</v>
      </c>
      <c r="D164" s="444" t="s">
        <v>1266</v>
      </c>
      <c r="E164" s="444" t="s">
        <v>1267</v>
      </c>
      <c r="F164" s="447">
        <v>1</v>
      </c>
      <c r="G164" s="447">
        <v>982</v>
      </c>
      <c r="H164" s="447">
        <v>1</v>
      </c>
      <c r="I164" s="447">
        <v>982</v>
      </c>
      <c r="J164" s="447"/>
      <c r="K164" s="447"/>
      <c r="L164" s="447"/>
      <c r="M164" s="447"/>
      <c r="N164" s="447"/>
      <c r="O164" s="447"/>
      <c r="P164" s="471"/>
      <c r="Q164" s="448"/>
    </row>
    <row r="165" spans="1:17" ht="14.4" customHeight="1" x14ac:dyDescent="0.3">
      <c r="A165" s="443" t="s">
        <v>437</v>
      </c>
      <c r="B165" s="444" t="s">
        <v>1303</v>
      </c>
      <c r="C165" s="444" t="s">
        <v>1112</v>
      </c>
      <c r="D165" s="444" t="s">
        <v>1432</v>
      </c>
      <c r="E165" s="444" t="s">
        <v>1433</v>
      </c>
      <c r="F165" s="447">
        <v>1</v>
      </c>
      <c r="G165" s="447">
        <v>2134</v>
      </c>
      <c r="H165" s="447">
        <v>1</v>
      </c>
      <c r="I165" s="447">
        <v>2134</v>
      </c>
      <c r="J165" s="447"/>
      <c r="K165" s="447"/>
      <c r="L165" s="447"/>
      <c r="M165" s="447"/>
      <c r="N165" s="447"/>
      <c r="O165" s="447"/>
      <c r="P165" s="471"/>
      <c r="Q165" s="448"/>
    </row>
    <row r="166" spans="1:17" ht="14.4" customHeight="1" x14ac:dyDescent="0.3">
      <c r="A166" s="443" t="s">
        <v>437</v>
      </c>
      <c r="B166" s="444" t="s">
        <v>1303</v>
      </c>
      <c r="C166" s="444" t="s">
        <v>1112</v>
      </c>
      <c r="D166" s="444" t="s">
        <v>1269</v>
      </c>
      <c r="E166" s="444" t="s">
        <v>1270</v>
      </c>
      <c r="F166" s="447">
        <v>17</v>
      </c>
      <c r="G166" s="447">
        <v>3927</v>
      </c>
      <c r="H166" s="447">
        <v>1</v>
      </c>
      <c r="I166" s="447">
        <v>231</v>
      </c>
      <c r="J166" s="447"/>
      <c r="K166" s="447"/>
      <c r="L166" s="447"/>
      <c r="M166" s="447"/>
      <c r="N166" s="447"/>
      <c r="O166" s="447"/>
      <c r="P166" s="471"/>
      <c r="Q166" s="448"/>
    </row>
    <row r="167" spans="1:17" ht="14.4" customHeight="1" x14ac:dyDescent="0.3">
      <c r="A167" s="443" t="s">
        <v>437</v>
      </c>
      <c r="B167" s="444" t="s">
        <v>1303</v>
      </c>
      <c r="C167" s="444" t="s">
        <v>1112</v>
      </c>
      <c r="D167" s="444" t="s">
        <v>1434</v>
      </c>
      <c r="E167" s="444" t="s">
        <v>1435</v>
      </c>
      <c r="F167" s="447">
        <v>0</v>
      </c>
      <c r="G167" s="447">
        <v>0</v>
      </c>
      <c r="H167" s="447"/>
      <c r="I167" s="447"/>
      <c r="J167" s="447"/>
      <c r="K167" s="447"/>
      <c r="L167" s="447"/>
      <c r="M167" s="447"/>
      <c r="N167" s="447"/>
      <c r="O167" s="447"/>
      <c r="P167" s="471"/>
      <c r="Q167" s="448"/>
    </row>
    <row r="168" spans="1:17" ht="14.4" customHeight="1" x14ac:dyDescent="0.3">
      <c r="A168" s="443" t="s">
        <v>437</v>
      </c>
      <c r="B168" s="444" t="s">
        <v>1303</v>
      </c>
      <c r="C168" s="444" t="s">
        <v>1112</v>
      </c>
      <c r="D168" s="444" t="s">
        <v>1436</v>
      </c>
      <c r="E168" s="444" t="s">
        <v>1437</v>
      </c>
      <c r="F168" s="447">
        <v>31</v>
      </c>
      <c r="G168" s="447">
        <v>0</v>
      </c>
      <c r="H168" s="447"/>
      <c r="I168" s="447">
        <v>0</v>
      </c>
      <c r="J168" s="447"/>
      <c r="K168" s="447"/>
      <c r="L168" s="447"/>
      <c r="M168" s="447"/>
      <c r="N168" s="447"/>
      <c r="O168" s="447"/>
      <c r="P168" s="471"/>
      <c r="Q168" s="448"/>
    </row>
    <row r="169" spans="1:17" ht="14.4" customHeight="1" x14ac:dyDescent="0.3">
      <c r="A169" s="443" t="s">
        <v>437</v>
      </c>
      <c r="B169" s="444" t="s">
        <v>1303</v>
      </c>
      <c r="C169" s="444" t="s">
        <v>1112</v>
      </c>
      <c r="D169" s="444" t="s">
        <v>1438</v>
      </c>
      <c r="E169" s="444" t="s">
        <v>1439</v>
      </c>
      <c r="F169" s="447">
        <v>1</v>
      </c>
      <c r="G169" s="447">
        <v>0</v>
      </c>
      <c r="H169" s="447"/>
      <c r="I169" s="447">
        <v>0</v>
      </c>
      <c r="J169" s="447"/>
      <c r="K169" s="447"/>
      <c r="L169" s="447"/>
      <c r="M169" s="447"/>
      <c r="N169" s="447"/>
      <c r="O169" s="447"/>
      <c r="P169" s="471"/>
      <c r="Q169" s="448"/>
    </row>
    <row r="170" spans="1:17" ht="14.4" customHeight="1" x14ac:dyDescent="0.3">
      <c r="A170" s="443" t="s">
        <v>437</v>
      </c>
      <c r="B170" s="444" t="s">
        <v>1303</v>
      </c>
      <c r="C170" s="444" t="s">
        <v>1112</v>
      </c>
      <c r="D170" s="444" t="s">
        <v>1174</v>
      </c>
      <c r="E170" s="444" t="s">
        <v>1175</v>
      </c>
      <c r="F170" s="447">
        <v>104</v>
      </c>
      <c r="G170" s="447">
        <v>46072</v>
      </c>
      <c r="H170" s="447">
        <v>1</v>
      </c>
      <c r="I170" s="447">
        <v>443</v>
      </c>
      <c r="J170" s="447"/>
      <c r="K170" s="447"/>
      <c r="L170" s="447"/>
      <c r="M170" s="447"/>
      <c r="N170" s="447"/>
      <c r="O170" s="447"/>
      <c r="P170" s="471"/>
      <c r="Q170" s="448"/>
    </row>
    <row r="171" spans="1:17" ht="14.4" customHeight="1" x14ac:dyDescent="0.3">
      <c r="A171" s="443" t="s">
        <v>437</v>
      </c>
      <c r="B171" s="444" t="s">
        <v>1303</v>
      </c>
      <c r="C171" s="444" t="s">
        <v>1112</v>
      </c>
      <c r="D171" s="444" t="s">
        <v>1178</v>
      </c>
      <c r="E171" s="444" t="s">
        <v>1179</v>
      </c>
      <c r="F171" s="447">
        <v>502</v>
      </c>
      <c r="G171" s="447">
        <v>0</v>
      </c>
      <c r="H171" s="447"/>
      <c r="I171" s="447">
        <v>0</v>
      </c>
      <c r="J171" s="447"/>
      <c r="K171" s="447"/>
      <c r="L171" s="447"/>
      <c r="M171" s="447"/>
      <c r="N171" s="447"/>
      <c r="O171" s="447"/>
      <c r="P171" s="471"/>
      <c r="Q171" s="448"/>
    </row>
    <row r="172" spans="1:17" ht="14.4" customHeight="1" x14ac:dyDescent="0.3">
      <c r="A172" s="443" t="s">
        <v>437</v>
      </c>
      <c r="B172" s="444" t="s">
        <v>1303</v>
      </c>
      <c r="C172" s="444" t="s">
        <v>1112</v>
      </c>
      <c r="D172" s="444" t="s">
        <v>1182</v>
      </c>
      <c r="E172" s="444" t="s">
        <v>1183</v>
      </c>
      <c r="F172" s="447">
        <v>46</v>
      </c>
      <c r="G172" s="447">
        <v>3450</v>
      </c>
      <c r="H172" s="447">
        <v>1</v>
      </c>
      <c r="I172" s="447">
        <v>75</v>
      </c>
      <c r="J172" s="447"/>
      <c r="K172" s="447"/>
      <c r="L172" s="447"/>
      <c r="M172" s="447"/>
      <c r="N172" s="447"/>
      <c r="O172" s="447"/>
      <c r="P172" s="471"/>
      <c r="Q172" s="448"/>
    </row>
    <row r="173" spans="1:17" ht="14.4" customHeight="1" x14ac:dyDescent="0.3">
      <c r="A173" s="443" t="s">
        <v>437</v>
      </c>
      <c r="B173" s="444" t="s">
        <v>1303</v>
      </c>
      <c r="C173" s="444" t="s">
        <v>1112</v>
      </c>
      <c r="D173" s="444" t="s">
        <v>1188</v>
      </c>
      <c r="E173" s="444" t="s">
        <v>1189</v>
      </c>
      <c r="F173" s="447">
        <v>3</v>
      </c>
      <c r="G173" s="447">
        <v>1446</v>
      </c>
      <c r="H173" s="447">
        <v>1</v>
      </c>
      <c r="I173" s="447">
        <v>482</v>
      </c>
      <c r="J173" s="447"/>
      <c r="K173" s="447"/>
      <c r="L173" s="447"/>
      <c r="M173" s="447"/>
      <c r="N173" s="447"/>
      <c r="O173" s="447"/>
      <c r="P173" s="471"/>
      <c r="Q173" s="448"/>
    </row>
    <row r="174" spans="1:17" ht="14.4" customHeight="1" x14ac:dyDescent="0.3">
      <c r="A174" s="443" t="s">
        <v>437</v>
      </c>
      <c r="B174" s="444" t="s">
        <v>1303</v>
      </c>
      <c r="C174" s="444" t="s">
        <v>1112</v>
      </c>
      <c r="D174" s="444" t="s">
        <v>1440</v>
      </c>
      <c r="E174" s="444" t="s">
        <v>1441</v>
      </c>
      <c r="F174" s="447">
        <v>459</v>
      </c>
      <c r="G174" s="447">
        <v>464465</v>
      </c>
      <c r="H174" s="447">
        <v>1</v>
      </c>
      <c r="I174" s="447">
        <v>1011.9063180827886</v>
      </c>
      <c r="J174" s="447"/>
      <c r="K174" s="447"/>
      <c r="L174" s="447"/>
      <c r="M174" s="447"/>
      <c r="N174" s="447"/>
      <c r="O174" s="447"/>
      <c r="P174" s="471"/>
      <c r="Q174" s="448"/>
    </row>
    <row r="175" spans="1:17" ht="14.4" customHeight="1" x14ac:dyDescent="0.3">
      <c r="A175" s="443" t="s">
        <v>437</v>
      </c>
      <c r="B175" s="444" t="s">
        <v>1303</v>
      </c>
      <c r="C175" s="444" t="s">
        <v>1112</v>
      </c>
      <c r="D175" s="444" t="s">
        <v>1442</v>
      </c>
      <c r="E175" s="444" t="s">
        <v>1443</v>
      </c>
      <c r="F175" s="447">
        <v>7</v>
      </c>
      <c r="G175" s="447">
        <v>24430</v>
      </c>
      <c r="H175" s="447">
        <v>1</v>
      </c>
      <c r="I175" s="447">
        <v>3490</v>
      </c>
      <c r="J175" s="447"/>
      <c r="K175" s="447"/>
      <c r="L175" s="447"/>
      <c r="M175" s="447"/>
      <c r="N175" s="447"/>
      <c r="O175" s="447"/>
      <c r="P175" s="471"/>
      <c r="Q175" s="448"/>
    </row>
    <row r="176" spans="1:17" ht="14.4" customHeight="1" x14ac:dyDescent="0.3">
      <c r="A176" s="443" t="s">
        <v>437</v>
      </c>
      <c r="B176" s="444" t="s">
        <v>1303</v>
      </c>
      <c r="C176" s="444" t="s">
        <v>1112</v>
      </c>
      <c r="D176" s="444" t="s">
        <v>1444</v>
      </c>
      <c r="E176" s="444" t="s">
        <v>1141</v>
      </c>
      <c r="F176" s="447">
        <v>5</v>
      </c>
      <c r="G176" s="447">
        <v>3325</v>
      </c>
      <c r="H176" s="447">
        <v>1</v>
      </c>
      <c r="I176" s="447">
        <v>665</v>
      </c>
      <c r="J176" s="447"/>
      <c r="K176" s="447"/>
      <c r="L176" s="447"/>
      <c r="M176" s="447"/>
      <c r="N176" s="447"/>
      <c r="O176" s="447"/>
      <c r="P176" s="471"/>
      <c r="Q176" s="448"/>
    </row>
    <row r="177" spans="1:17" ht="14.4" customHeight="1" x14ac:dyDescent="0.3">
      <c r="A177" s="443" t="s">
        <v>437</v>
      </c>
      <c r="B177" s="444" t="s">
        <v>1303</v>
      </c>
      <c r="C177" s="444" t="s">
        <v>1112</v>
      </c>
      <c r="D177" s="444" t="s">
        <v>1445</v>
      </c>
      <c r="E177" s="444" t="s">
        <v>1446</v>
      </c>
      <c r="F177" s="447">
        <v>1</v>
      </c>
      <c r="G177" s="447">
        <v>0</v>
      </c>
      <c r="H177" s="447"/>
      <c r="I177" s="447">
        <v>0</v>
      </c>
      <c r="J177" s="447"/>
      <c r="K177" s="447"/>
      <c r="L177" s="447"/>
      <c r="M177" s="447"/>
      <c r="N177" s="447"/>
      <c r="O177" s="447"/>
      <c r="P177" s="471"/>
      <c r="Q177" s="448"/>
    </row>
    <row r="178" spans="1:17" ht="14.4" customHeight="1" x14ac:dyDescent="0.3">
      <c r="A178" s="443" t="s">
        <v>437</v>
      </c>
      <c r="B178" s="444" t="s">
        <v>1303</v>
      </c>
      <c r="C178" s="444" t="s">
        <v>1112</v>
      </c>
      <c r="D178" s="444" t="s">
        <v>1301</v>
      </c>
      <c r="E178" s="444" t="s">
        <v>1302</v>
      </c>
      <c r="F178" s="447">
        <v>3</v>
      </c>
      <c r="G178" s="447">
        <v>1692</v>
      </c>
      <c r="H178" s="447">
        <v>1</v>
      </c>
      <c r="I178" s="447">
        <v>564</v>
      </c>
      <c r="J178" s="447"/>
      <c r="K178" s="447"/>
      <c r="L178" s="447"/>
      <c r="M178" s="447"/>
      <c r="N178" s="447"/>
      <c r="O178" s="447"/>
      <c r="P178" s="471"/>
      <c r="Q178" s="448"/>
    </row>
    <row r="179" spans="1:17" ht="14.4" customHeight="1" x14ac:dyDescent="0.3">
      <c r="A179" s="443" t="s">
        <v>437</v>
      </c>
      <c r="B179" s="444" t="s">
        <v>1303</v>
      </c>
      <c r="C179" s="444" t="s">
        <v>1112</v>
      </c>
      <c r="D179" s="444" t="s">
        <v>1198</v>
      </c>
      <c r="E179" s="444" t="s">
        <v>1199</v>
      </c>
      <c r="F179" s="447">
        <v>2</v>
      </c>
      <c r="G179" s="447">
        <v>1380</v>
      </c>
      <c r="H179" s="447">
        <v>1</v>
      </c>
      <c r="I179" s="447">
        <v>690</v>
      </c>
      <c r="J179" s="447"/>
      <c r="K179" s="447"/>
      <c r="L179" s="447"/>
      <c r="M179" s="447"/>
      <c r="N179" s="447"/>
      <c r="O179" s="447"/>
      <c r="P179" s="471"/>
      <c r="Q179" s="448"/>
    </row>
    <row r="180" spans="1:17" ht="14.4" customHeight="1" x14ac:dyDescent="0.3">
      <c r="A180" s="443" t="s">
        <v>437</v>
      </c>
      <c r="B180" s="444" t="s">
        <v>1303</v>
      </c>
      <c r="C180" s="444" t="s">
        <v>1112</v>
      </c>
      <c r="D180" s="444" t="s">
        <v>1200</v>
      </c>
      <c r="E180" s="444" t="s">
        <v>1201</v>
      </c>
      <c r="F180" s="447">
        <v>4</v>
      </c>
      <c r="G180" s="447">
        <v>4160</v>
      </c>
      <c r="H180" s="447">
        <v>1</v>
      </c>
      <c r="I180" s="447">
        <v>1040</v>
      </c>
      <c r="J180" s="447"/>
      <c r="K180" s="447"/>
      <c r="L180" s="447"/>
      <c r="M180" s="447"/>
      <c r="N180" s="447"/>
      <c r="O180" s="447"/>
      <c r="P180" s="471"/>
      <c r="Q180" s="448"/>
    </row>
    <row r="181" spans="1:17" ht="14.4" customHeight="1" x14ac:dyDescent="0.3">
      <c r="A181" s="443" t="s">
        <v>437</v>
      </c>
      <c r="B181" s="444" t="s">
        <v>1303</v>
      </c>
      <c r="C181" s="444" t="s">
        <v>1112</v>
      </c>
      <c r="D181" s="444" t="s">
        <v>1447</v>
      </c>
      <c r="E181" s="444" t="s">
        <v>1448</v>
      </c>
      <c r="F181" s="447">
        <v>8</v>
      </c>
      <c r="G181" s="447">
        <v>6736</v>
      </c>
      <c r="H181" s="447">
        <v>1</v>
      </c>
      <c r="I181" s="447">
        <v>842</v>
      </c>
      <c r="J181" s="447"/>
      <c r="K181" s="447"/>
      <c r="L181" s="447"/>
      <c r="M181" s="447"/>
      <c r="N181" s="447"/>
      <c r="O181" s="447"/>
      <c r="P181" s="471"/>
      <c r="Q181" s="448"/>
    </row>
    <row r="182" spans="1:17" ht="14.4" customHeight="1" x14ac:dyDescent="0.3">
      <c r="A182" s="443" t="s">
        <v>437</v>
      </c>
      <c r="B182" s="444" t="s">
        <v>1303</v>
      </c>
      <c r="C182" s="444" t="s">
        <v>1112</v>
      </c>
      <c r="D182" s="444" t="s">
        <v>1449</v>
      </c>
      <c r="E182" s="444" t="s">
        <v>1450</v>
      </c>
      <c r="F182" s="447">
        <v>11</v>
      </c>
      <c r="G182" s="447">
        <v>43285</v>
      </c>
      <c r="H182" s="447">
        <v>1</v>
      </c>
      <c r="I182" s="447">
        <v>3935</v>
      </c>
      <c r="J182" s="447"/>
      <c r="K182" s="447"/>
      <c r="L182" s="447"/>
      <c r="M182" s="447"/>
      <c r="N182" s="447"/>
      <c r="O182" s="447"/>
      <c r="P182" s="471"/>
      <c r="Q182" s="448"/>
    </row>
    <row r="183" spans="1:17" ht="14.4" customHeight="1" x14ac:dyDescent="0.3">
      <c r="A183" s="443" t="s">
        <v>437</v>
      </c>
      <c r="B183" s="444" t="s">
        <v>1303</v>
      </c>
      <c r="C183" s="444" t="s">
        <v>1112</v>
      </c>
      <c r="D183" s="444" t="s">
        <v>1451</v>
      </c>
      <c r="E183" s="444" t="s">
        <v>1452</v>
      </c>
      <c r="F183" s="447">
        <v>1</v>
      </c>
      <c r="G183" s="447">
        <v>3585</v>
      </c>
      <c r="H183" s="447">
        <v>1</v>
      </c>
      <c r="I183" s="447">
        <v>3585</v>
      </c>
      <c r="J183" s="447"/>
      <c r="K183" s="447"/>
      <c r="L183" s="447"/>
      <c r="M183" s="447"/>
      <c r="N183" s="447"/>
      <c r="O183" s="447"/>
      <c r="P183" s="471"/>
      <c r="Q183" s="448"/>
    </row>
    <row r="184" spans="1:17" ht="14.4" customHeight="1" x14ac:dyDescent="0.3">
      <c r="A184" s="443" t="s">
        <v>437</v>
      </c>
      <c r="B184" s="444" t="s">
        <v>1303</v>
      </c>
      <c r="C184" s="444" t="s">
        <v>1112</v>
      </c>
      <c r="D184" s="444" t="s">
        <v>1204</v>
      </c>
      <c r="E184" s="444" t="s">
        <v>1205</v>
      </c>
      <c r="F184" s="447">
        <v>12</v>
      </c>
      <c r="G184" s="447">
        <v>8172</v>
      </c>
      <c r="H184" s="447">
        <v>1</v>
      </c>
      <c r="I184" s="447">
        <v>681</v>
      </c>
      <c r="J184" s="447"/>
      <c r="K184" s="447"/>
      <c r="L184" s="447"/>
      <c r="M184" s="447"/>
      <c r="N184" s="447"/>
      <c r="O184" s="447"/>
      <c r="P184" s="471"/>
      <c r="Q184" s="448"/>
    </row>
    <row r="185" spans="1:17" ht="14.4" customHeight="1" x14ac:dyDescent="0.3">
      <c r="A185" s="443" t="s">
        <v>437</v>
      </c>
      <c r="B185" s="444" t="s">
        <v>1303</v>
      </c>
      <c r="C185" s="444" t="s">
        <v>1112</v>
      </c>
      <c r="D185" s="444" t="s">
        <v>1453</v>
      </c>
      <c r="E185" s="444" t="s">
        <v>1454</v>
      </c>
      <c r="F185" s="447">
        <v>1</v>
      </c>
      <c r="G185" s="447">
        <v>625</v>
      </c>
      <c r="H185" s="447">
        <v>1</v>
      </c>
      <c r="I185" s="447">
        <v>625</v>
      </c>
      <c r="J185" s="447"/>
      <c r="K185" s="447"/>
      <c r="L185" s="447"/>
      <c r="M185" s="447"/>
      <c r="N185" s="447"/>
      <c r="O185" s="447"/>
      <c r="P185" s="471"/>
      <c r="Q185" s="448"/>
    </row>
    <row r="186" spans="1:17" ht="14.4" customHeight="1" x14ac:dyDescent="0.3">
      <c r="A186" s="443" t="s">
        <v>437</v>
      </c>
      <c r="B186" s="444" t="s">
        <v>1303</v>
      </c>
      <c r="C186" s="444" t="s">
        <v>1112</v>
      </c>
      <c r="D186" s="444" t="s">
        <v>1455</v>
      </c>
      <c r="E186" s="444" t="s">
        <v>1456</v>
      </c>
      <c r="F186" s="447">
        <v>3</v>
      </c>
      <c r="G186" s="447">
        <v>4575</v>
      </c>
      <c r="H186" s="447">
        <v>1</v>
      </c>
      <c r="I186" s="447">
        <v>1525</v>
      </c>
      <c r="J186" s="447"/>
      <c r="K186" s="447"/>
      <c r="L186" s="447"/>
      <c r="M186" s="447"/>
      <c r="N186" s="447"/>
      <c r="O186" s="447"/>
      <c r="P186" s="471"/>
      <c r="Q186" s="448"/>
    </row>
    <row r="187" spans="1:17" ht="14.4" customHeight="1" x14ac:dyDescent="0.3">
      <c r="A187" s="443" t="s">
        <v>437</v>
      </c>
      <c r="B187" s="444" t="s">
        <v>1303</v>
      </c>
      <c r="C187" s="444" t="s">
        <v>1112</v>
      </c>
      <c r="D187" s="444" t="s">
        <v>1214</v>
      </c>
      <c r="E187" s="444" t="s">
        <v>1215</v>
      </c>
      <c r="F187" s="447">
        <v>11</v>
      </c>
      <c r="G187" s="447">
        <v>3839</v>
      </c>
      <c r="H187" s="447">
        <v>1</v>
      </c>
      <c r="I187" s="447">
        <v>349</v>
      </c>
      <c r="J187" s="447"/>
      <c r="K187" s="447"/>
      <c r="L187" s="447"/>
      <c r="M187" s="447"/>
      <c r="N187" s="447"/>
      <c r="O187" s="447"/>
      <c r="P187" s="471"/>
      <c r="Q187" s="448"/>
    </row>
    <row r="188" spans="1:17" ht="14.4" customHeight="1" x14ac:dyDescent="0.3">
      <c r="A188" s="443" t="s">
        <v>437</v>
      </c>
      <c r="B188" s="444" t="s">
        <v>1303</v>
      </c>
      <c r="C188" s="444" t="s">
        <v>1112</v>
      </c>
      <c r="D188" s="444" t="s">
        <v>1457</v>
      </c>
      <c r="E188" s="444" t="s">
        <v>1458</v>
      </c>
      <c r="F188" s="447">
        <v>2</v>
      </c>
      <c r="G188" s="447">
        <v>288</v>
      </c>
      <c r="H188" s="447">
        <v>1</v>
      </c>
      <c r="I188" s="447">
        <v>144</v>
      </c>
      <c r="J188" s="447"/>
      <c r="K188" s="447"/>
      <c r="L188" s="447"/>
      <c r="M188" s="447"/>
      <c r="N188" s="447"/>
      <c r="O188" s="447"/>
      <c r="P188" s="471"/>
      <c r="Q188" s="448"/>
    </row>
    <row r="189" spans="1:17" ht="14.4" customHeight="1" x14ac:dyDescent="0.3">
      <c r="A189" s="443" t="s">
        <v>437</v>
      </c>
      <c r="B189" s="444" t="s">
        <v>1303</v>
      </c>
      <c r="C189" s="444" t="s">
        <v>1112</v>
      </c>
      <c r="D189" s="444" t="s">
        <v>1218</v>
      </c>
      <c r="E189" s="444" t="s">
        <v>1219</v>
      </c>
      <c r="F189" s="447">
        <v>4</v>
      </c>
      <c r="G189" s="447">
        <v>2484</v>
      </c>
      <c r="H189" s="447">
        <v>1</v>
      </c>
      <c r="I189" s="447">
        <v>621</v>
      </c>
      <c r="J189" s="447"/>
      <c r="K189" s="447"/>
      <c r="L189" s="447"/>
      <c r="M189" s="447"/>
      <c r="N189" s="447"/>
      <c r="O189" s="447"/>
      <c r="P189" s="471"/>
      <c r="Q189" s="448"/>
    </row>
    <row r="190" spans="1:17" ht="14.4" customHeight="1" x14ac:dyDescent="0.3">
      <c r="A190" s="443" t="s">
        <v>437</v>
      </c>
      <c r="B190" s="444" t="s">
        <v>1303</v>
      </c>
      <c r="C190" s="444" t="s">
        <v>1112</v>
      </c>
      <c r="D190" s="444" t="s">
        <v>1459</v>
      </c>
      <c r="E190" s="444" t="s">
        <v>1460</v>
      </c>
      <c r="F190" s="447">
        <v>2</v>
      </c>
      <c r="G190" s="447">
        <v>11456</v>
      </c>
      <c r="H190" s="447">
        <v>1</v>
      </c>
      <c r="I190" s="447">
        <v>5728</v>
      </c>
      <c r="J190" s="447"/>
      <c r="K190" s="447"/>
      <c r="L190" s="447"/>
      <c r="M190" s="447"/>
      <c r="N190" s="447"/>
      <c r="O190" s="447"/>
      <c r="P190" s="471"/>
      <c r="Q190" s="448"/>
    </row>
    <row r="191" spans="1:17" ht="14.4" customHeight="1" x14ac:dyDescent="0.3">
      <c r="A191" s="443" t="s">
        <v>437</v>
      </c>
      <c r="B191" s="444" t="s">
        <v>1303</v>
      </c>
      <c r="C191" s="444" t="s">
        <v>1112</v>
      </c>
      <c r="D191" s="444" t="s">
        <v>1461</v>
      </c>
      <c r="E191" s="444" t="s">
        <v>1462</v>
      </c>
      <c r="F191" s="447">
        <v>4</v>
      </c>
      <c r="G191" s="447">
        <v>10492</v>
      </c>
      <c r="H191" s="447">
        <v>1</v>
      </c>
      <c r="I191" s="447">
        <v>2623</v>
      </c>
      <c r="J191" s="447"/>
      <c r="K191" s="447"/>
      <c r="L191" s="447"/>
      <c r="M191" s="447"/>
      <c r="N191" s="447"/>
      <c r="O191" s="447"/>
      <c r="P191" s="471"/>
      <c r="Q191" s="448"/>
    </row>
    <row r="192" spans="1:17" ht="14.4" customHeight="1" x14ac:dyDescent="0.3">
      <c r="A192" s="443" t="s">
        <v>437</v>
      </c>
      <c r="B192" s="444" t="s">
        <v>1303</v>
      </c>
      <c r="C192" s="444" t="s">
        <v>1112</v>
      </c>
      <c r="D192" s="444" t="s">
        <v>1220</v>
      </c>
      <c r="E192" s="444" t="s">
        <v>1221</v>
      </c>
      <c r="F192" s="447">
        <v>10</v>
      </c>
      <c r="G192" s="447">
        <v>15670</v>
      </c>
      <c r="H192" s="447">
        <v>1</v>
      </c>
      <c r="I192" s="447">
        <v>1567</v>
      </c>
      <c r="J192" s="447"/>
      <c r="K192" s="447"/>
      <c r="L192" s="447"/>
      <c r="M192" s="447"/>
      <c r="N192" s="447"/>
      <c r="O192" s="447"/>
      <c r="P192" s="471"/>
      <c r="Q192" s="448"/>
    </row>
    <row r="193" spans="1:17" ht="14.4" customHeight="1" x14ac:dyDescent="0.3">
      <c r="A193" s="443" t="s">
        <v>437</v>
      </c>
      <c r="B193" s="444" t="s">
        <v>1303</v>
      </c>
      <c r="C193" s="444" t="s">
        <v>1112</v>
      </c>
      <c r="D193" s="444" t="s">
        <v>1463</v>
      </c>
      <c r="E193" s="444" t="s">
        <v>1464</v>
      </c>
      <c r="F193" s="447">
        <v>1</v>
      </c>
      <c r="G193" s="447">
        <v>0</v>
      </c>
      <c r="H193" s="447"/>
      <c r="I193" s="447">
        <v>0</v>
      </c>
      <c r="J193" s="447"/>
      <c r="K193" s="447"/>
      <c r="L193" s="447"/>
      <c r="M193" s="447"/>
      <c r="N193" s="447"/>
      <c r="O193" s="447"/>
      <c r="P193" s="471"/>
      <c r="Q193" s="448"/>
    </row>
    <row r="194" spans="1:17" ht="14.4" customHeight="1" x14ac:dyDescent="0.3">
      <c r="A194" s="443" t="s">
        <v>437</v>
      </c>
      <c r="B194" s="444" t="s">
        <v>1303</v>
      </c>
      <c r="C194" s="444" t="s">
        <v>1112</v>
      </c>
      <c r="D194" s="444" t="s">
        <v>1465</v>
      </c>
      <c r="E194" s="444" t="s">
        <v>1466</v>
      </c>
      <c r="F194" s="447">
        <v>1</v>
      </c>
      <c r="G194" s="447">
        <v>2969</v>
      </c>
      <c r="H194" s="447">
        <v>1</v>
      </c>
      <c r="I194" s="447">
        <v>2969</v>
      </c>
      <c r="J194" s="447"/>
      <c r="K194" s="447"/>
      <c r="L194" s="447"/>
      <c r="M194" s="447"/>
      <c r="N194" s="447"/>
      <c r="O194" s="447"/>
      <c r="P194" s="471"/>
      <c r="Q194" s="448"/>
    </row>
    <row r="195" spans="1:17" ht="14.4" customHeight="1" x14ac:dyDescent="0.3">
      <c r="A195" s="443" t="s">
        <v>437</v>
      </c>
      <c r="B195" s="444" t="s">
        <v>1303</v>
      </c>
      <c r="C195" s="444" t="s">
        <v>1112</v>
      </c>
      <c r="D195" s="444" t="s">
        <v>1226</v>
      </c>
      <c r="E195" s="444" t="s">
        <v>1227</v>
      </c>
      <c r="F195" s="447">
        <v>6</v>
      </c>
      <c r="G195" s="447">
        <v>1440</v>
      </c>
      <c r="H195" s="447">
        <v>1</v>
      </c>
      <c r="I195" s="447">
        <v>240</v>
      </c>
      <c r="J195" s="447"/>
      <c r="K195" s="447"/>
      <c r="L195" s="447"/>
      <c r="M195" s="447"/>
      <c r="N195" s="447"/>
      <c r="O195" s="447"/>
      <c r="P195" s="471"/>
      <c r="Q195" s="448"/>
    </row>
    <row r="196" spans="1:17" ht="14.4" customHeight="1" x14ac:dyDescent="0.3">
      <c r="A196" s="443" t="s">
        <v>437</v>
      </c>
      <c r="B196" s="444" t="s">
        <v>1303</v>
      </c>
      <c r="C196" s="444" t="s">
        <v>1112</v>
      </c>
      <c r="D196" s="444" t="s">
        <v>1228</v>
      </c>
      <c r="E196" s="444" t="s">
        <v>1229</v>
      </c>
      <c r="F196" s="447">
        <v>4</v>
      </c>
      <c r="G196" s="447">
        <v>13936</v>
      </c>
      <c r="H196" s="447">
        <v>1</v>
      </c>
      <c r="I196" s="447">
        <v>3484</v>
      </c>
      <c r="J196" s="447"/>
      <c r="K196" s="447"/>
      <c r="L196" s="447"/>
      <c r="M196" s="447"/>
      <c r="N196" s="447"/>
      <c r="O196" s="447"/>
      <c r="P196" s="471"/>
      <c r="Q196" s="448"/>
    </row>
    <row r="197" spans="1:17" ht="14.4" customHeight="1" x14ac:dyDescent="0.3">
      <c r="A197" s="443" t="s">
        <v>437</v>
      </c>
      <c r="B197" s="444" t="s">
        <v>1303</v>
      </c>
      <c r="C197" s="444" t="s">
        <v>1112</v>
      </c>
      <c r="D197" s="444" t="s">
        <v>1230</v>
      </c>
      <c r="E197" s="444" t="s">
        <v>1231</v>
      </c>
      <c r="F197" s="447">
        <v>20</v>
      </c>
      <c r="G197" s="447">
        <v>32940</v>
      </c>
      <c r="H197" s="447">
        <v>1</v>
      </c>
      <c r="I197" s="447">
        <v>1647</v>
      </c>
      <c r="J197" s="447"/>
      <c r="K197" s="447"/>
      <c r="L197" s="447"/>
      <c r="M197" s="447"/>
      <c r="N197" s="447"/>
      <c r="O197" s="447"/>
      <c r="P197" s="471"/>
      <c r="Q197" s="448"/>
    </row>
    <row r="198" spans="1:17" ht="14.4" customHeight="1" x14ac:dyDescent="0.3">
      <c r="A198" s="443" t="s">
        <v>437</v>
      </c>
      <c r="B198" s="444" t="s">
        <v>1303</v>
      </c>
      <c r="C198" s="444" t="s">
        <v>1112</v>
      </c>
      <c r="D198" s="444" t="s">
        <v>1232</v>
      </c>
      <c r="E198" s="444" t="s">
        <v>1233</v>
      </c>
      <c r="F198" s="447">
        <v>1</v>
      </c>
      <c r="G198" s="447">
        <v>483</v>
      </c>
      <c r="H198" s="447">
        <v>1</v>
      </c>
      <c r="I198" s="447">
        <v>483</v>
      </c>
      <c r="J198" s="447"/>
      <c r="K198" s="447"/>
      <c r="L198" s="447"/>
      <c r="M198" s="447"/>
      <c r="N198" s="447"/>
      <c r="O198" s="447"/>
      <c r="P198" s="471"/>
      <c r="Q198" s="448"/>
    </row>
    <row r="199" spans="1:17" ht="14.4" customHeight="1" x14ac:dyDescent="0.3">
      <c r="A199" s="443" t="s">
        <v>437</v>
      </c>
      <c r="B199" s="444" t="s">
        <v>1303</v>
      </c>
      <c r="C199" s="444" t="s">
        <v>1112</v>
      </c>
      <c r="D199" s="444" t="s">
        <v>1467</v>
      </c>
      <c r="E199" s="444" t="s">
        <v>1468</v>
      </c>
      <c r="F199" s="447">
        <v>11</v>
      </c>
      <c r="G199" s="447">
        <v>19316</v>
      </c>
      <c r="H199" s="447">
        <v>1</v>
      </c>
      <c r="I199" s="447">
        <v>1756</v>
      </c>
      <c r="J199" s="447"/>
      <c r="K199" s="447"/>
      <c r="L199" s="447"/>
      <c r="M199" s="447"/>
      <c r="N199" s="447"/>
      <c r="O199" s="447"/>
      <c r="P199" s="471"/>
      <c r="Q199" s="448"/>
    </row>
    <row r="200" spans="1:17" ht="14.4" customHeight="1" x14ac:dyDescent="0.3">
      <c r="A200" s="443" t="s">
        <v>437</v>
      </c>
      <c r="B200" s="444" t="s">
        <v>1303</v>
      </c>
      <c r="C200" s="444" t="s">
        <v>1112</v>
      </c>
      <c r="D200" s="444" t="s">
        <v>586</v>
      </c>
      <c r="E200" s="444" t="s">
        <v>1469</v>
      </c>
      <c r="F200" s="447">
        <v>1</v>
      </c>
      <c r="G200" s="447">
        <v>1183</v>
      </c>
      <c r="H200" s="447">
        <v>1</v>
      </c>
      <c r="I200" s="447">
        <v>1183</v>
      </c>
      <c r="J200" s="447"/>
      <c r="K200" s="447"/>
      <c r="L200" s="447"/>
      <c r="M200" s="447"/>
      <c r="N200" s="447"/>
      <c r="O200" s="447"/>
      <c r="P200" s="471"/>
      <c r="Q200" s="448"/>
    </row>
    <row r="201" spans="1:17" ht="14.4" customHeight="1" x14ac:dyDescent="0.3">
      <c r="A201" s="443" t="s">
        <v>437</v>
      </c>
      <c r="B201" s="444" t="s">
        <v>1303</v>
      </c>
      <c r="C201" s="444" t="s">
        <v>1112</v>
      </c>
      <c r="D201" s="444" t="s">
        <v>1470</v>
      </c>
      <c r="E201" s="444" t="s">
        <v>1471</v>
      </c>
      <c r="F201" s="447">
        <v>1</v>
      </c>
      <c r="G201" s="447">
        <v>4462</v>
      </c>
      <c r="H201" s="447">
        <v>1</v>
      </c>
      <c r="I201" s="447">
        <v>4462</v>
      </c>
      <c r="J201" s="447"/>
      <c r="K201" s="447"/>
      <c r="L201" s="447"/>
      <c r="M201" s="447"/>
      <c r="N201" s="447"/>
      <c r="O201" s="447"/>
      <c r="P201" s="471"/>
      <c r="Q201" s="448"/>
    </row>
    <row r="202" spans="1:17" ht="14.4" customHeight="1" x14ac:dyDescent="0.3">
      <c r="A202" s="443" t="s">
        <v>437</v>
      </c>
      <c r="B202" s="444" t="s">
        <v>1303</v>
      </c>
      <c r="C202" s="444" t="s">
        <v>1112</v>
      </c>
      <c r="D202" s="444" t="s">
        <v>1234</v>
      </c>
      <c r="E202" s="444" t="s">
        <v>1235</v>
      </c>
      <c r="F202" s="447">
        <v>3</v>
      </c>
      <c r="G202" s="447">
        <v>2541</v>
      </c>
      <c r="H202" s="447">
        <v>1</v>
      </c>
      <c r="I202" s="447">
        <v>847</v>
      </c>
      <c r="J202" s="447"/>
      <c r="K202" s="447"/>
      <c r="L202" s="447"/>
      <c r="M202" s="447"/>
      <c r="N202" s="447"/>
      <c r="O202" s="447"/>
      <c r="P202" s="471"/>
      <c r="Q202" s="448"/>
    </row>
    <row r="203" spans="1:17" ht="14.4" customHeight="1" x14ac:dyDescent="0.3">
      <c r="A203" s="443" t="s">
        <v>437</v>
      </c>
      <c r="B203" s="444" t="s">
        <v>1303</v>
      </c>
      <c r="C203" s="444" t="s">
        <v>1112</v>
      </c>
      <c r="D203" s="444" t="s">
        <v>1472</v>
      </c>
      <c r="E203" s="444" t="s">
        <v>1473</v>
      </c>
      <c r="F203" s="447">
        <v>27</v>
      </c>
      <c r="G203" s="447">
        <v>12258</v>
      </c>
      <c r="H203" s="447">
        <v>1</v>
      </c>
      <c r="I203" s="447">
        <v>454</v>
      </c>
      <c r="J203" s="447"/>
      <c r="K203" s="447"/>
      <c r="L203" s="447"/>
      <c r="M203" s="447"/>
      <c r="N203" s="447"/>
      <c r="O203" s="447"/>
      <c r="P203" s="471"/>
      <c r="Q203" s="448"/>
    </row>
    <row r="204" spans="1:17" ht="14.4" customHeight="1" x14ac:dyDescent="0.3">
      <c r="A204" s="443" t="s">
        <v>437</v>
      </c>
      <c r="B204" s="444" t="s">
        <v>1303</v>
      </c>
      <c r="C204" s="444" t="s">
        <v>1112</v>
      </c>
      <c r="D204" s="444" t="s">
        <v>1474</v>
      </c>
      <c r="E204" s="444" t="s">
        <v>1475</v>
      </c>
      <c r="F204" s="447">
        <v>9</v>
      </c>
      <c r="G204" s="447">
        <v>2754</v>
      </c>
      <c r="H204" s="447">
        <v>1</v>
      </c>
      <c r="I204" s="447">
        <v>306</v>
      </c>
      <c r="J204" s="447"/>
      <c r="K204" s="447"/>
      <c r="L204" s="447"/>
      <c r="M204" s="447"/>
      <c r="N204" s="447"/>
      <c r="O204" s="447"/>
      <c r="P204" s="471"/>
      <c r="Q204" s="448"/>
    </row>
    <row r="205" spans="1:17" ht="14.4" customHeight="1" x14ac:dyDescent="0.3">
      <c r="A205" s="443" t="s">
        <v>437</v>
      </c>
      <c r="B205" s="444" t="s">
        <v>1303</v>
      </c>
      <c r="C205" s="444" t="s">
        <v>1112</v>
      </c>
      <c r="D205" s="444" t="s">
        <v>1238</v>
      </c>
      <c r="E205" s="444" t="s">
        <v>1239</v>
      </c>
      <c r="F205" s="447">
        <v>2</v>
      </c>
      <c r="G205" s="447">
        <v>596</v>
      </c>
      <c r="H205" s="447">
        <v>1</v>
      </c>
      <c r="I205" s="447">
        <v>298</v>
      </c>
      <c r="J205" s="447"/>
      <c r="K205" s="447"/>
      <c r="L205" s="447"/>
      <c r="M205" s="447"/>
      <c r="N205" s="447"/>
      <c r="O205" s="447"/>
      <c r="P205" s="471"/>
      <c r="Q205" s="448"/>
    </row>
    <row r="206" spans="1:17" ht="14.4" customHeight="1" x14ac:dyDescent="0.3">
      <c r="A206" s="443" t="s">
        <v>437</v>
      </c>
      <c r="B206" s="444" t="s">
        <v>1303</v>
      </c>
      <c r="C206" s="444" t="s">
        <v>1112</v>
      </c>
      <c r="D206" s="444" t="s">
        <v>1476</v>
      </c>
      <c r="E206" s="444" t="s">
        <v>1477</v>
      </c>
      <c r="F206" s="447">
        <v>1</v>
      </c>
      <c r="G206" s="447">
        <v>2438</v>
      </c>
      <c r="H206" s="447">
        <v>1</v>
      </c>
      <c r="I206" s="447">
        <v>2438</v>
      </c>
      <c r="J206" s="447"/>
      <c r="K206" s="447"/>
      <c r="L206" s="447"/>
      <c r="M206" s="447"/>
      <c r="N206" s="447"/>
      <c r="O206" s="447"/>
      <c r="P206" s="471"/>
      <c r="Q206" s="448"/>
    </row>
    <row r="207" spans="1:17" ht="14.4" customHeight="1" x14ac:dyDescent="0.3">
      <c r="A207" s="443" t="s">
        <v>437</v>
      </c>
      <c r="B207" s="444" t="s">
        <v>1303</v>
      </c>
      <c r="C207" s="444" t="s">
        <v>1112</v>
      </c>
      <c r="D207" s="444" t="s">
        <v>1478</v>
      </c>
      <c r="E207" s="444" t="s">
        <v>1479</v>
      </c>
      <c r="F207" s="447">
        <v>3</v>
      </c>
      <c r="G207" s="447">
        <v>2052</v>
      </c>
      <c r="H207" s="447">
        <v>1</v>
      </c>
      <c r="I207" s="447">
        <v>684</v>
      </c>
      <c r="J207" s="447"/>
      <c r="K207" s="447"/>
      <c r="L207" s="447"/>
      <c r="M207" s="447"/>
      <c r="N207" s="447"/>
      <c r="O207" s="447"/>
      <c r="P207" s="471"/>
      <c r="Q207" s="448"/>
    </row>
    <row r="208" spans="1:17" ht="14.4" customHeight="1" x14ac:dyDescent="0.3">
      <c r="A208" s="443" t="s">
        <v>437</v>
      </c>
      <c r="B208" s="444" t="s">
        <v>1303</v>
      </c>
      <c r="C208" s="444" t="s">
        <v>1112</v>
      </c>
      <c r="D208" s="444" t="s">
        <v>1480</v>
      </c>
      <c r="E208" s="444" t="s">
        <v>1481</v>
      </c>
      <c r="F208" s="447">
        <v>1</v>
      </c>
      <c r="G208" s="447">
        <v>2166</v>
      </c>
      <c r="H208" s="447">
        <v>1</v>
      </c>
      <c r="I208" s="447">
        <v>2166</v>
      </c>
      <c r="J208" s="447"/>
      <c r="K208" s="447"/>
      <c r="L208" s="447"/>
      <c r="M208" s="447"/>
      <c r="N208" s="447"/>
      <c r="O208" s="447"/>
      <c r="P208" s="471"/>
      <c r="Q208" s="448"/>
    </row>
    <row r="209" spans="1:17" ht="14.4" customHeight="1" x14ac:dyDescent="0.3">
      <c r="A209" s="443" t="s">
        <v>437</v>
      </c>
      <c r="B209" s="444" t="s">
        <v>1303</v>
      </c>
      <c r="C209" s="444" t="s">
        <v>1112</v>
      </c>
      <c r="D209" s="444" t="s">
        <v>1240</v>
      </c>
      <c r="E209" s="444" t="s">
        <v>1241</v>
      </c>
      <c r="F209" s="447">
        <v>11</v>
      </c>
      <c r="G209" s="447">
        <v>3388</v>
      </c>
      <c r="H209" s="447">
        <v>1</v>
      </c>
      <c r="I209" s="447">
        <v>308</v>
      </c>
      <c r="J209" s="447"/>
      <c r="K209" s="447"/>
      <c r="L209" s="447"/>
      <c r="M209" s="447"/>
      <c r="N209" s="447"/>
      <c r="O209" s="447"/>
      <c r="P209" s="471"/>
      <c r="Q209" s="448"/>
    </row>
    <row r="210" spans="1:17" ht="14.4" customHeight="1" x14ac:dyDescent="0.3">
      <c r="A210" s="443" t="s">
        <v>437</v>
      </c>
      <c r="B210" s="444" t="s">
        <v>1303</v>
      </c>
      <c r="C210" s="444" t="s">
        <v>1112</v>
      </c>
      <c r="D210" s="444" t="s">
        <v>1242</v>
      </c>
      <c r="E210" s="444" t="s">
        <v>1243</v>
      </c>
      <c r="F210" s="447">
        <v>6</v>
      </c>
      <c r="G210" s="447">
        <v>5928</v>
      </c>
      <c r="H210" s="447">
        <v>1</v>
      </c>
      <c r="I210" s="447">
        <v>988</v>
      </c>
      <c r="J210" s="447"/>
      <c r="K210" s="447"/>
      <c r="L210" s="447"/>
      <c r="M210" s="447"/>
      <c r="N210" s="447"/>
      <c r="O210" s="447"/>
      <c r="P210" s="471"/>
      <c r="Q210" s="448"/>
    </row>
    <row r="211" spans="1:17" ht="14.4" customHeight="1" x14ac:dyDescent="0.3">
      <c r="A211" s="443" t="s">
        <v>437</v>
      </c>
      <c r="B211" s="444" t="s">
        <v>1303</v>
      </c>
      <c r="C211" s="444" t="s">
        <v>1112</v>
      </c>
      <c r="D211" s="444" t="s">
        <v>1244</v>
      </c>
      <c r="E211" s="444" t="s">
        <v>1245</v>
      </c>
      <c r="F211" s="447">
        <v>2</v>
      </c>
      <c r="G211" s="447">
        <v>1610</v>
      </c>
      <c r="H211" s="447">
        <v>1</v>
      </c>
      <c r="I211" s="447">
        <v>805</v>
      </c>
      <c r="J211" s="447"/>
      <c r="K211" s="447"/>
      <c r="L211" s="447"/>
      <c r="M211" s="447"/>
      <c r="N211" s="447"/>
      <c r="O211" s="447"/>
      <c r="P211" s="471"/>
      <c r="Q211" s="448"/>
    </row>
    <row r="212" spans="1:17" ht="14.4" customHeight="1" x14ac:dyDescent="0.3">
      <c r="A212" s="443" t="s">
        <v>437</v>
      </c>
      <c r="B212" s="444" t="s">
        <v>1303</v>
      </c>
      <c r="C212" s="444" t="s">
        <v>1112</v>
      </c>
      <c r="D212" s="444" t="s">
        <v>1482</v>
      </c>
      <c r="E212" s="444" t="s">
        <v>1483</v>
      </c>
      <c r="F212" s="447">
        <v>2</v>
      </c>
      <c r="G212" s="447">
        <v>3274</v>
      </c>
      <c r="H212" s="447">
        <v>1</v>
      </c>
      <c r="I212" s="447">
        <v>1637</v>
      </c>
      <c r="J212" s="447"/>
      <c r="K212" s="447"/>
      <c r="L212" s="447"/>
      <c r="M212" s="447"/>
      <c r="N212" s="447"/>
      <c r="O212" s="447"/>
      <c r="P212" s="471"/>
      <c r="Q212" s="448"/>
    </row>
    <row r="213" spans="1:17" ht="14.4" customHeight="1" x14ac:dyDescent="0.3">
      <c r="A213" s="443" t="s">
        <v>437</v>
      </c>
      <c r="B213" s="444" t="s">
        <v>1303</v>
      </c>
      <c r="C213" s="444" t="s">
        <v>1112</v>
      </c>
      <c r="D213" s="444" t="s">
        <v>1484</v>
      </c>
      <c r="E213" s="444" t="s">
        <v>1485</v>
      </c>
      <c r="F213" s="447">
        <v>2</v>
      </c>
      <c r="G213" s="447">
        <v>3780</v>
      </c>
      <c r="H213" s="447">
        <v>1</v>
      </c>
      <c r="I213" s="447">
        <v>1890</v>
      </c>
      <c r="J213" s="447"/>
      <c r="K213" s="447"/>
      <c r="L213" s="447"/>
      <c r="M213" s="447"/>
      <c r="N213" s="447"/>
      <c r="O213" s="447"/>
      <c r="P213" s="471"/>
      <c r="Q213" s="448"/>
    </row>
    <row r="214" spans="1:17" ht="14.4" customHeight="1" x14ac:dyDescent="0.3">
      <c r="A214" s="443" t="s">
        <v>437</v>
      </c>
      <c r="B214" s="444" t="s">
        <v>1303</v>
      </c>
      <c r="C214" s="444" t="s">
        <v>1112</v>
      </c>
      <c r="D214" s="444" t="s">
        <v>1486</v>
      </c>
      <c r="E214" s="444" t="s">
        <v>1487</v>
      </c>
      <c r="F214" s="447">
        <v>2</v>
      </c>
      <c r="G214" s="447">
        <v>3864</v>
      </c>
      <c r="H214" s="447">
        <v>1</v>
      </c>
      <c r="I214" s="447">
        <v>1932</v>
      </c>
      <c r="J214" s="447"/>
      <c r="K214" s="447"/>
      <c r="L214" s="447"/>
      <c r="M214" s="447"/>
      <c r="N214" s="447"/>
      <c r="O214" s="447"/>
      <c r="P214" s="471"/>
      <c r="Q214" s="448"/>
    </row>
    <row r="215" spans="1:17" ht="14.4" customHeight="1" x14ac:dyDescent="0.3">
      <c r="A215" s="443" t="s">
        <v>437</v>
      </c>
      <c r="B215" s="444" t="s">
        <v>1303</v>
      </c>
      <c r="C215" s="444" t="s">
        <v>1112</v>
      </c>
      <c r="D215" s="444" t="s">
        <v>1488</v>
      </c>
      <c r="E215" s="444" t="s">
        <v>1489</v>
      </c>
      <c r="F215" s="447">
        <v>3</v>
      </c>
      <c r="G215" s="447">
        <v>3909</v>
      </c>
      <c r="H215" s="447">
        <v>1</v>
      </c>
      <c r="I215" s="447">
        <v>1303</v>
      </c>
      <c r="J215" s="447"/>
      <c r="K215" s="447"/>
      <c r="L215" s="447"/>
      <c r="M215" s="447"/>
      <c r="N215" s="447"/>
      <c r="O215" s="447"/>
      <c r="P215" s="471"/>
      <c r="Q215" s="448"/>
    </row>
    <row r="216" spans="1:17" ht="14.4" customHeight="1" x14ac:dyDescent="0.3">
      <c r="A216" s="443" t="s">
        <v>437</v>
      </c>
      <c r="B216" s="444" t="s">
        <v>1303</v>
      </c>
      <c r="C216" s="444" t="s">
        <v>1112</v>
      </c>
      <c r="D216" s="444" t="s">
        <v>1490</v>
      </c>
      <c r="E216" s="444" t="s">
        <v>1491</v>
      </c>
      <c r="F216" s="447">
        <v>1</v>
      </c>
      <c r="G216" s="447">
        <v>15728</v>
      </c>
      <c r="H216" s="447">
        <v>1</v>
      </c>
      <c r="I216" s="447">
        <v>15728</v>
      </c>
      <c r="J216" s="447"/>
      <c r="K216" s="447"/>
      <c r="L216" s="447"/>
      <c r="M216" s="447"/>
      <c r="N216" s="447"/>
      <c r="O216" s="447"/>
      <c r="P216" s="471"/>
      <c r="Q216" s="448"/>
    </row>
    <row r="217" spans="1:17" ht="14.4" customHeight="1" x14ac:dyDescent="0.3">
      <c r="A217" s="443" t="s">
        <v>437</v>
      </c>
      <c r="B217" s="444" t="s">
        <v>1303</v>
      </c>
      <c r="C217" s="444" t="s">
        <v>1112</v>
      </c>
      <c r="D217" s="444" t="s">
        <v>1248</v>
      </c>
      <c r="E217" s="444" t="s">
        <v>1249</v>
      </c>
      <c r="F217" s="447">
        <v>1</v>
      </c>
      <c r="G217" s="447">
        <v>1150</v>
      </c>
      <c r="H217" s="447">
        <v>1</v>
      </c>
      <c r="I217" s="447">
        <v>1150</v>
      </c>
      <c r="J217" s="447"/>
      <c r="K217" s="447"/>
      <c r="L217" s="447"/>
      <c r="M217" s="447"/>
      <c r="N217" s="447"/>
      <c r="O217" s="447"/>
      <c r="P217" s="471"/>
      <c r="Q217" s="448"/>
    </row>
    <row r="218" spans="1:17" ht="14.4" customHeight="1" x14ac:dyDescent="0.3">
      <c r="A218" s="443" t="s">
        <v>437</v>
      </c>
      <c r="B218" s="444" t="s">
        <v>1303</v>
      </c>
      <c r="C218" s="444" t="s">
        <v>1112</v>
      </c>
      <c r="D218" s="444" t="s">
        <v>1492</v>
      </c>
      <c r="E218" s="444" t="s">
        <v>1493</v>
      </c>
      <c r="F218" s="447">
        <v>4</v>
      </c>
      <c r="G218" s="447">
        <v>5204</v>
      </c>
      <c r="H218" s="447">
        <v>1</v>
      </c>
      <c r="I218" s="447">
        <v>1301</v>
      </c>
      <c r="J218" s="447"/>
      <c r="K218" s="447"/>
      <c r="L218" s="447"/>
      <c r="M218" s="447"/>
      <c r="N218" s="447"/>
      <c r="O218" s="447"/>
      <c r="P218" s="471"/>
      <c r="Q218" s="448"/>
    </row>
    <row r="219" spans="1:17" ht="14.4" customHeight="1" x14ac:dyDescent="0.3">
      <c r="A219" s="443" t="s">
        <v>437</v>
      </c>
      <c r="B219" s="444" t="s">
        <v>1303</v>
      </c>
      <c r="C219" s="444" t="s">
        <v>1112</v>
      </c>
      <c r="D219" s="444" t="s">
        <v>1250</v>
      </c>
      <c r="E219" s="444" t="s">
        <v>1251</v>
      </c>
      <c r="F219" s="447">
        <v>3</v>
      </c>
      <c r="G219" s="447">
        <v>5379</v>
      </c>
      <c r="H219" s="447">
        <v>1</v>
      </c>
      <c r="I219" s="447">
        <v>1793</v>
      </c>
      <c r="J219" s="447"/>
      <c r="K219" s="447"/>
      <c r="L219" s="447"/>
      <c r="M219" s="447"/>
      <c r="N219" s="447"/>
      <c r="O219" s="447"/>
      <c r="P219" s="471"/>
      <c r="Q219" s="448"/>
    </row>
    <row r="220" spans="1:17" ht="14.4" customHeight="1" x14ac:dyDescent="0.3">
      <c r="A220" s="443" t="s">
        <v>437</v>
      </c>
      <c r="B220" s="444" t="s">
        <v>1303</v>
      </c>
      <c r="C220" s="444" t="s">
        <v>1112</v>
      </c>
      <c r="D220" s="444" t="s">
        <v>1252</v>
      </c>
      <c r="E220" s="444" t="s">
        <v>1253</v>
      </c>
      <c r="F220" s="447">
        <v>8</v>
      </c>
      <c r="G220" s="447">
        <v>512</v>
      </c>
      <c r="H220" s="447">
        <v>1</v>
      </c>
      <c r="I220" s="447">
        <v>64</v>
      </c>
      <c r="J220" s="447"/>
      <c r="K220" s="447"/>
      <c r="L220" s="447"/>
      <c r="M220" s="447"/>
      <c r="N220" s="447"/>
      <c r="O220" s="447"/>
      <c r="P220" s="471"/>
      <c r="Q220" s="448"/>
    </row>
    <row r="221" spans="1:17" ht="14.4" customHeight="1" x14ac:dyDescent="0.3">
      <c r="A221" s="443" t="s">
        <v>437</v>
      </c>
      <c r="B221" s="444" t="s">
        <v>1303</v>
      </c>
      <c r="C221" s="444" t="s">
        <v>1112</v>
      </c>
      <c r="D221" s="444" t="s">
        <v>1254</v>
      </c>
      <c r="E221" s="444" t="s">
        <v>1233</v>
      </c>
      <c r="F221" s="447">
        <v>1</v>
      </c>
      <c r="G221" s="447">
        <v>875</v>
      </c>
      <c r="H221" s="447">
        <v>1</v>
      </c>
      <c r="I221" s="447">
        <v>875</v>
      </c>
      <c r="J221" s="447"/>
      <c r="K221" s="447"/>
      <c r="L221" s="447"/>
      <c r="M221" s="447"/>
      <c r="N221" s="447"/>
      <c r="O221" s="447"/>
      <c r="P221" s="471"/>
      <c r="Q221" s="448"/>
    </row>
    <row r="222" spans="1:17" ht="14.4" customHeight="1" x14ac:dyDescent="0.3">
      <c r="A222" s="443" t="s">
        <v>437</v>
      </c>
      <c r="B222" s="444" t="s">
        <v>1303</v>
      </c>
      <c r="C222" s="444" t="s">
        <v>1112</v>
      </c>
      <c r="D222" s="444" t="s">
        <v>1494</v>
      </c>
      <c r="E222" s="444" t="s">
        <v>1495</v>
      </c>
      <c r="F222" s="447">
        <v>2</v>
      </c>
      <c r="G222" s="447">
        <v>2400</v>
      </c>
      <c r="H222" s="447">
        <v>1</v>
      </c>
      <c r="I222" s="447">
        <v>1200</v>
      </c>
      <c r="J222" s="447"/>
      <c r="K222" s="447"/>
      <c r="L222" s="447"/>
      <c r="M222" s="447"/>
      <c r="N222" s="447"/>
      <c r="O222" s="447"/>
      <c r="P222" s="471"/>
      <c r="Q222" s="448"/>
    </row>
    <row r="223" spans="1:17" ht="14.4" customHeight="1" x14ac:dyDescent="0.3">
      <c r="A223" s="443" t="s">
        <v>437</v>
      </c>
      <c r="B223" s="444" t="s">
        <v>1303</v>
      </c>
      <c r="C223" s="444" t="s">
        <v>1112</v>
      </c>
      <c r="D223" s="444" t="s">
        <v>1255</v>
      </c>
      <c r="E223" s="444" t="s">
        <v>1256</v>
      </c>
      <c r="F223" s="447">
        <v>2</v>
      </c>
      <c r="G223" s="447">
        <v>2026</v>
      </c>
      <c r="H223" s="447">
        <v>1</v>
      </c>
      <c r="I223" s="447">
        <v>1013</v>
      </c>
      <c r="J223" s="447"/>
      <c r="K223" s="447"/>
      <c r="L223" s="447"/>
      <c r="M223" s="447"/>
      <c r="N223" s="447"/>
      <c r="O223" s="447"/>
      <c r="P223" s="471"/>
      <c r="Q223" s="448"/>
    </row>
    <row r="224" spans="1:17" ht="14.4" customHeight="1" x14ac:dyDescent="0.3">
      <c r="A224" s="443" t="s">
        <v>437</v>
      </c>
      <c r="B224" s="444" t="s">
        <v>1303</v>
      </c>
      <c r="C224" s="444" t="s">
        <v>1112</v>
      </c>
      <c r="D224" s="444" t="s">
        <v>1496</v>
      </c>
      <c r="E224" s="444" t="s">
        <v>1497</v>
      </c>
      <c r="F224" s="447">
        <v>2</v>
      </c>
      <c r="G224" s="447">
        <v>7612</v>
      </c>
      <c r="H224" s="447">
        <v>1</v>
      </c>
      <c r="I224" s="447">
        <v>3806</v>
      </c>
      <c r="J224" s="447"/>
      <c r="K224" s="447"/>
      <c r="L224" s="447"/>
      <c r="M224" s="447"/>
      <c r="N224" s="447"/>
      <c r="O224" s="447"/>
      <c r="P224" s="471"/>
      <c r="Q224" s="448"/>
    </row>
    <row r="225" spans="1:17" ht="14.4" customHeight="1" x14ac:dyDescent="0.3">
      <c r="A225" s="443" t="s">
        <v>437</v>
      </c>
      <c r="B225" s="444" t="s">
        <v>1303</v>
      </c>
      <c r="C225" s="444" t="s">
        <v>1112</v>
      </c>
      <c r="D225" s="444" t="s">
        <v>1498</v>
      </c>
      <c r="E225" s="444" t="s">
        <v>1499</v>
      </c>
      <c r="F225" s="447">
        <v>2</v>
      </c>
      <c r="G225" s="447">
        <v>2458</v>
      </c>
      <c r="H225" s="447">
        <v>1</v>
      </c>
      <c r="I225" s="447">
        <v>1229</v>
      </c>
      <c r="J225" s="447"/>
      <c r="K225" s="447"/>
      <c r="L225" s="447"/>
      <c r="M225" s="447"/>
      <c r="N225" s="447"/>
      <c r="O225" s="447"/>
      <c r="P225" s="471"/>
      <c r="Q225" s="448"/>
    </row>
    <row r="226" spans="1:17" ht="14.4" customHeight="1" x14ac:dyDescent="0.3">
      <c r="A226" s="443" t="s">
        <v>437</v>
      </c>
      <c r="B226" s="444" t="s">
        <v>1303</v>
      </c>
      <c r="C226" s="444" t="s">
        <v>1112</v>
      </c>
      <c r="D226" s="444" t="s">
        <v>1500</v>
      </c>
      <c r="E226" s="444" t="s">
        <v>1501</v>
      </c>
      <c r="F226" s="447">
        <v>1</v>
      </c>
      <c r="G226" s="447">
        <v>1246</v>
      </c>
      <c r="H226" s="447">
        <v>1</v>
      </c>
      <c r="I226" s="447">
        <v>1246</v>
      </c>
      <c r="J226" s="447"/>
      <c r="K226" s="447"/>
      <c r="L226" s="447"/>
      <c r="M226" s="447"/>
      <c r="N226" s="447"/>
      <c r="O226" s="447"/>
      <c r="P226" s="471"/>
      <c r="Q226" s="448"/>
    </row>
    <row r="227" spans="1:17" ht="14.4" customHeight="1" x14ac:dyDescent="0.3">
      <c r="A227" s="443" t="s">
        <v>437</v>
      </c>
      <c r="B227" s="444" t="s">
        <v>1303</v>
      </c>
      <c r="C227" s="444" t="s">
        <v>1112</v>
      </c>
      <c r="D227" s="444" t="s">
        <v>1502</v>
      </c>
      <c r="E227" s="444" t="s">
        <v>1503</v>
      </c>
      <c r="F227" s="447">
        <v>1</v>
      </c>
      <c r="G227" s="447">
        <v>1019</v>
      </c>
      <c r="H227" s="447">
        <v>1</v>
      </c>
      <c r="I227" s="447">
        <v>1019</v>
      </c>
      <c r="J227" s="447"/>
      <c r="K227" s="447"/>
      <c r="L227" s="447"/>
      <c r="M227" s="447"/>
      <c r="N227" s="447"/>
      <c r="O227" s="447"/>
      <c r="P227" s="471"/>
      <c r="Q227" s="448"/>
    </row>
    <row r="228" spans="1:17" ht="14.4" customHeight="1" x14ac:dyDescent="0.3">
      <c r="A228" s="443" t="s">
        <v>437</v>
      </c>
      <c r="B228" s="444" t="s">
        <v>1303</v>
      </c>
      <c r="C228" s="444" t="s">
        <v>1112</v>
      </c>
      <c r="D228" s="444" t="s">
        <v>1504</v>
      </c>
      <c r="E228" s="444" t="s">
        <v>1505</v>
      </c>
      <c r="F228" s="447">
        <v>1</v>
      </c>
      <c r="G228" s="447">
        <v>2728</v>
      </c>
      <c r="H228" s="447">
        <v>1</v>
      </c>
      <c r="I228" s="447">
        <v>2728</v>
      </c>
      <c r="J228" s="447"/>
      <c r="K228" s="447"/>
      <c r="L228" s="447"/>
      <c r="M228" s="447"/>
      <c r="N228" s="447"/>
      <c r="O228" s="447"/>
      <c r="P228" s="471"/>
      <c r="Q228" s="448"/>
    </row>
    <row r="229" spans="1:17" ht="14.4" customHeight="1" x14ac:dyDescent="0.3">
      <c r="A229" s="443" t="s">
        <v>437</v>
      </c>
      <c r="B229" s="444" t="s">
        <v>1303</v>
      </c>
      <c r="C229" s="444" t="s">
        <v>1112</v>
      </c>
      <c r="D229" s="444" t="s">
        <v>1506</v>
      </c>
      <c r="E229" s="444" t="s">
        <v>1507</v>
      </c>
      <c r="F229" s="447">
        <v>1</v>
      </c>
      <c r="G229" s="447">
        <v>558</v>
      </c>
      <c r="H229" s="447">
        <v>1</v>
      </c>
      <c r="I229" s="447">
        <v>558</v>
      </c>
      <c r="J229" s="447"/>
      <c r="K229" s="447"/>
      <c r="L229" s="447"/>
      <c r="M229" s="447"/>
      <c r="N229" s="447"/>
      <c r="O229" s="447"/>
      <c r="P229" s="471"/>
      <c r="Q229" s="448"/>
    </row>
    <row r="230" spans="1:17" ht="14.4" customHeight="1" x14ac:dyDescent="0.3">
      <c r="A230" s="443" t="s">
        <v>437</v>
      </c>
      <c r="B230" s="444" t="s">
        <v>1303</v>
      </c>
      <c r="C230" s="444" t="s">
        <v>1112</v>
      </c>
      <c r="D230" s="444" t="s">
        <v>1508</v>
      </c>
      <c r="E230" s="444" t="s">
        <v>1509</v>
      </c>
      <c r="F230" s="447">
        <v>1</v>
      </c>
      <c r="G230" s="447">
        <v>2113</v>
      </c>
      <c r="H230" s="447">
        <v>1</v>
      </c>
      <c r="I230" s="447">
        <v>2113</v>
      </c>
      <c r="J230" s="447"/>
      <c r="K230" s="447"/>
      <c r="L230" s="447"/>
      <c r="M230" s="447"/>
      <c r="N230" s="447"/>
      <c r="O230" s="447"/>
      <c r="P230" s="471"/>
      <c r="Q230" s="448"/>
    </row>
    <row r="231" spans="1:17" ht="14.4" customHeight="1" x14ac:dyDescent="0.3">
      <c r="A231" s="443" t="s">
        <v>437</v>
      </c>
      <c r="B231" s="444" t="s">
        <v>1303</v>
      </c>
      <c r="C231" s="444" t="s">
        <v>1112</v>
      </c>
      <c r="D231" s="444" t="s">
        <v>1510</v>
      </c>
      <c r="E231" s="444" t="s">
        <v>1511</v>
      </c>
      <c r="F231" s="447">
        <v>1</v>
      </c>
      <c r="G231" s="447">
        <v>3579</v>
      </c>
      <c r="H231" s="447">
        <v>1</v>
      </c>
      <c r="I231" s="447">
        <v>3579</v>
      </c>
      <c r="J231" s="447"/>
      <c r="K231" s="447"/>
      <c r="L231" s="447"/>
      <c r="M231" s="447"/>
      <c r="N231" s="447"/>
      <c r="O231" s="447"/>
      <c r="P231" s="471"/>
      <c r="Q231" s="448"/>
    </row>
    <row r="232" spans="1:17" ht="14.4" customHeight="1" x14ac:dyDescent="0.3">
      <c r="A232" s="443" t="s">
        <v>437</v>
      </c>
      <c r="B232" s="444" t="s">
        <v>1268</v>
      </c>
      <c r="C232" s="444" t="s">
        <v>1112</v>
      </c>
      <c r="D232" s="444" t="s">
        <v>1269</v>
      </c>
      <c r="E232" s="444" t="s">
        <v>1270</v>
      </c>
      <c r="F232" s="447">
        <v>6</v>
      </c>
      <c r="G232" s="447">
        <v>1386</v>
      </c>
      <c r="H232" s="447">
        <v>1</v>
      </c>
      <c r="I232" s="447">
        <v>231</v>
      </c>
      <c r="J232" s="447"/>
      <c r="K232" s="447"/>
      <c r="L232" s="447"/>
      <c r="M232" s="447"/>
      <c r="N232" s="447"/>
      <c r="O232" s="447"/>
      <c r="P232" s="471"/>
      <c r="Q232" s="448"/>
    </row>
    <row r="233" spans="1:17" ht="14.4" customHeight="1" x14ac:dyDescent="0.3">
      <c r="A233" s="443" t="s">
        <v>1512</v>
      </c>
      <c r="B233" s="444" t="s">
        <v>1091</v>
      </c>
      <c r="C233" s="444" t="s">
        <v>1112</v>
      </c>
      <c r="D233" s="444" t="s">
        <v>1123</v>
      </c>
      <c r="E233" s="444" t="s">
        <v>1124</v>
      </c>
      <c r="F233" s="447"/>
      <c r="G233" s="447"/>
      <c r="H233" s="447"/>
      <c r="I233" s="447"/>
      <c r="J233" s="447">
        <v>1</v>
      </c>
      <c r="K233" s="447">
        <v>34</v>
      </c>
      <c r="L233" s="447"/>
      <c r="M233" s="447">
        <v>34</v>
      </c>
      <c r="N233" s="447"/>
      <c r="O233" s="447"/>
      <c r="P233" s="471"/>
      <c r="Q233" s="448"/>
    </row>
    <row r="234" spans="1:17" ht="14.4" customHeight="1" x14ac:dyDescent="0.3">
      <c r="A234" s="443" t="s">
        <v>1512</v>
      </c>
      <c r="B234" s="444" t="s">
        <v>1091</v>
      </c>
      <c r="C234" s="444" t="s">
        <v>1112</v>
      </c>
      <c r="D234" s="444" t="s">
        <v>1136</v>
      </c>
      <c r="E234" s="444" t="s">
        <v>1137</v>
      </c>
      <c r="F234" s="447"/>
      <c r="G234" s="447"/>
      <c r="H234" s="447"/>
      <c r="I234" s="447"/>
      <c r="J234" s="447">
        <v>1</v>
      </c>
      <c r="K234" s="447">
        <v>232</v>
      </c>
      <c r="L234" s="447"/>
      <c r="M234" s="447">
        <v>232</v>
      </c>
      <c r="N234" s="447"/>
      <c r="O234" s="447"/>
      <c r="P234" s="471"/>
      <c r="Q234" s="448"/>
    </row>
    <row r="235" spans="1:17" ht="14.4" customHeight="1" x14ac:dyDescent="0.3">
      <c r="A235" s="443" t="s">
        <v>1512</v>
      </c>
      <c r="B235" s="444" t="s">
        <v>1091</v>
      </c>
      <c r="C235" s="444" t="s">
        <v>1112</v>
      </c>
      <c r="D235" s="444" t="s">
        <v>1138</v>
      </c>
      <c r="E235" s="444" t="s">
        <v>1139</v>
      </c>
      <c r="F235" s="447"/>
      <c r="G235" s="447"/>
      <c r="H235" s="447"/>
      <c r="I235" s="447"/>
      <c r="J235" s="447">
        <v>1</v>
      </c>
      <c r="K235" s="447">
        <v>116</v>
      </c>
      <c r="L235" s="447"/>
      <c r="M235" s="447">
        <v>116</v>
      </c>
      <c r="N235" s="447">
        <v>2</v>
      </c>
      <c r="O235" s="447">
        <v>232</v>
      </c>
      <c r="P235" s="471"/>
      <c r="Q235" s="448">
        <v>116</v>
      </c>
    </row>
    <row r="236" spans="1:17" ht="14.4" customHeight="1" x14ac:dyDescent="0.3">
      <c r="A236" s="443" t="s">
        <v>1512</v>
      </c>
      <c r="B236" s="444" t="s">
        <v>1091</v>
      </c>
      <c r="C236" s="444" t="s">
        <v>1112</v>
      </c>
      <c r="D236" s="444" t="s">
        <v>1146</v>
      </c>
      <c r="E236" s="444" t="s">
        <v>1147</v>
      </c>
      <c r="F236" s="447"/>
      <c r="G236" s="447"/>
      <c r="H236" s="447"/>
      <c r="I236" s="447"/>
      <c r="J236" s="447">
        <v>1</v>
      </c>
      <c r="K236" s="447">
        <v>659</v>
      </c>
      <c r="L236" s="447"/>
      <c r="M236" s="447">
        <v>659</v>
      </c>
      <c r="N236" s="447"/>
      <c r="O236" s="447"/>
      <c r="P236" s="471"/>
      <c r="Q236" s="448"/>
    </row>
    <row r="237" spans="1:17" ht="14.4" customHeight="1" x14ac:dyDescent="0.3">
      <c r="A237" s="443" t="s">
        <v>1512</v>
      </c>
      <c r="B237" s="444" t="s">
        <v>1091</v>
      </c>
      <c r="C237" s="444" t="s">
        <v>1112</v>
      </c>
      <c r="D237" s="444" t="s">
        <v>1182</v>
      </c>
      <c r="E237" s="444" t="s">
        <v>1183</v>
      </c>
      <c r="F237" s="447"/>
      <c r="G237" s="447"/>
      <c r="H237" s="447"/>
      <c r="I237" s="447"/>
      <c r="J237" s="447">
        <v>1</v>
      </c>
      <c r="K237" s="447">
        <v>81</v>
      </c>
      <c r="L237" s="447"/>
      <c r="M237" s="447">
        <v>81</v>
      </c>
      <c r="N237" s="447"/>
      <c r="O237" s="447"/>
      <c r="P237" s="471"/>
      <c r="Q237" s="448"/>
    </row>
    <row r="238" spans="1:17" ht="14.4" customHeight="1" x14ac:dyDescent="0.3">
      <c r="A238" s="443" t="s">
        <v>1513</v>
      </c>
      <c r="B238" s="444" t="s">
        <v>1091</v>
      </c>
      <c r="C238" s="444" t="s">
        <v>1112</v>
      </c>
      <c r="D238" s="444" t="s">
        <v>1123</v>
      </c>
      <c r="E238" s="444" t="s">
        <v>1124</v>
      </c>
      <c r="F238" s="447"/>
      <c r="G238" s="447"/>
      <c r="H238" s="447"/>
      <c r="I238" s="447"/>
      <c r="J238" s="447"/>
      <c r="K238" s="447"/>
      <c r="L238" s="447"/>
      <c r="M238" s="447"/>
      <c r="N238" s="447">
        <v>1</v>
      </c>
      <c r="O238" s="447">
        <v>34</v>
      </c>
      <c r="P238" s="471"/>
      <c r="Q238" s="448">
        <v>34</v>
      </c>
    </row>
    <row r="239" spans="1:17" ht="14.4" customHeight="1" x14ac:dyDescent="0.3">
      <c r="A239" s="443" t="s">
        <v>1513</v>
      </c>
      <c r="B239" s="444" t="s">
        <v>1091</v>
      </c>
      <c r="C239" s="444" t="s">
        <v>1112</v>
      </c>
      <c r="D239" s="444" t="s">
        <v>1136</v>
      </c>
      <c r="E239" s="444" t="s">
        <v>1137</v>
      </c>
      <c r="F239" s="447"/>
      <c r="G239" s="447"/>
      <c r="H239" s="447"/>
      <c r="I239" s="447"/>
      <c r="J239" s="447">
        <v>1</v>
      </c>
      <c r="K239" s="447">
        <v>232</v>
      </c>
      <c r="L239" s="447"/>
      <c r="M239" s="447">
        <v>232</v>
      </c>
      <c r="N239" s="447">
        <v>2</v>
      </c>
      <c r="O239" s="447">
        <v>464</v>
      </c>
      <c r="P239" s="471"/>
      <c r="Q239" s="448">
        <v>232</v>
      </c>
    </row>
    <row r="240" spans="1:17" ht="14.4" customHeight="1" x14ac:dyDescent="0.3">
      <c r="A240" s="443" t="s">
        <v>1513</v>
      </c>
      <c r="B240" s="444" t="s">
        <v>1091</v>
      </c>
      <c r="C240" s="444" t="s">
        <v>1112</v>
      </c>
      <c r="D240" s="444" t="s">
        <v>586</v>
      </c>
      <c r="E240" s="444" t="s">
        <v>1469</v>
      </c>
      <c r="F240" s="447"/>
      <c r="G240" s="447"/>
      <c r="H240" s="447"/>
      <c r="I240" s="447"/>
      <c r="J240" s="447"/>
      <c r="K240" s="447"/>
      <c r="L240" s="447"/>
      <c r="M240" s="447"/>
      <c r="N240" s="447">
        <v>1</v>
      </c>
      <c r="O240" s="447">
        <v>1186</v>
      </c>
      <c r="P240" s="471"/>
      <c r="Q240" s="448">
        <v>1186</v>
      </c>
    </row>
    <row r="241" spans="1:17" ht="14.4" customHeight="1" x14ac:dyDescent="0.3">
      <c r="A241" s="443" t="s">
        <v>1514</v>
      </c>
      <c r="B241" s="444" t="s">
        <v>1091</v>
      </c>
      <c r="C241" s="444" t="s">
        <v>1112</v>
      </c>
      <c r="D241" s="444" t="s">
        <v>1136</v>
      </c>
      <c r="E241" s="444" t="s">
        <v>1137</v>
      </c>
      <c r="F241" s="447"/>
      <c r="G241" s="447"/>
      <c r="H241" s="447"/>
      <c r="I241" s="447"/>
      <c r="J241" s="447">
        <v>1</v>
      </c>
      <c r="K241" s="447">
        <v>232</v>
      </c>
      <c r="L241" s="447"/>
      <c r="M241" s="447">
        <v>232</v>
      </c>
      <c r="N241" s="447"/>
      <c r="O241" s="447"/>
      <c r="P241" s="471"/>
      <c r="Q241" s="448"/>
    </row>
    <row r="242" spans="1:17" ht="14.4" customHeight="1" x14ac:dyDescent="0.3">
      <c r="A242" s="443" t="s">
        <v>1515</v>
      </c>
      <c r="B242" s="444" t="s">
        <v>1091</v>
      </c>
      <c r="C242" s="444" t="s">
        <v>1112</v>
      </c>
      <c r="D242" s="444" t="s">
        <v>1123</v>
      </c>
      <c r="E242" s="444" t="s">
        <v>1124</v>
      </c>
      <c r="F242" s="447">
        <v>1</v>
      </c>
      <c r="G242" s="447">
        <v>34</v>
      </c>
      <c r="H242" s="447">
        <v>1</v>
      </c>
      <c r="I242" s="447">
        <v>34</v>
      </c>
      <c r="J242" s="447"/>
      <c r="K242" s="447"/>
      <c r="L242" s="447"/>
      <c r="M242" s="447"/>
      <c r="N242" s="447"/>
      <c r="O242" s="447"/>
      <c r="P242" s="471"/>
      <c r="Q242" s="448"/>
    </row>
    <row r="243" spans="1:17" ht="14.4" customHeight="1" x14ac:dyDescent="0.3">
      <c r="A243" s="443" t="s">
        <v>1515</v>
      </c>
      <c r="B243" s="444" t="s">
        <v>1091</v>
      </c>
      <c r="C243" s="444" t="s">
        <v>1112</v>
      </c>
      <c r="D243" s="444" t="s">
        <v>1136</v>
      </c>
      <c r="E243" s="444" t="s">
        <v>1137</v>
      </c>
      <c r="F243" s="447"/>
      <c r="G243" s="447"/>
      <c r="H243" s="447"/>
      <c r="I243" s="447"/>
      <c r="J243" s="447">
        <v>1</v>
      </c>
      <c r="K243" s="447">
        <v>232</v>
      </c>
      <c r="L243" s="447"/>
      <c r="M243" s="447">
        <v>232</v>
      </c>
      <c r="N243" s="447"/>
      <c r="O243" s="447"/>
      <c r="P243" s="471"/>
      <c r="Q243" s="448"/>
    </row>
    <row r="244" spans="1:17" ht="14.4" customHeight="1" x14ac:dyDescent="0.3">
      <c r="A244" s="443" t="s">
        <v>1515</v>
      </c>
      <c r="B244" s="444" t="s">
        <v>1091</v>
      </c>
      <c r="C244" s="444" t="s">
        <v>1112</v>
      </c>
      <c r="D244" s="444" t="s">
        <v>1138</v>
      </c>
      <c r="E244" s="444" t="s">
        <v>1139</v>
      </c>
      <c r="F244" s="447"/>
      <c r="G244" s="447"/>
      <c r="H244" s="447"/>
      <c r="I244" s="447"/>
      <c r="J244" s="447">
        <v>2</v>
      </c>
      <c r="K244" s="447">
        <v>232</v>
      </c>
      <c r="L244" s="447"/>
      <c r="M244" s="447">
        <v>116</v>
      </c>
      <c r="N244" s="447">
        <v>9</v>
      </c>
      <c r="O244" s="447">
        <v>1044</v>
      </c>
      <c r="P244" s="471"/>
      <c r="Q244" s="448">
        <v>116</v>
      </c>
    </row>
    <row r="245" spans="1:17" ht="14.4" customHeight="1" x14ac:dyDescent="0.3">
      <c r="A245" s="443" t="s">
        <v>1515</v>
      </c>
      <c r="B245" s="444" t="s">
        <v>1091</v>
      </c>
      <c r="C245" s="444" t="s">
        <v>1112</v>
      </c>
      <c r="D245" s="444" t="s">
        <v>1178</v>
      </c>
      <c r="E245" s="444" t="s">
        <v>1179</v>
      </c>
      <c r="F245" s="447">
        <v>6</v>
      </c>
      <c r="G245" s="447">
        <v>0</v>
      </c>
      <c r="H245" s="447"/>
      <c r="I245" s="447">
        <v>0</v>
      </c>
      <c r="J245" s="447"/>
      <c r="K245" s="447"/>
      <c r="L245" s="447"/>
      <c r="M245" s="447"/>
      <c r="N245" s="447"/>
      <c r="O245" s="447"/>
      <c r="P245" s="471"/>
      <c r="Q245" s="448"/>
    </row>
    <row r="246" spans="1:17" ht="14.4" customHeight="1" x14ac:dyDescent="0.3">
      <c r="A246" s="443" t="s">
        <v>1515</v>
      </c>
      <c r="B246" s="444" t="s">
        <v>1091</v>
      </c>
      <c r="C246" s="444" t="s">
        <v>1112</v>
      </c>
      <c r="D246" s="444" t="s">
        <v>1214</v>
      </c>
      <c r="E246" s="444" t="s">
        <v>1215</v>
      </c>
      <c r="F246" s="447"/>
      <c r="G246" s="447"/>
      <c r="H246" s="447"/>
      <c r="I246" s="447"/>
      <c r="J246" s="447"/>
      <c r="K246" s="447"/>
      <c r="L246" s="447"/>
      <c r="M246" s="447"/>
      <c r="N246" s="447">
        <v>2</v>
      </c>
      <c r="O246" s="447">
        <v>702</v>
      </c>
      <c r="P246" s="471"/>
      <c r="Q246" s="448">
        <v>351</v>
      </c>
    </row>
    <row r="247" spans="1:17" ht="14.4" customHeight="1" thickBot="1" x14ac:dyDescent="0.35">
      <c r="A247" s="449" t="s">
        <v>1515</v>
      </c>
      <c r="B247" s="450" t="s">
        <v>1091</v>
      </c>
      <c r="C247" s="450" t="s">
        <v>1112</v>
      </c>
      <c r="D247" s="450" t="s">
        <v>586</v>
      </c>
      <c r="E247" s="450" t="s">
        <v>1469</v>
      </c>
      <c r="F247" s="453"/>
      <c r="G247" s="453"/>
      <c r="H247" s="453"/>
      <c r="I247" s="453"/>
      <c r="J247" s="453"/>
      <c r="K247" s="453"/>
      <c r="L247" s="453"/>
      <c r="M247" s="453"/>
      <c r="N247" s="453">
        <v>1</v>
      </c>
      <c r="O247" s="453">
        <v>1186</v>
      </c>
      <c r="P247" s="473"/>
      <c r="Q247" s="454">
        <v>1186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36" customWidth="1"/>
    <col min="2" max="2" width="7.77734375" style="112" customWidth="1"/>
    <col min="3" max="3" width="7.21875" style="136" hidden="1" customWidth="1"/>
    <col min="4" max="4" width="7.77734375" style="112" customWidth="1"/>
    <col min="5" max="5" width="7.21875" style="136" hidden="1" customWidth="1"/>
    <col min="6" max="6" width="7.77734375" style="112" customWidth="1"/>
    <col min="7" max="7" width="7.77734375" style="218" customWidth="1"/>
    <col min="8" max="8" width="7.77734375" style="112" customWidth="1"/>
    <col min="9" max="9" width="7.21875" style="136" hidden="1" customWidth="1"/>
    <col min="10" max="10" width="7.77734375" style="112" customWidth="1"/>
    <col min="11" max="11" width="7.21875" style="136" hidden="1" customWidth="1"/>
    <col min="12" max="12" width="7.77734375" style="112" customWidth="1"/>
    <col min="13" max="13" width="7.77734375" style="218" customWidth="1"/>
    <col min="14" max="16384" width="8.88671875" style="136"/>
  </cols>
  <sheetData>
    <row r="1" spans="1:13" ht="18.600000000000001" customHeight="1" thickBot="1" x14ac:dyDescent="0.4">
      <c r="A1" s="327" t="s">
        <v>135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" customHeight="1" thickBot="1" x14ac:dyDescent="0.35">
      <c r="A2" s="243" t="s">
        <v>249</v>
      </c>
      <c r="B2" s="234"/>
      <c r="C2" s="117"/>
      <c r="D2" s="234"/>
      <c r="E2" s="117"/>
      <c r="F2" s="234"/>
      <c r="G2" s="235"/>
      <c r="H2" s="234"/>
      <c r="I2" s="117"/>
      <c r="J2" s="234"/>
      <c r="K2" s="117"/>
      <c r="L2" s="234"/>
      <c r="M2" s="235"/>
    </row>
    <row r="3" spans="1:13" ht="14.4" customHeight="1" thickBot="1" x14ac:dyDescent="0.35">
      <c r="A3" s="228" t="s">
        <v>136</v>
      </c>
      <c r="B3" s="229">
        <f>SUBTOTAL(9,B6:B1048576)</f>
        <v>260233</v>
      </c>
      <c r="C3" s="230">
        <f t="shared" ref="C3:L3" si="0">SUBTOTAL(9,C6:C1048576)</f>
        <v>8</v>
      </c>
      <c r="D3" s="230">
        <f t="shared" si="0"/>
        <v>60445</v>
      </c>
      <c r="E3" s="230">
        <f t="shared" si="0"/>
        <v>0.37574050935854642</v>
      </c>
      <c r="F3" s="230">
        <f t="shared" si="0"/>
        <v>0</v>
      </c>
      <c r="G3" s="233">
        <f>IF(B3&lt;&gt;0,F3/B3,"")</f>
        <v>0</v>
      </c>
      <c r="H3" s="229">
        <f t="shared" si="0"/>
        <v>25294.640000000003</v>
      </c>
      <c r="I3" s="230">
        <f t="shared" si="0"/>
        <v>2</v>
      </c>
      <c r="J3" s="230">
        <f t="shared" si="0"/>
        <v>0</v>
      </c>
      <c r="K3" s="230">
        <f t="shared" si="0"/>
        <v>0</v>
      </c>
      <c r="L3" s="230">
        <f t="shared" si="0"/>
        <v>0</v>
      </c>
      <c r="M3" s="231">
        <f>IF(H3&lt;&gt;0,L3/H3,"")</f>
        <v>0</v>
      </c>
    </row>
    <row r="4" spans="1:13" ht="14.4" customHeight="1" x14ac:dyDescent="0.3">
      <c r="A4" s="398" t="s">
        <v>98</v>
      </c>
      <c r="B4" s="384" t="s">
        <v>104</v>
      </c>
      <c r="C4" s="385"/>
      <c r="D4" s="385"/>
      <c r="E4" s="385"/>
      <c r="F4" s="385"/>
      <c r="G4" s="386"/>
      <c r="H4" s="384" t="s">
        <v>105</v>
      </c>
      <c r="I4" s="385"/>
      <c r="J4" s="385"/>
      <c r="K4" s="385"/>
      <c r="L4" s="385"/>
      <c r="M4" s="386"/>
    </row>
    <row r="5" spans="1:13" s="216" customFormat="1" ht="14.4" customHeight="1" thickBot="1" x14ac:dyDescent="0.35">
      <c r="A5" s="545"/>
      <c r="B5" s="546">
        <v>2012</v>
      </c>
      <c r="C5" s="547"/>
      <c r="D5" s="547">
        <v>2013</v>
      </c>
      <c r="E5" s="547"/>
      <c r="F5" s="547">
        <v>2014</v>
      </c>
      <c r="G5" s="525" t="s">
        <v>5</v>
      </c>
      <c r="H5" s="546">
        <v>2012</v>
      </c>
      <c r="I5" s="547"/>
      <c r="J5" s="547">
        <v>2013</v>
      </c>
      <c r="K5" s="547"/>
      <c r="L5" s="547">
        <v>2014</v>
      </c>
      <c r="M5" s="525" t="s">
        <v>5</v>
      </c>
    </row>
    <row r="6" spans="1:13" ht="14.4" customHeight="1" x14ac:dyDescent="0.3">
      <c r="A6" s="511" t="s">
        <v>1517</v>
      </c>
      <c r="B6" s="526">
        <v>36910</v>
      </c>
      <c r="C6" s="487">
        <v>1</v>
      </c>
      <c r="D6" s="526"/>
      <c r="E6" s="487"/>
      <c r="F6" s="526"/>
      <c r="G6" s="492"/>
      <c r="H6" s="526">
        <v>24645.050000000003</v>
      </c>
      <c r="I6" s="487">
        <v>1</v>
      </c>
      <c r="J6" s="526"/>
      <c r="K6" s="487"/>
      <c r="L6" s="526"/>
      <c r="M6" s="128"/>
    </row>
    <row r="7" spans="1:13" ht="14.4" customHeight="1" x14ac:dyDescent="0.3">
      <c r="A7" s="512" t="s">
        <v>1518</v>
      </c>
      <c r="B7" s="527">
        <v>5450</v>
      </c>
      <c r="C7" s="444">
        <v>1</v>
      </c>
      <c r="D7" s="527"/>
      <c r="E7" s="444"/>
      <c r="F7" s="527"/>
      <c r="G7" s="471"/>
      <c r="H7" s="527"/>
      <c r="I7" s="444"/>
      <c r="J7" s="527"/>
      <c r="K7" s="444"/>
      <c r="L7" s="527"/>
      <c r="M7" s="472"/>
    </row>
    <row r="8" spans="1:13" ht="14.4" customHeight="1" x14ac:dyDescent="0.3">
      <c r="A8" s="512" t="s">
        <v>1519</v>
      </c>
      <c r="B8" s="527">
        <v>12362</v>
      </c>
      <c r="C8" s="444">
        <v>1</v>
      </c>
      <c r="D8" s="527"/>
      <c r="E8" s="444"/>
      <c r="F8" s="527"/>
      <c r="G8" s="471"/>
      <c r="H8" s="527"/>
      <c r="I8" s="444"/>
      <c r="J8" s="527"/>
      <c r="K8" s="444"/>
      <c r="L8" s="527"/>
      <c r="M8" s="472"/>
    </row>
    <row r="9" spans="1:13" ht="14.4" customHeight="1" x14ac:dyDescent="0.3">
      <c r="A9" s="512" t="s">
        <v>1520</v>
      </c>
      <c r="B9" s="527">
        <v>9572</v>
      </c>
      <c r="C9" s="444">
        <v>1</v>
      </c>
      <c r="D9" s="527"/>
      <c r="E9" s="444"/>
      <c r="F9" s="527"/>
      <c r="G9" s="471"/>
      <c r="H9" s="527">
        <v>649.59</v>
      </c>
      <c r="I9" s="444">
        <v>1</v>
      </c>
      <c r="J9" s="527"/>
      <c r="K9" s="444"/>
      <c r="L9" s="527"/>
      <c r="M9" s="472"/>
    </row>
    <row r="10" spans="1:13" ht="14.4" customHeight="1" x14ac:dyDescent="0.3">
      <c r="A10" s="512" t="s">
        <v>1521</v>
      </c>
      <c r="B10" s="527">
        <v>11230</v>
      </c>
      <c r="C10" s="444">
        <v>1</v>
      </c>
      <c r="D10" s="527"/>
      <c r="E10" s="444"/>
      <c r="F10" s="527"/>
      <c r="G10" s="471"/>
      <c r="H10" s="527"/>
      <c r="I10" s="444"/>
      <c r="J10" s="527"/>
      <c r="K10" s="444"/>
      <c r="L10" s="527"/>
      <c r="M10" s="472"/>
    </row>
    <row r="11" spans="1:13" ht="14.4" customHeight="1" x14ac:dyDescent="0.3">
      <c r="A11" s="512" t="s">
        <v>1522</v>
      </c>
      <c r="B11" s="527">
        <v>160869</v>
      </c>
      <c r="C11" s="444">
        <v>1</v>
      </c>
      <c r="D11" s="527">
        <v>60445</v>
      </c>
      <c r="E11" s="444">
        <v>0.37574050935854642</v>
      </c>
      <c r="F11" s="527"/>
      <c r="G11" s="471"/>
      <c r="H11" s="527"/>
      <c r="I11" s="444"/>
      <c r="J11" s="527"/>
      <c r="K11" s="444"/>
      <c r="L11" s="527"/>
      <c r="M11" s="472"/>
    </row>
    <row r="12" spans="1:13" ht="14.4" customHeight="1" x14ac:dyDescent="0.3">
      <c r="A12" s="512" t="s">
        <v>1523</v>
      </c>
      <c r="B12" s="527">
        <v>22825</v>
      </c>
      <c r="C12" s="444">
        <v>1</v>
      </c>
      <c r="D12" s="527"/>
      <c r="E12" s="444"/>
      <c r="F12" s="527"/>
      <c r="G12" s="471"/>
      <c r="H12" s="527"/>
      <c r="I12" s="444"/>
      <c r="J12" s="527"/>
      <c r="K12" s="444"/>
      <c r="L12" s="527"/>
      <c r="M12" s="472"/>
    </row>
    <row r="13" spans="1:13" ht="14.4" customHeight="1" thickBot="1" x14ac:dyDescent="0.35">
      <c r="A13" s="529" t="s">
        <v>1524</v>
      </c>
      <c r="B13" s="528">
        <v>1015</v>
      </c>
      <c r="C13" s="450">
        <v>1</v>
      </c>
      <c r="D13" s="528"/>
      <c r="E13" s="450"/>
      <c r="F13" s="528"/>
      <c r="G13" s="473"/>
      <c r="H13" s="528"/>
      <c r="I13" s="450"/>
      <c r="J13" s="528"/>
      <c r="K13" s="450"/>
      <c r="L13" s="528"/>
      <c r="M13" s="47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0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36" bestFit="1" customWidth="1"/>
    <col min="2" max="2" width="8.6640625" style="136" bestFit="1" customWidth="1"/>
    <col min="3" max="3" width="2.109375" style="136" bestFit="1" customWidth="1"/>
    <col min="4" max="4" width="8" style="136" bestFit="1" customWidth="1"/>
    <col min="5" max="5" width="52.88671875" style="136" bestFit="1" customWidth="1"/>
    <col min="6" max="7" width="11.109375" style="215" customWidth="1"/>
    <col min="8" max="9" width="9.33203125" style="215" hidden="1" customWidth="1"/>
    <col min="10" max="11" width="11.109375" style="215" customWidth="1"/>
    <col min="12" max="13" width="9.33203125" style="215" hidden="1" customWidth="1"/>
    <col min="14" max="15" width="11.109375" style="215" customWidth="1"/>
    <col min="16" max="16" width="11.109375" style="218" customWidth="1"/>
    <col min="17" max="17" width="11.109375" style="215" customWidth="1"/>
    <col min="18" max="16384" width="8.88671875" style="136"/>
  </cols>
  <sheetData>
    <row r="1" spans="1:17" ht="18.600000000000001" customHeight="1" thickBot="1" x14ac:dyDescent="0.4">
      <c r="A1" s="327" t="s">
        <v>1731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" customHeight="1" thickBot="1" x14ac:dyDescent="0.35">
      <c r="A2" s="243" t="s">
        <v>249</v>
      </c>
      <c r="B2" s="117"/>
      <c r="C2" s="117"/>
      <c r="D2" s="117"/>
      <c r="E2" s="117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5"/>
      <c r="Q2" s="238"/>
    </row>
    <row r="3" spans="1:17" ht="14.4" customHeight="1" thickBot="1" x14ac:dyDescent="0.35">
      <c r="E3" s="87" t="s">
        <v>136</v>
      </c>
      <c r="F3" s="106">
        <f t="shared" ref="F3:O3" si="0">SUBTOTAL(9,F6:F1048576)</f>
        <v>3166.06</v>
      </c>
      <c r="G3" s="110">
        <f t="shared" si="0"/>
        <v>285527.64</v>
      </c>
      <c r="H3" s="111"/>
      <c r="I3" s="111"/>
      <c r="J3" s="106">
        <f t="shared" si="0"/>
        <v>342</v>
      </c>
      <c r="K3" s="110">
        <f t="shared" si="0"/>
        <v>60445</v>
      </c>
      <c r="L3" s="111"/>
      <c r="M3" s="111"/>
      <c r="N3" s="106">
        <f t="shared" si="0"/>
        <v>0</v>
      </c>
      <c r="O3" s="110">
        <f t="shared" si="0"/>
        <v>0</v>
      </c>
      <c r="P3" s="88">
        <f>IF(G3=0,"",O3/G3)</f>
        <v>0</v>
      </c>
      <c r="Q3" s="108" t="str">
        <f>IF(N3=0,"",O3/N3)</f>
        <v/>
      </c>
    </row>
    <row r="4" spans="1:17" ht="14.4" customHeight="1" x14ac:dyDescent="0.3">
      <c r="A4" s="389" t="s">
        <v>72</v>
      </c>
      <c r="B4" s="388" t="s">
        <v>99</v>
      </c>
      <c r="C4" s="389" t="s">
        <v>100</v>
      </c>
      <c r="D4" s="390" t="s">
        <v>74</v>
      </c>
      <c r="E4" s="391" t="s">
        <v>14</v>
      </c>
      <c r="F4" s="395">
        <v>2012</v>
      </c>
      <c r="G4" s="396"/>
      <c r="H4" s="109"/>
      <c r="I4" s="109"/>
      <c r="J4" s="395">
        <v>2013</v>
      </c>
      <c r="K4" s="396"/>
      <c r="L4" s="109"/>
      <c r="M4" s="109"/>
      <c r="N4" s="395">
        <v>2014</v>
      </c>
      <c r="O4" s="396"/>
      <c r="P4" s="397" t="s">
        <v>5</v>
      </c>
      <c r="Q4" s="387" t="s">
        <v>102</v>
      </c>
    </row>
    <row r="5" spans="1:17" ht="14.4" customHeight="1" thickBot="1" x14ac:dyDescent="0.35">
      <c r="A5" s="533"/>
      <c r="B5" s="532"/>
      <c r="C5" s="533"/>
      <c r="D5" s="534"/>
      <c r="E5" s="535"/>
      <c r="F5" s="541" t="s">
        <v>75</v>
      </c>
      <c r="G5" s="542" t="s">
        <v>17</v>
      </c>
      <c r="H5" s="543"/>
      <c r="I5" s="543"/>
      <c r="J5" s="541" t="s">
        <v>75</v>
      </c>
      <c r="K5" s="542" t="s">
        <v>17</v>
      </c>
      <c r="L5" s="543"/>
      <c r="M5" s="543"/>
      <c r="N5" s="541" t="s">
        <v>75</v>
      </c>
      <c r="O5" s="542" t="s">
        <v>17</v>
      </c>
      <c r="P5" s="544"/>
      <c r="Q5" s="540"/>
    </row>
    <row r="6" spans="1:17" ht="14.4" customHeight="1" x14ac:dyDescent="0.3">
      <c r="A6" s="486" t="s">
        <v>1525</v>
      </c>
      <c r="B6" s="487" t="s">
        <v>1526</v>
      </c>
      <c r="C6" s="487" t="s">
        <v>1349</v>
      </c>
      <c r="D6" s="487" t="s">
        <v>1527</v>
      </c>
      <c r="E6" s="487" t="s">
        <v>1528</v>
      </c>
      <c r="F6" s="122">
        <v>685</v>
      </c>
      <c r="G6" s="122">
        <v>12145.05</v>
      </c>
      <c r="H6" s="122">
        <v>1</v>
      </c>
      <c r="I6" s="122">
        <v>17.73</v>
      </c>
      <c r="J6" s="122"/>
      <c r="K6" s="122"/>
      <c r="L6" s="122"/>
      <c r="M6" s="122"/>
      <c r="N6" s="122"/>
      <c r="O6" s="122"/>
      <c r="P6" s="492"/>
      <c r="Q6" s="503"/>
    </row>
    <row r="7" spans="1:17" ht="14.4" customHeight="1" x14ac:dyDescent="0.3">
      <c r="A7" s="443" t="s">
        <v>1525</v>
      </c>
      <c r="B7" s="444" t="s">
        <v>1526</v>
      </c>
      <c r="C7" s="444" t="s">
        <v>1349</v>
      </c>
      <c r="D7" s="444" t="s">
        <v>1529</v>
      </c>
      <c r="E7" s="444" t="s">
        <v>1088</v>
      </c>
      <c r="F7" s="447">
        <v>1000</v>
      </c>
      <c r="G7" s="447">
        <v>12500</v>
      </c>
      <c r="H7" s="447">
        <v>1</v>
      </c>
      <c r="I7" s="447">
        <v>12.5</v>
      </c>
      <c r="J7" s="447"/>
      <c r="K7" s="447"/>
      <c r="L7" s="447"/>
      <c r="M7" s="447"/>
      <c r="N7" s="447"/>
      <c r="O7" s="447"/>
      <c r="P7" s="471"/>
      <c r="Q7" s="448"/>
    </row>
    <row r="8" spans="1:17" ht="14.4" customHeight="1" x14ac:dyDescent="0.3">
      <c r="A8" s="443" t="s">
        <v>1525</v>
      </c>
      <c r="B8" s="444" t="s">
        <v>1526</v>
      </c>
      <c r="C8" s="444" t="s">
        <v>1112</v>
      </c>
      <c r="D8" s="444" t="s">
        <v>1530</v>
      </c>
      <c r="E8" s="444" t="s">
        <v>1531</v>
      </c>
      <c r="F8" s="447">
        <v>2</v>
      </c>
      <c r="G8" s="447">
        <v>3502</v>
      </c>
      <c r="H8" s="447">
        <v>1</v>
      </c>
      <c r="I8" s="447">
        <v>1751</v>
      </c>
      <c r="J8" s="447"/>
      <c r="K8" s="447"/>
      <c r="L8" s="447"/>
      <c r="M8" s="447"/>
      <c r="N8" s="447"/>
      <c r="O8" s="447"/>
      <c r="P8" s="471"/>
      <c r="Q8" s="448"/>
    </row>
    <row r="9" spans="1:17" ht="14.4" customHeight="1" x14ac:dyDescent="0.3">
      <c r="A9" s="443" t="s">
        <v>1525</v>
      </c>
      <c r="B9" s="444" t="s">
        <v>1526</v>
      </c>
      <c r="C9" s="444" t="s">
        <v>1112</v>
      </c>
      <c r="D9" s="444" t="s">
        <v>1532</v>
      </c>
      <c r="E9" s="444" t="s">
        <v>1533</v>
      </c>
      <c r="F9" s="447">
        <v>9</v>
      </c>
      <c r="G9" s="447">
        <v>30879</v>
      </c>
      <c r="H9" s="447">
        <v>1</v>
      </c>
      <c r="I9" s="447">
        <v>3431</v>
      </c>
      <c r="J9" s="447"/>
      <c r="K9" s="447"/>
      <c r="L9" s="447"/>
      <c r="M9" s="447"/>
      <c r="N9" s="447"/>
      <c r="O9" s="447"/>
      <c r="P9" s="471"/>
      <c r="Q9" s="448"/>
    </row>
    <row r="10" spans="1:17" ht="14.4" customHeight="1" x14ac:dyDescent="0.3">
      <c r="A10" s="443" t="s">
        <v>1525</v>
      </c>
      <c r="B10" s="444" t="s">
        <v>1526</v>
      </c>
      <c r="C10" s="444" t="s">
        <v>1112</v>
      </c>
      <c r="D10" s="444" t="s">
        <v>1534</v>
      </c>
      <c r="E10" s="444" t="s">
        <v>1535</v>
      </c>
      <c r="F10" s="447">
        <v>1</v>
      </c>
      <c r="G10" s="447">
        <v>2529</v>
      </c>
      <c r="H10" s="447">
        <v>1</v>
      </c>
      <c r="I10" s="447">
        <v>2529</v>
      </c>
      <c r="J10" s="447"/>
      <c r="K10" s="447"/>
      <c r="L10" s="447"/>
      <c r="M10" s="447"/>
      <c r="N10" s="447"/>
      <c r="O10" s="447"/>
      <c r="P10" s="471"/>
      <c r="Q10" s="448"/>
    </row>
    <row r="11" spans="1:17" ht="14.4" customHeight="1" x14ac:dyDescent="0.3">
      <c r="A11" s="443" t="s">
        <v>1536</v>
      </c>
      <c r="B11" s="444" t="s">
        <v>1537</v>
      </c>
      <c r="C11" s="444" t="s">
        <v>1112</v>
      </c>
      <c r="D11" s="444" t="s">
        <v>1538</v>
      </c>
      <c r="E11" s="444" t="s">
        <v>1539</v>
      </c>
      <c r="F11" s="447">
        <v>8</v>
      </c>
      <c r="G11" s="447">
        <v>512</v>
      </c>
      <c r="H11" s="447">
        <v>1</v>
      </c>
      <c r="I11" s="447">
        <v>64</v>
      </c>
      <c r="J11" s="447"/>
      <c r="K11" s="447"/>
      <c r="L11" s="447"/>
      <c r="M11" s="447"/>
      <c r="N11" s="447"/>
      <c r="O11" s="447"/>
      <c r="P11" s="471"/>
      <c r="Q11" s="448"/>
    </row>
    <row r="12" spans="1:17" ht="14.4" customHeight="1" x14ac:dyDescent="0.3">
      <c r="A12" s="443" t="s">
        <v>1536</v>
      </c>
      <c r="B12" s="444" t="s">
        <v>1537</v>
      </c>
      <c r="C12" s="444" t="s">
        <v>1112</v>
      </c>
      <c r="D12" s="444" t="s">
        <v>1540</v>
      </c>
      <c r="E12" s="444" t="s">
        <v>1541</v>
      </c>
      <c r="F12" s="447">
        <v>1</v>
      </c>
      <c r="G12" s="447">
        <v>54</v>
      </c>
      <c r="H12" s="447">
        <v>1</v>
      </c>
      <c r="I12" s="447">
        <v>54</v>
      </c>
      <c r="J12" s="447"/>
      <c r="K12" s="447"/>
      <c r="L12" s="447"/>
      <c r="M12" s="447"/>
      <c r="N12" s="447"/>
      <c r="O12" s="447"/>
      <c r="P12" s="471"/>
      <c r="Q12" s="448"/>
    </row>
    <row r="13" spans="1:17" ht="14.4" customHeight="1" x14ac:dyDescent="0.3">
      <c r="A13" s="443" t="s">
        <v>1536</v>
      </c>
      <c r="B13" s="444" t="s">
        <v>1537</v>
      </c>
      <c r="C13" s="444" t="s">
        <v>1112</v>
      </c>
      <c r="D13" s="444" t="s">
        <v>1542</v>
      </c>
      <c r="E13" s="444" t="s">
        <v>1543</v>
      </c>
      <c r="F13" s="447">
        <v>48</v>
      </c>
      <c r="G13" s="447">
        <v>3696</v>
      </c>
      <c r="H13" s="447">
        <v>1</v>
      </c>
      <c r="I13" s="447">
        <v>77</v>
      </c>
      <c r="J13" s="447"/>
      <c r="K13" s="447"/>
      <c r="L13" s="447"/>
      <c r="M13" s="447"/>
      <c r="N13" s="447"/>
      <c r="O13" s="447"/>
      <c r="P13" s="471"/>
      <c r="Q13" s="448"/>
    </row>
    <row r="14" spans="1:17" ht="14.4" customHeight="1" x14ac:dyDescent="0.3">
      <c r="A14" s="443" t="s">
        <v>1536</v>
      </c>
      <c r="B14" s="444" t="s">
        <v>1537</v>
      </c>
      <c r="C14" s="444" t="s">
        <v>1112</v>
      </c>
      <c r="D14" s="444" t="s">
        <v>1544</v>
      </c>
      <c r="E14" s="444" t="s">
        <v>1545</v>
      </c>
      <c r="F14" s="447">
        <v>3</v>
      </c>
      <c r="G14" s="447">
        <v>540</v>
      </c>
      <c r="H14" s="447">
        <v>1</v>
      </c>
      <c r="I14" s="447">
        <v>180</v>
      </c>
      <c r="J14" s="447"/>
      <c r="K14" s="447"/>
      <c r="L14" s="447"/>
      <c r="M14" s="447"/>
      <c r="N14" s="447"/>
      <c r="O14" s="447"/>
      <c r="P14" s="471"/>
      <c r="Q14" s="448"/>
    </row>
    <row r="15" spans="1:17" ht="14.4" customHeight="1" x14ac:dyDescent="0.3">
      <c r="A15" s="443" t="s">
        <v>1536</v>
      </c>
      <c r="B15" s="444" t="s">
        <v>1537</v>
      </c>
      <c r="C15" s="444" t="s">
        <v>1112</v>
      </c>
      <c r="D15" s="444" t="s">
        <v>1546</v>
      </c>
      <c r="E15" s="444" t="s">
        <v>1547</v>
      </c>
      <c r="F15" s="447">
        <v>3</v>
      </c>
      <c r="G15" s="447">
        <v>648</v>
      </c>
      <c r="H15" s="447">
        <v>1</v>
      </c>
      <c r="I15" s="447">
        <v>216</v>
      </c>
      <c r="J15" s="447"/>
      <c r="K15" s="447"/>
      <c r="L15" s="447"/>
      <c r="M15" s="447"/>
      <c r="N15" s="447"/>
      <c r="O15" s="447"/>
      <c r="P15" s="471"/>
      <c r="Q15" s="448"/>
    </row>
    <row r="16" spans="1:17" ht="14.4" customHeight="1" x14ac:dyDescent="0.3">
      <c r="A16" s="443" t="s">
        <v>1548</v>
      </c>
      <c r="B16" s="444" t="s">
        <v>1549</v>
      </c>
      <c r="C16" s="444" t="s">
        <v>1112</v>
      </c>
      <c r="D16" s="444" t="s">
        <v>1550</v>
      </c>
      <c r="E16" s="444" t="s">
        <v>1551</v>
      </c>
      <c r="F16" s="447">
        <v>14</v>
      </c>
      <c r="G16" s="447">
        <v>378</v>
      </c>
      <c r="H16" s="447">
        <v>1</v>
      </c>
      <c r="I16" s="447">
        <v>27</v>
      </c>
      <c r="J16" s="447"/>
      <c r="K16" s="447"/>
      <c r="L16" s="447"/>
      <c r="M16" s="447"/>
      <c r="N16" s="447"/>
      <c r="O16" s="447"/>
      <c r="P16" s="471"/>
      <c r="Q16" s="448"/>
    </row>
    <row r="17" spans="1:17" ht="14.4" customHeight="1" x14ac:dyDescent="0.3">
      <c r="A17" s="443" t="s">
        <v>1548</v>
      </c>
      <c r="B17" s="444" t="s">
        <v>1549</v>
      </c>
      <c r="C17" s="444" t="s">
        <v>1112</v>
      </c>
      <c r="D17" s="444" t="s">
        <v>1552</v>
      </c>
      <c r="E17" s="444" t="s">
        <v>1553</v>
      </c>
      <c r="F17" s="447">
        <v>5</v>
      </c>
      <c r="G17" s="447">
        <v>270</v>
      </c>
      <c r="H17" s="447">
        <v>1</v>
      </c>
      <c r="I17" s="447">
        <v>54</v>
      </c>
      <c r="J17" s="447"/>
      <c r="K17" s="447"/>
      <c r="L17" s="447"/>
      <c r="M17" s="447"/>
      <c r="N17" s="447"/>
      <c r="O17" s="447"/>
      <c r="P17" s="471"/>
      <c r="Q17" s="448"/>
    </row>
    <row r="18" spans="1:17" ht="14.4" customHeight="1" x14ac:dyDescent="0.3">
      <c r="A18" s="443" t="s">
        <v>1548</v>
      </c>
      <c r="B18" s="444" t="s">
        <v>1549</v>
      </c>
      <c r="C18" s="444" t="s">
        <v>1112</v>
      </c>
      <c r="D18" s="444" t="s">
        <v>1554</v>
      </c>
      <c r="E18" s="444" t="s">
        <v>1555</v>
      </c>
      <c r="F18" s="447">
        <v>15</v>
      </c>
      <c r="G18" s="447">
        <v>360</v>
      </c>
      <c r="H18" s="447">
        <v>1</v>
      </c>
      <c r="I18" s="447">
        <v>24</v>
      </c>
      <c r="J18" s="447"/>
      <c r="K18" s="447"/>
      <c r="L18" s="447"/>
      <c r="M18" s="447"/>
      <c r="N18" s="447"/>
      <c r="O18" s="447"/>
      <c r="P18" s="471"/>
      <c r="Q18" s="448"/>
    </row>
    <row r="19" spans="1:17" ht="14.4" customHeight="1" x14ac:dyDescent="0.3">
      <c r="A19" s="443" t="s">
        <v>1548</v>
      </c>
      <c r="B19" s="444" t="s">
        <v>1549</v>
      </c>
      <c r="C19" s="444" t="s">
        <v>1112</v>
      </c>
      <c r="D19" s="444" t="s">
        <v>1556</v>
      </c>
      <c r="E19" s="444" t="s">
        <v>1557</v>
      </c>
      <c r="F19" s="447">
        <v>17</v>
      </c>
      <c r="G19" s="447">
        <v>459</v>
      </c>
      <c r="H19" s="447">
        <v>1</v>
      </c>
      <c r="I19" s="447">
        <v>27</v>
      </c>
      <c r="J19" s="447"/>
      <c r="K19" s="447"/>
      <c r="L19" s="447"/>
      <c r="M19" s="447"/>
      <c r="N19" s="447"/>
      <c r="O19" s="447"/>
      <c r="P19" s="471"/>
      <c r="Q19" s="448"/>
    </row>
    <row r="20" spans="1:17" ht="14.4" customHeight="1" x14ac:dyDescent="0.3">
      <c r="A20" s="443" t="s">
        <v>1548</v>
      </c>
      <c r="B20" s="444" t="s">
        <v>1549</v>
      </c>
      <c r="C20" s="444" t="s">
        <v>1112</v>
      </c>
      <c r="D20" s="444" t="s">
        <v>1558</v>
      </c>
      <c r="E20" s="444" t="s">
        <v>1559</v>
      </c>
      <c r="F20" s="447">
        <v>2</v>
      </c>
      <c r="G20" s="447">
        <v>112</v>
      </c>
      <c r="H20" s="447">
        <v>1</v>
      </c>
      <c r="I20" s="447">
        <v>56</v>
      </c>
      <c r="J20" s="447"/>
      <c r="K20" s="447"/>
      <c r="L20" s="447"/>
      <c r="M20" s="447"/>
      <c r="N20" s="447"/>
      <c r="O20" s="447"/>
      <c r="P20" s="471"/>
      <c r="Q20" s="448"/>
    </row>
    <row r="21" spans="1:17" ht="14.4" customHeight="1" x14ac:dyDescent="0.3">
      <c r="A21" s="443" t="s">
        <v>1548</v>
      </c>
      <c r="B21" s="444" t="s">
        <v>1549</v>
      </c>
      <c r="C21" s="444" t="s">
        <v>1112</v>
      </c>
      <c r="D21" s="444" t="s">
        <v>1560</v>
      </c>
      <c r="E21" s="444" t="s">
        <v>1561</v>
      </c>
      <c r="F21" s="447">
        <v>12</v>
      </c>
      <c r="G21" s="447">
        <v>324</v>
      </c>
      <c r="H21" s="447">
        <v>1</v>
      </c>
      <c r="I21" s="447">
        <v>27</v>
      </c>
      <c r="J21" s="447"/>
      <c r="K21" s="447"/>
      <c r="L21" s="447"/>
      <c r="M21" s="447"/>
      <c r="N21" s="447"/>
      <c r="O21" s="447"/>
      <c r="P21" s="471"/>
      <c r="Q21" s="448"/>
    </row>
    <row r="22" spans="1:17" ht="14.4" customHeight="1" x14ac:dyDescent="0.3">
      <c r="A22" s="443" t="s">
        <v>1548</v>
      </c>
      <c r="B22" s="444" t="s">
        <v>1549</v>
      </c>
      <c r="C22" s="444" t="s">
        <v>1112</v>
      </c>
      <c r="D22" s="444" t="s">
        <v>1562</v>
      </c>
      <c r="E22" s="444" t="s">
        <v>1563</v>
      </c>
      <c r="F22" s="447">
        <v>24</v>
      </c>
      <c r="G22" s="447">
        <v>528</v>
      </c>
      <c r="H22" s="447">
        <v>1</v>
      </c>
      <c r="I22" s="447">
        <v>22</v>
      </c>
      <c r="J22" s="447"/>
      <c r="K22" s="447"/>
      <c r="L22" s="447"/>
      <c r="M22" s="447"/>
      <c r="N22" s="447"/>
      <c r="O22" s="447"/>
      <c r="P22" s="471"/>
      <c r="Q22" s="448"/>
    </row>
    <row r="23" spans="1:17" ht="14.4" customHeight="1" x14ac:dyDescent="0.3">
      <c r="A23" s="443" t="s">
        <v>1548</v>
      </c>
      <c r="B23" s="444" t="s">
        <v>1549</v>
      </c>
      <c r="C23" s="444" t="s">
        <v>1112</v>
      </c>
      <c r="D23" s="444" t="s">
        <v>1564</v>
      </c>
      <c r="E23" s="444" t="s">
        <v>1565</v>
      </c>
      <c r="F23" s="447">
        <v>1</v>
      </c>
      <c r="G23" s="447">
        <v>62</v>
      </c>
      <c r="H23" s="447">
        <v>1</v>
      </c>
      <c r="I23" s="447">
        <v>62</v>
      </c>
      <c r="J23" s="447"/>
      <c r="K23" s="447"/>
      <c r="L23" s="447"/>
      <c r="M23" s="447"/>
      <c r="N23" s="447"/>
      <c r="O23" s="447"/>
      <c r="P23" s="471"/>
      <c r="Q23" s="448"/>
    </row>
    <row r="24" spans="1:17" ht="14.4" customHeight="1" x14ac:dyDescent="0.3">
      <c r="A24" s="443" t="s">
        <v>1548</v>
      </c>
      <c r="B24" s="444" t="s">
        <v>1549</v>
      </c>
      <c r="C24" s="444" t="s">
        <v>1112</v>
      </c>
      <c r="D24" s="444" t="s">
        <v>1566</v>
      </c>
      <c r="E24" s="444" t="s">
        <v>1567</v>
      </c>
      <c r="F24" s="447">
        <v>1</v>
      </c>
      <c r="G24" s="447">
        <v>61</v>
      </c>
      <c r="H24" s="447">
        <v>1</v>
      </c>
      <c r="I24" s="447">
        <v>61</v>
      </c>
      <c r="J24" s="447"/>
      <c r="K24" s="447"/>
      <c r="L24" s="447"/>
      <c r="M24" s="447"/>
      <c r="N24" s="447"/>
      <c r="O24" s="447"/>
      <c r="P24" s="471"/>
      <c r="Q24" s="448"/>
    </row>
    <row r="25" spans="1:17" ht="14.4" customHeight="1" x14ac:dyDescent="0.3">
      <c r="A25" s="443" t="s">
        <v>1548</v>
      </c>
      <c r="B25" s="444" t="s">
        <v>1549</v>
      </c>
      <c r="C25" s="444" t="s">
        <v>1112</v>
      </c>
      <c r="D25" s="444" t="s">
        <v>1568</v>
      </c>
      <c r="E25" s="444" t="s">
        <v>1569</v>
      </c>
      <c r="F25" s="447">
        <v>1</v>
      </c>
      <c r="G25" s="447">
        <v>987</v>
      </c>
      <c r="H25" s="447">
        <v>1</v>
      </c>
      <c r="I25" s="447">
        <v>987</v>
      </c>
      <c r="J25" s="447"/>
      <c r="K25" s="447"/>
      <c r="L25" s="447"/>
      <c r="M25" s="447"/>
      <c r="N25" s="447"/>
      <c r="O25" s="447"/>
      <c r="P25" s="471"/>
      <c r="Q25" s="448"/>
    </row>
    <row r="26" spans="1:17" ht="14.4" customHeight="1" x14ac:dyDescent="0.3">
      <c r="A26" s="443" t="s">
        <v>1548</v>
      </c>
      <c r="B26" s="444" t="s">
        <v>1549</v>
      </c>
      <c r="C26" s="444" t="s">
        <v>1112</v>
      </c>
      <c r="D26" s="444" t="s">
        <v>1570</v>
      </c>
      <c r="E26" s="444" t="s">
        <v>1571</v>
      </c>
      <c r="F26" s="447">
        <v>2</v>
      </c>
      <c r="G26" s="447">
        <v>34</v>
      </c>
      <c r="H26" s="447">
        <v>1</v>
      </c>
      <c r="I26" s="447">
        <v>17</v>
      </c>
      <c r="J26" s="447"/>
      <c r="K26" s="447"/>
      <c r="L26" s="447"/>
      <c r="M26" s="447"/>
      <c r="N26" s="447"/>
      <c r="O26" s="447"/>
      <c r="P26" s="471"/>
      <c r="Q26" s="448"/>
    </row>
    <row r="27" spans="1:17" ht="14.4" customHeight="1" x14ac:dyDescent="0.3">
      <c r="A27" s="443" t="s">
        <v>1548</v>
      </c>
      <c r="B27" s="444" t="s">
        <v>1549</v>
      </c>
      <c r="C27" s="444" t="s">
        <v>1112</v>
      </c>
      <c r="D27" s="444" t="s">
        <v>1572</v>
      </c>
      <c r="E27" s="444" t="s">
        <v>1573</v>
      </c>
      <c r="F27" s="447">
        <v>1</v>
      </c>
      <c r="G27" s="447">
        <v>62</v>
      </c>
      <c r="H27" s="447">
        <v>1</v>
      </c>
      <c r="I27" s="447">
        <v>62</v>
      </c>
      <c r="J27" s="447"/>
      <c r="K27" s="447"/>
      <c r="L27" s="447"/>
      <c r="M27" s="447"/>
      <c r="N27" s="447"/>
      <c r="O27" s="447"/>
      <c r="P27" s="471"/>
      <c r="Q27" s="448"/>
    </row>
    <row r="28" spans="1:17" ht="14.4" customHeight="1" x14ac:dyDescent="0.3">
      <c r="A28" s="443" t="s">
        <v>1548</v>
      </c>
      <c r="B28" s="444" t="s">
        <v>1549</v>
      </c>
      <c r="C28" s="444" t="s">
        <v>1112</v>
      </c>
      <c r="D28" s="444" t="s">
        <v>1574</v>
      </c>
      <c r="E28" s="444" t="s">
        <v>1575</v>
      </c>
      <c r="F28" s="447">
        <v>1</v>
      </c>
      <c r="G28" s="447">
        <v>60</v>
      </c>
      <c r="H28" s="447">
        <v>1</v>
      </c>
      <c r="I28" s="447">
        <v>60</v>
      </c>
      <c r="J28" s="447"/>
      <c r="K28" s="447"/>
      <c r="L28" s="447"/>
      <c r="M28" s="447"/>
      <c r="N28" s="447"/>
      <c r="O28" s="447"/>
      <c r="P28" s="471"/>
      <c r="Q28" s="448"/>
    </row>
    <row r="29" spans="1:17" ht="14.4" customHeight="1" x14ac:dyDescent="0.3">
      <c r="A29" s="443" t="s">
        <v>1548</v>
      </c>
      <c r="B29" s="444" t="s">
        <v>1549</v>
      </c>
      <c r="C29" s="444" t="s">
        <v>1112</v>
      </c>
      <c r="D29" s="444" t="s">
        <v>1576</v>
      </c>
      <c r="E29" s="444" t="s">
        <v>1577</v>
      </c>
      <c r="F29" s="447">
        <v>2</v>
      </c>
      <c r="G29" s="447">
        <v>1700</v>
      </c>
      <c r="H29" s="447">
        <v>1</v>
      </c>
      <c r="I29" s="447">
        <v>850</v>
      </c>
      <c r="J29" s="447"/>
      <c r="K29" s="447"/>
      <c r="L29" s="447"/>
      <c r="M29" s="447"/>
      <c r="N29" s="447"/>
      <c r="O29" s="447"/>
      <c r="P29" s="471"/>
      <c r="Q29" s="448"/>
    </row>
    <row r="30" spans="1:17" ht="14.4" customHeight="1" x14ac:dyDescent="0.3">
      <c r="A30" s="443" t="s">
        <v>1548</v>
      </c>
      <c r="B30" s="444" t="s">
        <v>1549</v>
      </c>
      <c r="C30" s="444" t="s">
        <v>1112</v>
      </c>
      <c r="D30" s="444" t="s">
        <v>1578</v>
      </c>
      <c r="E30" s="444" t="s">
        <v>1579</v>
      </c>
      <c r="F30" s="447">
        <v>26</v>
      </c>
      <c r="G30" s="447">
        <v>754</v>
      </c>
      <c r="H30" s="447">
        <v>1</v>
      </c>
      <c r="I30" s="447">
        <v>29</v>
      </c>
      <c r="J30" s="447"/>
      <c r="K30" s="447"/>
      <c r="L30" s="447"/>
      <c r="M30" s="447"/>
      <c r="N30" s="447"/>
      <c r="O30" s="447"/>
      <c r="P30" s="471"/>
      <c r="Q30" s="448"/>
    </row>
    <row r="31" spans="1:17" ht="14.4" customHeight="1" x14ac:dyDescent="0.3">
      <c r="A31" s="443" t="s">
        <v>1548</v>
      </c>
      <c r="B31" s="444" t="s">
        <v>1549</v>
      </c>
      <c r="C31" s="444" t="s">
        <v>1112</v>
      </c>
      <c r="D31" s="444" t="s">
        <v>1580</v>
      </c>
      <c r="E31" s="444" t="s">
        <v>1581</v>
      </c>
      <c r="F31" s="447">
        <v>1</v>
      </c>
      <c r="G31" s="447">
        <v>50</v>
      </c>
      <c r="H31" s="447">
        <v>1</v>
      </c>
      <c r="I31" s="447">
        <v>50</v>
      </c>
      <c r="J31" s="447"/>
      <c r="K31" s="447"/>
      <c r="L31" s="447"/>
      <c r="M31" s="447"/>
      <c r="N31" s="447"/>
      <c r="O31" s="447"/>
      <c r="P31" s="471"/>
      <c r="Q31" s="448"/>
    </row>
    <row r="32" spans="1:17" ht="14.4" customHeight="1" x14ac:dyDescent="0.3">
      <c r="A32" s="443" t="s">
        <v>1548</v>
      </c>
      <c r="B32" s="444" t="s">
        <v>1549</v>
      </c>
      <c r="C32" s="444" t="s">
        <v>1112</v>
      </c>
      <c r="D32" s="444" t="s">
        <v>1582</v>
      </c>
      <c r="E32" s="444" t="s">
        <v>1583</v>
      </c>
      <c r="F32" s="447">
        <v>2</v>
      </c>
      <c r="G32" s="447">
        <v>24</v>
      </c>
      <c r="H32" s="447">
        <v>1</v>
      </c>
      <c r="I32" s="447">
        <v>12</v>
      </c>
      <c r="J32" s="447"/>
      <c r="K32" s="447"/>
      <c r="L32" s="447"/>
      <c r="M32" s="447"/>
      <c r="N32" s="447"/>
      <c r="O32" s="447"/>
      <c r="P32" s="471"/>
      <c r="Q32" s="448"/>
    </row>
    <row r="33" spans="1:17" ht="14.4" customHeight="1" x14ac:dyDescent="0.3">
      <c r="A33" s="443" t="s">
        <v>1548</v>
      </c>
      <c r="B33" s="444" t="s">
        <v>1549</v>
      </c>
      <c r="C33" s="444" t="s">
        <v>1112</v>
      </c>
      <c r="D33" s="444" t="s">
        <v>1584</v>
      </c>
      <c r="E33" s="444" t="s">
        <v>1585</v>
      </c>
      <c r="F33" s="447">
        <v>1</v>
      </c>
      <c r="G33" s="447">
        <v>71</v>
      </c>
      <c r="H33" s="447">
        <v>1</v>
      </c>
      <c r="I33" s="447">
        <v>71</v>
      </c>
      <c r="J33" s="447"/>
      <c r="K33" s="447"/>
      <c r="L33" s="447"/>
      <c r="M33" s="447"/>
      <c r="N33" s="447"/>
      <c r="O33" s="447"/>
      <c r="P33" s="471"/>
      <c r="Q33" s="448"/>
    </row>
    <row r="34" spans="1:17" ht="14.4" customHeight="1" x14ac:dyDescent="0.3">
      <c r="A34" s="443" t="s">
        <v>1548</v>
      </c>
      <c r="B34" s="444" t="s">
        <v>1549</v>
      </c>
      <c r="C34" s="444" t="s">
        <v>1112</v>
      </c>
      <c r="D34" s="444" t="s">
        <v>1586</v>
      </c>
      <c r="E34" s="444" t="s">
        <v>1587</v>
      </c>
      <c r="F34" s="447">
        <v>19</v>
      </c>
      <c r="G34" s="447">
        <v>2793</v>
      </c>
      <c r="H34" s="447">
        <v>1</v>
      </c>
      <c r="I34" s="447">
        <v>147</v>
      </c>
      <c r="J34" s="447"/>
      <c r="K34" s="447"/>
      <c r="L34" s="447"/>
      <c r="M34" s="447"/>
      <c r="N34" s="447"/>
      <c r="O34" s="447"/>
      <c r="P34" s="471"/>
      <c r="Q34" s="448"/>
    </row>
    <row r="35" spans="1:17" ht="14.4" customHeight="1" x14ac:dyDescent="0.3">
      <c r="A35" s="443" t="s">
        <v>1548</v>
      </c>
      <c r="B35" s="444" t="s">
        <v>1549</v>
      </c>
      <c r="C35" s="444" t="s">
        <v>1112</v>
      </c>
      <c r="D35" s="444" t="s">
        <v>1588</v>
      </c>
      <c r="E35" s="444" t="s">
        <v>1589</v>
      </c>
      <c r="F35" s="447">
        <v>26</v>
      </c>
      <c r="G35" s="447">
        <v>754</v>
      </c>
      <c r="H35" s="447">
        <v>1</v>
      </c>
      <c r="I35" s="447">
        <v>29</v>
      </c>
      <c r="J35" s="447"/>
      <c r="K35" s="447"/>
      <c r="L35" s="447"/>
      <c r="M35" s="447"/>
      <c r="N35" s="447"/>
      <c r="O35" s="447"/>
      <c r="P35" s="471"/>
      <c r="Q35" s="448"/>
    </row>
    <row r="36" spans="1:17" ht="14.4" customHeight="1" x14ac:dyDescent="0.3">
      <c r="A36" s="443" t="s">
        <v>1548</v>
      </c>
      <c r="B36" s="444" t="s">
        <v>1549</v>
      </c>
      <c r="C36" s="444" t="s">
        <v>1112</v>
      </c>
      <c r="D36" s="444" t="s">
        <v>1590</v>
      </c>
      <c r="E36" s="444" t="s">
        <v>1591</v>
      </c>
      <c r="F36" s="447">
        <v>3</v>
      </c>
      <c r="G36" s="447">
        <v>93</v>
      </c>
      <c r="H36" s="447">
        <v>1</v>
      </c>
      <c r="I36" s="447">
        <v>31</v>
      </c>
      <c r="J36" s="447"/>
      <c r="K36" s="447"/>
      <c r="L36" s="447"/>
      <c r="M36" s="447"/>
      <c r="N36" s="447"/>
      <c r="O36" s="447"/>
      <c r="P36" s="471"/>
      <c r="Q36" s="448"/>
    </row>
    <row r="37" spans="1:17" ht="14.4" customHeight="1" x14ac:dyDescent="0.3">
      <c r="A37" s="443" t="s">
        <v>1548</v>
      </c>
      <c r="B37" s="444" t="s">
        <v>1549</v>
      </c>
      <c r="C37" s="444" t="s">
        <v>1112</v>
      </c>
      <c r="D37" s="444" t="s">
        <v>1592</v>
      </c>
      <c r="E37" s="444" t="s">
        <v>1593</v>
      </c>
      <c r="F37" s="447">
        <v>14</v>
      </c>
      <c r="G37" s="447">
        <v>378</v>
      </c>
      <c r="H37" s="447">
        <v>1</v>
      </c>
      <c r="I37" s="447">
        <v>27</v>
      </c>
      <c r="J37" s="447"/>
      <c r="K37" s="447"/>
      <c r="L37" s="447"/>
      <c r="M37" s="447"/>
      <c r="N37" s="447"/>
      <c r="O37" s="447"/>
      <c r="P37" s="471"/>
      <c r="Q37" s="448"/>
    </row>
    <row r="38" spans="1:17" ht="14.4" customHeight="1" x14ac:dyDescent="0.3">
      <c r="A38" s="443" t="s">
        <v>1548</v>
      </c>
      <c r="B38" s="444" t="s">
        <v>1549</v>
      </c>
      <c r="C38" s="444" t="s">
        <v>1112</v>
      </c>
      <c r="D38" s="444" t="s">
        <v>1594</v>
      </c>
      <c r="E38" s="444" t="s">
        <v>1595</v>
      </c>
      <c r="F38" s="447">
        <v>17</v>
      </c>
      <c r="G38" s="447">
        <v>425</v>
      </c>
      <c r="H38" s="447">
        <v>1</v>
      </c>
      <c r="I38" s="447">
        <v>25</v>
      </c>
      <c r="J38" s="447"/>
      <c r="K38" s="447"/>
      <c r="L38" s="447"/>
      <c r="M38" s="447"/>
      <c r="N38" s="447"/>
      <c r="O38" s="447"/>
      <c r="P38" s="471"/>
      <c r="Q38" s="448"/>
    </row>
    <row r="39" spans="1:17" ht="14.4" customHeight="1" x14ac:dyDescent="0.3">
      <c r="A39" s="443" t="s">
        <v>1548</v>
      </c>
      <c r="B39" s="444" t="s">
        <v>1549</v>
      </c>
      <c r="C39" s="444" t="s">
        <v>1112</v>
      </c>
      <c r="D39" s="444" t="s">
        <v>1596</v>
      </c>
      <c r="E39" s="444" t="s">
        <v>1597</v>
      </c>
      <c r="F39" s="447">
        <v>1</v>
      </c>
      <c r="G39" s="447">
        <v>33</v>
      </c>
      <c r="H39" s="447">
        <v>1</v>
      </c>
      <c r="I39" s="447">
        <v>33</v>
      </c>
      <c r="J39" s="447"/>
      <c r="K39" s="447"/>
      <c r="L39" s="447"/>
      <c r="M39" s="447"/>
      <c r="N39" s="447"/>
      <c r="O39" s="447"/>
      <c r="P39" s="471"/>
      <c r="Q39" s="448"/>
    </row>
    <row r="40" spans="1:17" ht="14.4" customHeight="1" x14ac:dyDescent="0.3">
      <c r="A40" s="443" t="s">
        <v>1548</v>
      </c>
      <c r="B40" s="444" t="s">
        <v>1549</v>
      </c>
      <c r="C40" s="444" t="s">
        <v>1112</v>
      </c>
      <c r="D40" s="444" t="s">
        <v>1598</v>
      </c>
      <c r="E40" s="444" t="s">
        <v>1599</v>
      </c>
      <c r="F40" s="447">
        <v>2</v>
      </c>
      <c r="G40" s="447">
        <v>52</v>
      </c>
      <c r="H40" s="447">
        <v>1</v>
      </c>
      <c r="I40" s="447">
        <v>26</v>
      </c>
      <c r="J40" s="447"/>
      <c r="K40" s="447"/>
      <c r="L40" s="447"/>
      <c r="M40" s="447"/>
      <c r="N40" s="447"/>
      <c r="O40" s="447"/>
      <c r="P40" s="471"/>
      <c r="Q40" s="448"/>
    </row>
    <row r="41" spans="1:17" ht="14.4" customHeight="1" x14ac:dyDescent="0.3">
      <c r="A41" s="443" t="s">
        <v>1548</v>
      </c>
      <c r="B41" s="444" t="s">
        <v>1549</v>
      </c>
      <c r="C41" s="444" t="s">
        <v>1112</v>
      </c>
      <c r="D41" s="444" t="s">
        <v>1600</v>
      </c>
      <c r="E41" s="444" t="s">
        <v>1601</v>
      </c>
      <c r="F41" s="447">
        <v>2</v>
      </c>
      <c r="G41" s="447">
        <v>30</v>
      </c>
      <c r="H41" s="447">
        <v>1</v>
      </c>
      <c r="I41" s="447">
        <v>15</v>
      </c>
      <c r="J41" s="447"/>
      <c r="K41" s="447"/>
      <c r="L41" s="447"/>
      <c r="M41" s="447"/>
      <c r="N41" s="447"/>
      <c r="O41" s="447"/>
      <c r="P41" s="471"/>
      <c r="Q41" s="448"/>
    </row>
    <row r="42" spans="1:17" ht="14.4" customHeight="1" x14ac:dyDescent="0.3">
      <c r="A42" s="443" t="s">
        <v>1548</v>
      </c>
      <c r="B42" s="444" t="s">
        <v>1549</v>
      </c>
      <c r="C42" s="444" t="s">
        <v>1112</v>
      </c>
      <c r="D42" s="444" t="s">
        <v>1602</v>
      </c>
      <c r="E42" s="444" t="s">
        <v>1603</v>
      </c>
      <c r="F42" s="447">
        <v>3</v>
      </c>
      <c r="G42" s="447">
        <v>69</v>
      </c>
      <c r="H42" s="447">
        <v>1</v>
      </c>
      <c r="I42" s="447">
        <v>23</v>
      </c>
      <c r="J42" s="447"/>
      <c r="K42" s="447"/>
      <c r="L42" s="447"/>
      <c r="M42" s="447"/>
      <c r="N42" s="447"/>
      <c r="O42" s="447"/>
      <c r="P42" s="471"/>
      <c r="Q42" s="448"/>
    </row>
    <row r="43" spans="1:17" ht="14.4" customHeight="1" x14ac:dyDescent="0.3">
      <c r="A43" s="443" t="s">
        <v>1548</v>
      </c>
      <c r="B43" s="444" t="s">
        <v>1549</v>
      </c>
      <c r="C43" s="444" t="s">
        <v>1112</v>
      </c>
      <c r="D43" s="444" t="s">
        <v>1604</v>
      </c>
      <c r="E43" s="444" t="s">
        <v>1605</v>
      </c>
      <c r="F43" s="447">
        <v>15</v>
      </c>
      <c r="G43" s="447">
        <v>345</v>
      </c>
      <c r="H43" s="447">
        <v>1</v>
      </c>
      <c r="I43" s="447">
        <v>23</v>
      </c>
      <c r="J43" s="447"/>
      <c r="K43" s="447"/>
      <c r="L43" s="447"/>
      <c r="M43" s="447"/>
      <c r="N43" s="447"/>
      <c r="O43" s="447"/>
      <c r="P43" s="471"/>
      <c r="Q43" s="448"/>
    </row>
    <row r="44" spans="1:17" ht="14.4" customHeight="1" x14ac:dyDescent="0.3">
      <c r="A44" s="443" t="s">
        <v>1548</v>
      </c>
      <c r="B44" s="444" t="s">
        <v>1549</v>
      </c>
      <c r="C44" s="444" t="s">
        <v>1112</v>
      </c>
      <c r="D44" s="444" t="s">
        <v>1606</v>
      </c>
      <c r="E44" s="444" t="s">
        <v>1607</v>
      </c>
      <c r="F44" s="447">
        <v>6</v>
      </c>
      <c r="G44" s="447">
        <v>174</v>
      </c>
      <c r="H44" s="447">
        <v>1</v>
      </c>
      <c r="I44" s="447">
        <v>29</v>
      </c>
      <c r="J44" s="447"/>
      <c r="K44" s="447"/>
      <c r="L44" s="447"/>
      <c r="M44" s="447"/>
      <c r="N44" s="447"/>
      <c r="O44" s="447"/>
      <c r="P44" s="471"/>
      <c r="Q44" s="448"/>
    </row>
    <row r="45" spans="1:17" ht="14.4" customHeight="1" x14ac:dyDescent="0.3">
      <c r="A45" s="443" t="s">
        <v>1548</v>
      </c>
      <c r="B45" s="444" t="s">
        <v>1549</v>
      </c>
      <c r="C45" s="444" t="s">
        <v>1112</v>
      </c>
      <c r="D45" s="444" t="s">
        <v>1608</v>
      </c>
      <c r="E45" s="444" t="s">
        <v>1609</v>
      </c>
      <c r="F45" s="447">
        <v>2</v>
      </c>
      <c r="G45" s="447">
        <v>30</v>
      </c>
      <c r="H45" s="447">
        <v>1</v>
      </c>
      <c r="I45" s="447">
        <v>15</v>
      </c>
      <c r="J45" s="447"/>
      <c r="K45" s="447"/>
      <c r="L45" s="447"/>
      <c r="M45" s="447"/>
      <c r="N45" s="447"/>
      <c r="O45" s="447"/>
      <c r="P45" s="471"/>
      <c r="Q45" s="448"/>
    </row>
    <row r="46" spans="1:17" ht="14.4" customHeight="1" x14ac:dyDescent="0.3">
      <c r="A46" s="443" t="s">
        <v>1548</v>
      </c>
      <c r="B46" s="444" t="s">
        <v>1549</v>
      </c>
      <c r="C46" s="444" t="s">
        <v>1112</v>
      </c>
      <c r="D46" s="444" t="s">
        <v>1610</v>
      </c>
      <c r="E46" s="444" t="s">
        <v>1611</v>
      </c>
      <c r="F46" s="447">
        <v>5</v>
      </c>
      <c r="G46" s="447">
        <v>95</v>
      </c>
      <c r="H46" s="447">
        <v>1</v>
      </c>
      <c r="I46" s="447">
        <v>19</v>
      </c>
      <c r="J46" s="447"/>
      <c r="K46" s="447"/>
      <c r="L46" s="447"/>
      <c r="M46" s="447"/>
      <c r="N46" s="447"/>
      <c r="O46" s="447"/>
      <c r="P46" s="471"/>
      <c r="Q46" s="448"/>
    </row>
    <row r="47" spans="1:17" ht="14.4" customHeight="1" x14ac:dyDescent="0.3">
      <c r="A47" s="443" t="s">
        <v>1548</v>
      </c>
      <c r="B47" s="444" t="s">
        <v>1549</v>
      </c>
      <c r="C47" s="444" t="s">
        <v>1112</v>
      </c>
      <c r="D47" s="444" t="s">
        <v>1612</v>
      </c>
      <c r="E47" s="444" t="s">
        <v>1613</v>
      </c>
      <c r="F47" s="447">
        <v>15</v>
      </c>
      <c r="G47" s="447">
        <v>300</v>
      </c>
      <c r="H47" s="447">
        <v>1</v>
      </c>
      <c r="I47" s="447">
        <v>20</v>
      </c>
      <c r="J47" s="447"/>
      <c r="K47" s="447"/>
      <c r="L47" s="447"/>
      <c r="M47" s="447"/>
      <c r="N47" s="447"/>
      <c r="O47" s="447"/>
      <c r="P47" s="471"/>
      <c r="Q47" s="448"/>
    </row>
    <row r="48" spans="1:17" ht="14.4" customHeight="1" x14ac:dyDescent="0.3">
      <c r="A48" s="443" t="s">
        <v>1548</v>
      </c>
      <c r="B48" s="444" t="s">
        <v>1549</v>
      </c>
      <c r="C48" s="444" t="s">
        <v>1112</v>
      </c>
      <c r="D48" s="444" t="s">
        <v>1614</v>
      </c>
      <c r="E48" s="444" t="s">
        <v>1615</v>
      </c>
      <c r="F48" s="447">
        <v>4</v>
      </c>
      <c r="G48" s="447">
        <v>88</v>
      </c>
      <c r="H48" s="447">
        <v>1</v>
      </c>
      <c r="I48" s="447">
        <v>22</v>
      </c>
      <c r="J48" s="447"/>
      <c r="K48" s="447"/>
      <c r="L48" s="447"/>
      <c r="M48" s="447"/>
      <c r="N48" s="447"/>
      <c r="O48" s="447"/>
      <c r="P48" s="471"/>
      <c r="Q48" s="448"/>
    </row>
    <row r="49" spans="1:17" ht="14.4" customHeight="1" x14ac:dyDescent="0.3">
      <c r="A49" s="443" t="s">
        <v>1548</v>
      </c>
      <c r="B49" s="444" t="s">
        <v>1549</v>
      </c>
      <c r="C49" s="444" t="s">
        <v>1112</v>
      </c>
      <c r="D49" s="444" t="s">
        <v>1616</v>
      </c>
      <c r="E49" s="444" t="s">
        <v>1617</v>
      </c>
      <c r="F49" s="447">
        <v>1</v>
      </c>
      <c r="G49" s="447">
        <v>166</v>
      </c>
      <c r="H49" s="447">
        <v>1</v>
      </c>
      <c r="I49" s="447">
        <v>166</v>
      </c>
      <c r="J49" s="447"/>
      <c r="K49" s="447"/>
      <c r="L49" s="447"/>
      <c r="M49" s="447"/>
      <c r="N49" s="447"/>
      <c r="O49" s="447"/>
      <c r="P49" s="471"/>
      <c r="Q49" s="448"/>
    </row>
    <row r="50" spans="1:17" ht="14.4" customHeight="1" x14ac:dyDescent="0.3">
      <c r="A50" s="443" t="s">
        <v>1548</v>
      </c>
      <c r="B50" s="444" t="s">
        <v>1549</v>
      </c>
      <c r="C50" s="444" t="s">
        <v>1112</v>
      </c>
      <c r="D50" s="444" t="s">
        <v>1618</v>
      </c>
      <c r="E50" s="444" t="s">
        <v>1619</v>
      </c>
      <c r="F50" s="447">
        <v>1</v>
      </c>
      <c r="G50" s="447">
        <v>127</v>
      </c>
      <c r="H50" s="447">
        <v>1</v>
      </c>
      <c r="I50" s="447">
        <v>127</v>
      </c>
      <c r="J50" s="447"/>
      <c r="K50" s="447"/>
      <c r="L50" s="447"/>
      <c r="M50" s="447"/>
      <c r="N50" s="447"/>
      <c r="O50" s="447"/>
      <c r="P50" s="471"/>
      <c r="Q50" s="448"/>
    </row>
    <row r="51" spans="1:17" ht="14.4" customHeight="1" x14ac:dyDescent="0.3">
      <c r="A51" s="443" t="s">
        <v>1548</v>
      </c>
      <c r="B51" s="444" t="s">
        <v>1549</v>
      </c>
      <c r="C51" s="444" t="s">
        <v>1112</v>
      </c>
      <c r="D51" s="444" t="s">
        <v>1620</v>
      </c>
      <c r="E51" s="444" t="s">
        <v>1621</v>
      </c>
      <c r="F51" s="447">
        <v>3</v>
      </c>
      <c r="G51" s="447">
        <v>69</v>
      </c>
      <c r="H51" s="447">
        <v>1</v>
      </c>
      <c r="I51" s="447">
        <v>23</v>
      </c>
      <c r="J51" s="447"/>
      <c r="K51" s="447"/>
      <c r="L51" s="447"/>
      <c r="M51" s="447"/>
      <c r="N51" s="447"/>
      <c r="O51" s="447"/>
      <c r="P51" s="471"/>
      <c r="Q51" s="448"/>
    </row>
    <row r="52" spans="1:17" ht="14.4" customHeight="1" x14ac:dyDescent="0.3">
      <c r="A52" s="443" t="s">
        <v>1548</v>
      </c>
      <c r="B52" s="444" t="s">
        <v>1549</v>
      </c>
      <c r="C52" s="444" t="s">
        <v>1112</v>
      </c>
      <c r="D52" s="444" t="s">
        <v>1622</v>
      </c>
      <c r="E52" s="444" t="s">
        <v>1623</v>
      </c>
      <c r="F52" s="447">
        <v>1</v>
      </c>
      <c r="G52" s="447">
        <v>45</v>
      </c>
      <c r="H52" s="447">
        <v>1</v>
      </c>
      <c r="I52" s="447">
        <v>45</v>
      </c>
      <c r="J52" s="447"/>
      <c r="K52" s="447"/>
      <c r="L52" s="447"/>
      <c r="M52" s="447"/>
      <c r="N52" s="447"/>
      <c r="O52" s="447"/>
      <c r="P52" s="471"/>
      <c r="Q52" s="448"/>
    </row>
    <row r="53" spans="1:17" ht="14.4" customHeight="1" x14ac:dyDescent="0.3">
      <c r="A53" s="443" t="s">
        <v>1624</v>
      </c>
      <c r="B53" s="444" t="s">
        <v>1625</v>
      </c>
      <c r="C53" s="444" t="s">
        <v>1092</v>
      </c>
      <c r="D53" s="444" t="s">
        <v>1626</v>
      </c>
      <c r="E53" s="444" t="s">
        <v>1627</v>
      </c>
      <c r="F53" s="447">
        <v>0.06</v>
      </c>
      <c r="G53" s="447">
        <v>649.59</v>
      </c>
      <c r="H53" s="447">
        <v>1</v>
      </c>
      <c r="I53" s="447">
        <v>10826.500000000002</v>
      </c>
      <c r="J53" s="447"/>
      <c r="K53" s="447"/>
      <c r="L53" s="447"/>
      <c r="M53" s="447"/>
      <c r="N53" s="447"/>
      <c r="O53" s="447"/>
      <c r="P53" s="471"/>
      <c r="Q53" s="448"/>
    </row>
    <row r="54" spans="1:17" ht="14.4" customHeight="1" x14ac:dyDescent="0.3">
      <c r="A54" s="443" t="s">
        <v>1624</v>
      </c>
      <c r="B54" s="444" t="s">
        <v>1625</v>
      </c>
      <c r="C54" s="444" t="s">
        <v>1112</v>
      </c>
      <c r="D54" s="444" t="s">
        <v>1628</v>
      </c>
      <c r="E54" s="444" t="s">
        <v>1629</v>
      </c>
      <c r="F54" s="447">
        <v>2</v>
      </c>
      <c r="G54" s="447">
        <v>432</v>
      </c>
      <c r="H54" s="447">
        <v>1</v>
      </c>
      <c r="I54" s="447">
        <v>216</v>
      </c>
      <c r="J54" s="447"/>
      <c r="K54" s="447"/>
      <c r="L54" s="447"/>
      <c r="M54" s="447"/>
      <c r="N54" s="447"/>
      <c r="O54" s="447"/>
      <c r="P54" s="471"/>
      <c r="Q54" s="448"/>
    </row>
    <row r="55" spans="1:17" ht="14.4" customHeight="1" x14ac:dyDescent="0.3">
      <c r="A55" s="443" t="s">
        <v>1624</v>
      </c>
      <c r="B55" s="444" t="s">
        <v>1625</v>
      </c>
      <c r="C55" s="444" t="s">
        <v>1112</v>
      </c>
      <c r="D55" s="444" t="s">
        <v>1630</v>
      </c>
      <c r="E55" s="444" t="s">
        <v>1631</v>
      </c>
      <c r="F55" s="447">
        <v>1</v>
      </c>
      <c r="G55" s="447">
        <v>738</v>
      </c>
      <c r="H55" s="447">
        <v>1</v>
      </c>
      <c r="I55" s="447">
        <v>738</v>
      </c>
      <c r="J55" s="447"/>
      <c r="K55" s="447"/>
      <c r="L55" s="447"/>
      <c r="M55" s="447"/>
      <c r="N55" s="447"/>
      <c r="O55" s="447"/>
      <c r="P55" s="471"/>
      <c r="Q55" s="448"/>
    </row>
    <row r="56" spans="1:17" ht="14.4" customHeight="1" x14ac:dyDescent="0.3">
      <c r="A56" s="443" t="s">
        <v>1624</v>
      </c>
      <c r="B56" s="444" t="s">
        <v>1625</v>
      </c>
      <c r="C56" s="444" t="s">
        <v>1112</v>
      </c>
      <c r="D56" s="444" t="s">
        <v>1632</v>
      </c>
      <c r="E56" s="444" t="s">
        <v>1633</v>
      </c>
      <c r="F56" s="447">
        <v>14</v>
      </c>
      <c r="G56" s="447">
        <v>2408</v>
      </c>
      <c r="H56" s="447">
        <v>1</v>
      </c>
      <c r="I56" s="447">
        <v>172</v>
      </c>
      <c r="J56" s="447"/>
      <c r="K56" s="447"/>
      <c r="L56" s="447"/>
      <c r="M56" s="447"/>
      <c r="N56" s="447"/>
      <c r="O56" s="447"/>
      <c r="P56" s="471"/>
      <c r="Q56" s="448"/>
    </row>
    <row r="57" spans="1:17" ht="14.4" customHeight="1" x14ac:dyDescent="0.3">
      <c r="A57" s="443" t="s">
        <v>1624</v>
      </c>
      <c r="B57" s="444" t="s">
        <v>1625</v>
      </c>
      <c r="C57" s="444" t="s">
        <v>1112</v>
      </c>
      <c r="D57" s="444" t="s">
        <v>1634</v>
      </c>
      <c r="E57" s="444" t="s">
        <v>1635</v>
      </c>
      <c r="F57" s="447">
        <v>1</v>
      </c>
      <c r="G57" s="447">
        <v>1994</v>
      </c>
      <c r="H57" s="447">
        <v>1</v>
      </c>
      <c r="I57" s="447">
        <v>1994</v>
      </c>
      <c r="J57" s="447"/>
      <c r="K57" s="447"/>
      <c r="L57" s="447"/>
      <c r="M57" s="447"/>
      <c r="N57" s="447"/>
      <c r="O57" s="447"/>
      <c r="P57" s="471"/>
      <c r="Q57" s="448"/>
    </row>
    <row r="58" spans="1:17" ht="14.4" customHeight="1" x14ac:dyDescent="0.3">
      <c r="A58" s="443" t="s">
        <v>1624</v>
      </c>
      <c r="B58" s="444" t="s">
        <v>1625</v>
      </c>
      <c r="C58" s="444" t="s">
        <v>1112</v>
      </c>
      <c r="D58" s="444" t="s">
        <v>1636</v>
      </c>
      <c r="E58" s="444" t="s">
        <v>1637</v>
      </c>
      <c r="F58" s="447">
        <v>10</v>
      </c>
      <c r="G58" s="447">
        <v>1490</v>
      </c>
      <c r="H58" s="447">
        <v>1</v>
      </c>
      <c r="I58" s="447">
        <v>149</v>
      </c>
      <c r="J58" s="447"/>
      <c r="K58" s="447"/>
      <c r="L58" s="447"/>
      <c r="M58" s="447"/>
      <c r="N58" s="447"/>
      <c r="O58" s="447"/>
      <c r="P58" s="471"/>
      <c r="Q58" s="448"/>
    </row>
    <row r="59" spans="1:17" ht="14.4" customHeight="1" x14ac:dyDescent="0.3">
      <c r="A59" s="443" t="s">
        <v>1624</v>
      </c>
      <c r="B59" s="444" t="s">
        <v>1625</v>
      </c>
      <c r="C59" s="444" t="s">
        <v>1112</v>
      </c>
      <c r="D59" s="444" t="s">
        <v>1638</v>
      </c>
      <c r="E59" s="444" t="s">
        <v>1639</v>
      </c>
      <c r="F59" s="447">
        <v>2</v>
      </c>
      <c r="G59" s="447">
        <v>394</v>
      </c>
      <c r="H59" s="447">
        <v>1</v>
      </c>
      <c r="I59" s="447">
        <v>197</v>
      </c>
      <c r="J59" s="447"/>
      <c r="K59" s="447"/>
      <c r="L59" s="447"/>
      <c r="M59" s="447"/>
      <c r="N59" s="447"/>
      <c r="O59" s="447"/>
      <c r="P59" s="471"/>
      <c r="Q59" s="448"/>
    </row>
    <row r="60" spans="1:17" ht="14.4" customHeight="1" x14ac:dyDescent="0.3">
      <c r="A60" s="443" t="s">
        <v>1624</v>
      </c>
      <c r="B60" s="444" t="s">
        <v>1625</v>
      </c>
      <c r="C60" s="444" t="s">
        <v>1112</v>
      </c>
      <c r="D60" s="444" t="s">
        <v>1640</v>
      </c>
      <c r="E60" s="444" t="s">
        <v>1641</v>
      </c>
      <c r="F60" s="447">
        <v>1</v>
      </c>
      <c r="G60" s="447">
        <v>2116</v>
      </c>
      <c r="H60" s="447">
        <v>1</v>
      </c>
      <c r="I60" s="447">
        <v>2116</v>
      </c>
      <c r="J60" s="447"/>
      <c r="K60" s="447"/>
      <c r="L60" s="447"/>
      <c r="M60" s="447"/>
      <c r="N60" s="447"/>
      <c r="O60" s="447"/>
      <c r="P60" s="471"/>
      <c r="Q60" s="448"/>
    </row>
    <row r="61" spans="1:17" ht="14.4" customHeight="1" x14ac:dyDescent="0.3">
      <c r="A61" s="443" t="s">
        <v>1642</v>
      </c>
      <c r="B61" s="444" t="s">
        <v>1643</v>
      </c>
      <c r="C61" s="444" t="s">
        <v>1112</v>
      </c>
      <c r="D61" s="444" t="s">
        <v>1644</v>
      </c>
      <c r="E61" s="444" t="s">
        <v>1645</v>
      </c>
      <c r="F61" s="447">
        <v>11</v>
      </c>
      <c r="G61" s="447">
        <v>2222</v>
      </c>
      <c r="H61" s="447">
        <v>1</v>
      </c>
      <c r="I61" s="447">
        <v>202</v>
      </c>
      <c r="J61" s="447"/>
      <c r="K61" s="447"/>
      <c r="L61" s="447"/>
      <c r="M61" s="447"/>
      <c r="N61" s="447"/>
      <c r="O61" s="447"/>
      <c r="P61" s="471"/>
      <c r="Q61" s="448"/>
    </row>
    <row r="62" spans="1:17" ht="14.4" customHeight="1" x14ac:dyDescent="0.3">
      <c r="A62" s="443" t="s">
        <v>1642</v>
      </c>
      <c r="B62" s="444" t="s">
        <v>1643</v>
      </c>
      <c r="C62" s="444" t="s">
        <v>1112</v>
      </c>
      <c r="D62" s="444" t="s">
        <v>1646</v>
      </c>
      <c r="E62" s="444" t="s">
        <v>1647</v>
      </c>
      <c r="F62" s="447">
        <v>6</v>
      </c>
      <c r="G62" s="447">
        <v>1746</v>
      </c>
      <c r="H62" s="447">
        <v>1</v>
      </c>
      <c r="I62" s="447">
        <v>291</v>
      </c>
      <c r="J62" s="447"/>
      <c r="K62" s="447"/>
      <c r="L62" s="447"/>
      <c r="M62" s="447"/>
      <c r="N62" s="447"/>
      <c r="O62" s="447"/>
      <c r="P62" s="471"/>
      <c r="Q62" s="448"/>
    </row>
    <row r="63" spans="1:17" ht="14.4" customHeight="1" x14ac:dyDescent="0.3">
      <c r="A63" s="443" t="s">
        <v>1642</v>
      </c>
      <c r="B63" s="444" t="s">
        <v>1643</v>
      </c>
      <c r="C63" s="444" t="s">
        <v>1112</v>
      </c>
      <c r="D63" s="444" t="s">
        <v>1648</v>
      </c>
      <c r="E63" s="444" t="s">
        <v>1649</v>
      </c>
      <c r="F63" s="447">
        <v>6</v>
      </c>
      <c r="G63" s="447">
        <v>798</v>
      </c>
      <c r="H63" s="447">
        <v>1</v>
      </c>
      <c r="I63" s="447">
        <v>133</v>
      </c>
      <c r="J63" s="447"/>
      <c r="K63" s="447"/>
      <c r="L63" s="447"/>
      <c r="M63" s="447"/>
      <c r="N63" s="447"/>
      <c r="O63" s="447"/>
      <c r="P63" s="471"/>
      <c r="Q63" s="448"/>
    </row>
    <row r="64" spans="1:17" ht="14.4" customHeight="1" x14ac:dyDescent="0.3">
      <c r="A64" s="443" t="s">
        <v>1642</v>
      </c>
      <c r="B64" s="444" t="s">
        <v>1643</v>
      </c>
      <c r="C64" s="444" t="s">
        <v>1112</v>
      </c>
      <c r="D64" s="444" t="s">
        <v>1650</v>
      </c>
      <c r="E64" s="444" t="s">
        <v>1651</v>
      </c>
      <c r="F64" s="447">
        <v>1</v>
      </c>
      <c r="G64" s="447">
        <v>609</v>
      </c>
      <c r="H64" s="447">
        <v>1</v>
      </c>
      <c r="I64" s="447">
        <v>609</v>
      </c>
      <c r="J64" s="447"/>
      <c r="K64" s="447"/>
      <c r="L64" s="447"/>
      <c r="M64" s="447"/>
      <c r="N64" s="447"/>
      <c r="O64" s="447"/>
      <c r="P64" s="471"/>
      <c r="Q64" s="448"/>
    </row>
    <row r="65" spans="1:17" ht="14.4" customHeight="1" x14ac:dyDescent="0.3">
      <c r="A65" s="443" t="s">
        <v>1642</v>
      </c>
      <c r="B65" s="444" t="s">
        <v>1643</v>
      </c>
      <c r="C65" s="444" t="s">
        <v>1112</v>
      </c>
      <c r="D65" s="444" t="s">
        <v>1652</v>
      </c>
      <c r="E65" s="444" t="s">
        <v>1653</v>
      </c>
      <c r="F65" s="447">
        <v>1</v>
      </c>
      <c r="G65" s="447">
        <v>158</v>
      </c>
      <c r="H65" s="447">
        <v>1</v>
      </c>
      <c r="I65" s="447">
        <v>158</v>
      </c>
      <c r="J65" s="447"/>
      <c r="K65" s="447"/>
      <c r="L65" s="447"/>
      <c r="M65" s="447"/>
      <c r="N65" s="447"/>
      <c r="O65" s="447"/>
      <c r="P65" s="471"/>
      <c r="Q65" s="448"/>
    </row>
    <row r="66" spans="1:17" ht="14.4" customHeight="1" x14ac:dyDescent="0.3">
      <c r="A66" s="443" t="s">
        <v>1642</v>
      </c>
      <c r="B66" s="444" t="s">
        <v>1643</v>
      </c>
      <c r="C66" s="444" t="s">
        <v>1112</v>
      </c>
      <c r="D66" s="444" t="s">
        <v>1654</v>
      </c>
      <c r="E66" s="444" t="s">
        <v>1655</v>
      </c>
      <c r="F66" s="447">
        <v>1</v>
      </c>
      <c r="G66" s="447">
        <v>261</v>
      </c>
      <c r="H66" s="447">
        <v>1</v>
      </c>
      <c r="I66" s="447">
        <v>261</v>
      </c>
      <c r="J66" s="447"/>
      <c r="K66" s="447"/>
      <c r="L66" s="447"/>
      <c r="M66" s="447"/>
      <c r="N66" s="447"/>
      <c r="O66" s="447"/>
      <c r="P66" s="471"/>
      <c r="Q66" s="448"/>
    </row>
    <row r="67" spans="1:17" ht="14.4" customHeight="1" x14ac:dyDescent="0.3">
      <c r="A67" s="443" t="s">
        <v>1642</v>
      </c>
      <c r="B67" s="444" t="s">
        <v>1643</v>
      </c>
      <c r="C67" s="444" t="s">
        <v>1112</v>
      </c>
      <c r="D67" s="444" t="s">
        <v>1656</v>
      </c>
      <c r="E67" s="444" t="s">
        <v>1657</v>
      </c>
      <c r="F67" s="447">
        <v>1</v>
      </c>
      <c r="G67" s="447">
        <v>140</v>
      </c>
      <c r="H67" s="447">
        <v>1</v>
      </c>
      <c r="I67" s="447">
        <v>140</v>
      </c>
      <c r="J67" s="447"/>
      <c r="K67" s="447"/>
      <c r="L67" s="447"/>
      <c r="M67" s="447"/>
      <c r="N67" s="447"/>
      <c r="O67" s="447"/>
      <c r="P67" s="471"/>
      <c r="Q67" s="448"/>
    </row>
    <row r="68" spans="1:17" ht="14.4" customHeight="1" x14ac:dyDescent="0.3">
      <c r="A68" s="443" t="s">
        <v>1642</v>
      </c>
      <c r="B68" s="444" t="s">
        <v>1643</v>
      </c>
      <c r="C68" s="444" t="s">
        <v>1112</v>
      </c>
      <c r="D68" s="444" t="s">
        <v>1658</v>
      </c>
      <c r="E68" s="444" t="s">
        <v>1657</v>
      </c>
      <c r="F68" s="447">
        <v>6</v>
      </c>
      <c r="G68" s="447">
        <v>468</v>
      </c>
      <c r="H68" s="447">
        <v>1</v>
      </c>
      <c r="I68" s="447">
        <v>78</v>
      </c>
      <c r="J68" s="447"/>
      <c r="K68" s="447"/>
      <c r="L68" s="447"/>
      <c r="M68" s="447"/>
      <c r="N68" s="447"/>
      <c r="O68" s="447"/>
      <c r="P68" s="471"/>
      <c r="Q68" s="448"/>
    </row>
    <row r="69" spans="1:17" ht="14.4" customHeight="1" x14ac:dyDescent="0.3">
      <c r="A69" s="443" t="s">
        <v>1642</v>
      </c>
      <c r="B69" s="444" t="s">
        <v>1643</v>
      </c>
      <c r="C69" s="444" t="s">
        <v>1112</v>
      </c>
      <c r="D69" s="444" t="s">
        <v>1659</v>
      </c>
      <c r="E69" s="444" t="s">
        <v>1660</v>
      </c>
      <c r="F69" s="447">
        <v>1</v>
      </c>
      <c r="G69" s="447">
        <v>302</v>
      </c>
      <c r="H69" s="447">
        <v>1</v>
      </c>
      <c r="I69" s="447">
        <v>302</v>
      </c>
      <c r="J69" s="447"/>
      <c r="K69" s="447"/>
      <c r="L69" s="447"/>
      <c r="M69" s="447"/>
      <c r="N69" s="447"/>
      <c r="O69" s="447"/>
      <c r="P69" s="471"/>
      <c r="Q69" s="448"/>
    </row>
    <row r="70" spans="1:17" ht="14.4" customHeight="1" x14ac:dyDescent="0.3">
      <c r="A70" s="443" t="s">
        <v>1642</v>
      </c>
      <c r="B70" s="444" t="s">
        <v>1643</v>
      </c>
      <c r="C70" s="444" t="s">
        <v>1112</v>
      </c>
      <c r="D70" s="444" t="s">
        <v>1661</v>
      </c>
      <c r="E70" s="444" t="s">
        <v>1662</v>
      </c>
      <c r="F70" s="447">
        <v>7</v>
      </c>
      <c r="G70" s="447">
        <v>1113</v>
      </c>
      <c r="H70" s="447">
        <v>1</v>
      </c>
      <c r="I70" s="447">
        <v>159</v>
      </c>
      <c r="J70" s="447"/>
      <c r="K70" s="447"/>
      <c r="L70" s="447"/>
      <c r="M70" s="447"/>
      <c r="N70" s="447"/>
      <c r="O70" s="447"/>
      <c r="P70" s="471"/>
      <c r="Q70" s="448"/>
    </row>
    <row r="71" spans="1:17" ht="14.4" customHeight="1" x14ac:dyDescent="0.3">
      <c r="A71" s="443" t="s">
        <v>1642</v>
      </c>
      <c r="B71" s="444" t="s">
        <v>1643</v>
      </c>
      <c r="C71" s="444" t="s">
        <v>1112</v>
      </c>
      <c r="D71" s="444" t="s">
        <v>1663</v>
      </c>
      <c r="E71" s="444" t="s">
        <v>1645</v>
      </c>
      <c r="F71" s="447">
        <v>15</v>
      </c>
      <c r="G71" s="447">
        <v>1050</v>
      </c>
      <c r="H71" s="447">
        <v>1</v>
      </c>
      <c r="I71" s="447">
        <v>70</v>
      </c>
      <c r="J71" s="447"/>
      <c r="K71" s="447"/>
      <c r="L71" s="447"/>
      <c r="M71" s="447"/>
      <c r="N71" s="447"/>
      <c r="O71" s="447"/>
      <c r="P71" s="471"/>
      <c r="Q71" s="448"/>
    </row>
    <row r="72" spans="1:17" ht="14.4" customHeight="1" x14ac:dyDescent="0.3">
      <c r="A72" s="443" t="s">
        <v>1642</v>
      </c>
      <c r="B72" s="444" t="s">
        <v>1643</v>
      </c>
      <c r="C72" s="444" t="s">
        <v>1112</v>
      </c>
      <c r="D72" s="444" t="s">
        <v>1664</v>
      </c>
      <c r="E72" s="444" t="s">
        <v>1665</v>
      </c>
      <c r="F72" s="447">
        <v>3</v>
      </c>
      <c r="G72" s="447">
        <v>645</v>
      </c>
      <c r="H72" s="447">
        <v>1</v>
      </c>
      <c r="I72" s="447">
        <v>215</v>
      </c>
      <c r="J72" s="447"/>
      <c r="K72" s="447"/>
      <c r="L72" s="447"/>
      <c r="M72" s="447"/>
      <c r="N72" s="447"/>
      <c r="O72" s="447"/>
      <c r="P72" s="471"/>
      <c r="Q72" s="448"/>
    </row>
    <row r="73" spans="1:17" ht="14.4" customHeight="1" x14ac:dyDescent="0.3">
      <c r="A73" s="443" t="s">
        <v>1642</v>
      </c>
      <c r="B73" s="444" t="s">
        <v>1643</v>
      </c>
      <c r="C73" s="444" t="s">
        <v>1112</v>
      </c>
      <c r="D73" s="444" t="s">
        <v>1666</v>
      </c>
      <c r="E73" s="444" t="s">
        <v>1667</v>
      </c>
      <c r="F73" s="447">
        <v>1</v>
      </c>
      <c r="G73" s="447">
        <v>1186</v>
      </c>
      <c r="H73" s="447">
        <v>1</v>
      </c>
      <c r="I73" s="447">
        <v>1186</v>
      </c>
      <c r="J73" s="447"/>
      <c r="K73" s="447"/>
      <c r="L73" s="447"/>
      <c r="M73" s="447"/>
      <c r="N73" s="447"/>
      <c r="O73" s="447"/>
      <c r="P73" s="471"/>
      <c r="Q73" s="448"/>
    </row>
    <row r="74" spans="1:17" ht="14.4" customHeight="1" x14ac:dyDescent="0.3">
      <c r="A74" s="443" t="s">
        <v>1642</v>
      </c>
      <c r="B74" s="444" t="s">
        <v>1643</v>
      </c>
      <c r="C74" s="444" t="s">
        <v>1112</v>
      </c>
      <c r="D74" s="444" t="s">
        <v>1668</v>
      </c>
      <c r="E74" s="444" t="s">
        <v>1669</v>
      </c>
      <c r="F74" s="447">
        <v>2</v>
      </c>
      <c r="G74" s="447">
        <v>214</v>
      </c>
      <c r="H74" s="447">
        <v>1</v>
      </c>
      <c r="I74" s="447">
        <v>107</v>
      </c>
      <c r="J74" s="447"/>
      <c r="K74" s="447"/>
      <c r="L74" s="447"/>
      <c r="M74" s="447"/>
      <c r="N74" s="447"/>
      <c r="O74" s="447"/>
      <c r="P74" s="471"/>
      <c r="Q74" s="448"/>
    </row>
    <row r="75" spans="1:17" ht="14.4" customHeight="1" x14ac:dyDescent="0.3">
      <c r="A75" s="443" t="s">
        <v>1642</v>
      </c>
      <c r="B75" s="444" t="s">
        <v>1643</v>
      </c>
      <c r="C75" s="444" t="s">
        <v>1112</v>
      </c>
      <c r="D75" s="444" t="s">
        <v>1670</v>
      </c>
      <c r="E75" s="444" t="s">
        <v>1671</v>
      </c>
      <c r="F75" s="447">
        <v>1</v>
      </c>
      <c r="G75" s="447">
        <v>318</v>
      </c>
      <c r="H75" s="447">
        <v>1</v>
      </c>
      <c r="I75" s="447">
        <v>318</v>
      </c>
      <c r="J75" s="447"/>
      <c r="K75" s="447"/>
      <c r="L75" s="447"/>
      <c r="M75" s="447"/>
      <c r="N75" s="447"/>
      <c r="O75" s="447"/>
      <c r="P75" s="471"/>
      <c r="Q75" s="448"/>
    </row>
    <row r="76" spans="1:17" ht="14.4" customHeight="1" x14ac:dyDescent="0.3">
      <c r="A76" s="443" t="s">
        <v>1672</v>
      </c>
      <c r="B76" s="444" t="s">
        <v>1673</v>
      </c>
      <c r="C76" s="444" t="s">
        <v>1112</v>
      </c>
      <c r="D76" s="444" t="s">
        <v>1674</v>
      </c>
      <c r="E76" s="444" t="s">
        <v>1675</v>
      </c>
      <c r="F76" s="447">
        <v>150</v>
      </c>
      <c r="G76" s="447">
        <v>7950</v>
      </c>
      <c r="H76" s="447">
        <v>1</v>
      </c>
      <c r="I76" s="447">
        <v>53</v>
      </c>
      <c r="J76" s="447">
        <v>108</v>
      </c>
      <c r="K76" s="447">
        <v>5724</v>
      </c>
      <c r="L76" s="447">
        <v>0.72</v>
      </c>
      <c r="M76" s="447">
        <v>53</v>
      </c>
      <c r="N76" s="447"/>
      <c r="O76" s="447"/>
      <c r="P76" s="471"/>
      <c r="Q76" s="448"/>
    </row>
    <row r="77" spans="1:17" ht="14.4" customHeight="1" x14ac:dyDescent="0.3">
      <c r="A77" s="443" t="s">
        <v>1672</v>
      </c>
      <c r="B77" s="444" t="s">
        <v>1673</v>
      </c>
      <c r="C77" s="444" t="s">
        <v>1112</v>
      </c>
      <c r="D77" s="444" t="s">
        <v>1676</v>
      </c>
      <c r="E77" s="444" t="s">
        <v>1677</v>
      </c>
      <c r="F77" s="447">
        <v>52</v>
      </c>
      <c r="G77" s="447">
        <v>6240</v>
      </c>
      <c r="H77" s="447">
        <v>1</v>
      </c>
      <c r="I77" s="447">
        <v>120</v>
      </c>
      <c r="J77" s="447"/>
      <c r="K77" s="447"/>
      <c r="L77" s="447"/>
      <c r="M77" s="447"/>
      <c r="N77" s="447"/>
      <c r="O77" s="447"/>
      <c r="P77" s="471"/>
      <c r="Q77" s="448"/>
    </row>
    <row r="78" spans="1:17" ht="14.4" customHeight="1" x14ac:dyDescent="0.3">
      <c r="A78" s="443" t="s">
        <v>1672</v>
      </c>
      <c r="B78" s="444" t="s">
        <v>1673</v>
      </c>
      <c r="C78" s="444" t="s">
        <v>1112</v>
      </c>
      <c r="D78" s="444" t="s">
        <v>1678</v>
      </c>
      <c r="E78" s="444" t="s">
        <v>1679</v>
      </c>
      <c r="F78" s="447">
        <v>1</v>
      </c>
      <c r="G78" s="447">
        <v>173</v>
      </c>
      <c r="H78" s="447">
        <v>1</v>
      </c>
      <c r="I78" s="447">
        <v>173</v>
      </c>
      <c r="J78" s="447"/>
      <c r="K78" s="447"/>
      <c r="L78" s="447"/>
      <c r="M78" s="447"/>
      <c r="N78" s="447"/>
      <c r="O78" s="447"/>
      <c r="P78" s="471"/>
      <c r="Q78" s="448"/>
    </row>
    <row r="79" spans="1:17" ht="14.4" customHeight="1" x14ac:dyDescent="0.3">
      <c r="A79" s="443" t="s">
        <v>1672</v>
      </c>
      <c r="B79" s="444" t="s">
        <v>1673</v>
      </c>
      <c r="C79" s="444" t="s">
        <v>1112</v>
      </c>
      <c r="D79" s="444" t="s">
        <v>1680</v>
      </c>
      <c r="E79" s="444" t="s">
        <v>1681</v>
      </c>
      <c r="F79" s="447">
        <v>29</v>
      </c>
      <c r="G79" s="447">
        <v>4843</v>
      </c>
      <c r="H79" s="447">
        <v>1</v>
      </c>
      <c r="I79" s="447">
        <v>167</v>
      </c>
      <c r="J79" s="447">
        <v>19</v>
      </c>
      <c r="K79" s="447">
        <v>3192</v>
      </c>
      <c r="L79" s="447">
        <v>0.659095601899649</v>
      </c>
      <c r="M79" s="447">
        <v>168</v>
      </c>
      <c r="N79" s="447"/>
      <c r="O79" s="447"/>
      <c r="P79" s="471"/>
      <c r="Q79" s="448"/>
    </row>
    <row r="80" spans="1:17" ht="14.4" customHeight="1" x14ac:dyDescent="0.3">
      <c r="A80" s="443" t="s">
        <v>1672</v>
      </c>
      <c r="B80" s="444" t="s">
        <v>1673</v>
      </c>
      <c r="C80" s="444" t="s">
        <v>1112</v>
      </c>
      <c r="D80" s="444" t="s">
        <v>1682</v>
      </c>
      <c r="E80" s="444" t="s">
        <v>1683</v>
      </c>
      <c r="F80" s="447">
        <v>25</v>
      </c>
      <c r="G80" s="447">
        <v>8425</v>
      </c>
      <c r="H80" s="447">
        <v>1</v>
      </c>
      <c r="I80" s="447">
        <v>337</v>
      </c>
      <c r="J80" s="447">
        <v>4</v>
      </c>
      <c r="K80" s="447">
        <v>1352</v>
      </c>
      <c r="L80" s="447">
        <v>0.1604747774480712</v>
      </c>
      <c r="M80" s="447">
        <v>338</v>
      </c>
      <c r="N80" s="447"/>
      <c r="O80" s="447"/>
      <c r="P80" s="471"/>
      <c r="Q80" s="448"/>
    </row>
    <row r="81" spans="1:17" ht="14.4" customHeight="1" x14ac:dyDescent="0.3">
      <c r="A81" s="443" t="s">
        <v>1672</v>
      </c>
      <c r="B81" s="444" t="s">
        <v>1673</v>
      </c>
      <c r="C81" s="444" t="s">
        <v>1112</v>
      </c>
      <c r="D81" s="444" t="s">
        <v>1684</v>
      </c>
      <c r="E81" s="444" t="s">
        <v>1685</v>
      </c>
      <c r="F81" s="447">
        <v>2</v>
      </c>
      <c r="G81" s="447">
        <v>92</v>
      </c>
      <c r="H81" s="447">
        <v>1</v>
      </c>
      <c r="I81" s="447">
        <v>46</v>
      </c>
      <c r="J81" s="447"/>
      <c r="K81" s="447"/>
      <c r="L81" s="447"/>
      <c r="M81" s="447"/>
      <c r="N81" s="447"/>
      <c r="O81" s="447"/>
      <c r="P81" s="471"/>
      <c r="Q81" s="448"/>
    </row>
    <row r="82" spans="1:17" ht="14.4" customHeight="1" x14ac:dyDescent="0.3">
      <c r="A82" s="443" t="s">
        <v>1672</v>
      </c>
      <c r="B82" s="444" t="s">
        <v>1673</v>
      </c>
      <c r="C82" s="444" t="s">
        <v>1112</v>
      </c>
      <c r="D82" s="444" t="s">
        <v>1686</v>
      </c>
      <c r="E82" s="444" t="s">
        <v>1687</v>
      </c>
      <c r="F82" s="447">
        <v>66</v>
      </c>
      <c r="G82" s="447">
        <v>18480</v>
      </c>
      <c r="H82" s="447">
        <v>1</v>
      </c>
      <c r="I82" s="447">
        <v>280</v>
      </c>
      <c r="J82" s="447">
        <v>27</v>
      </c>
      <c r="K82" s="447">
        <v>7587</v>
      </c>
      <c r="L82" s="447">
        <v>0.41055194805194806</v>
      </c>
      <c r="M82" s="447">
        <v>281</v>
      </c>
      <c r="N82" s="447"/>
      <c r="O82" s="447"/>
      <c r="P82" s="471"/>
      <c r="Q82" s="448"/>
    </row>
    <row r="83" spans="1:17" ht="14.4" customHeight="1" x14ac:dyDescent="0.3">
      <c r="A83" s="443" t="s">
        <v>1672</v>
      </c>
      <c r="B83" s="444" t="s">
        <v>1673</v>
      </c>
      <c r="C83" s="444" t="s">
        <v>1112</v>
      </c>
      <c r="D83" s="444" t="s">
        <v>1688</v>
      </c>
      <c r="E83" s="444" t="s">
        <v>1689</v>
      </c>
      <c r="F83" s="447">
        <v>20</v>
      </c>
      <c r="G83" s="447">
        <v>9060</v>
      </c>
      <c r="H83" s="447">
        <v>1</v>
      </c>
      <c r="I83" s="447">
        <v>453</v>
      </c>
      <c r="J83" s="447">
        <v>16</v>
      </c>
      <c r="K83" s="447">
        <v>7296</v>
      </c>
      <c r="L83" s="447">
        <v>0.80529801324503314</v>
      </c>
      <c r="M83" s="447">
        <v>456</v>
      </c>
      <c r="N83" s="447"/>
      <c r="O83" s="447"/>
      <c r="P83" s="471"/>
      <c r="Q83" s="448"/>
    </row>
    <row r="84" spans="1:17" ht="14.4" customHeight="1" x14ac:dyDescent="0.3">
      <c r="A84" s="443" t="s">
        <v>1672</v>
      </c>
      <c r="B84" s="444" t="s">
        <v>1673</v>
      </c>
      <c r="C84" s="444" t="s">
        <v>1112</v>
      </c>
      <c r="D84" s="444" t="s">
        <v>1690</v>
      </c>
      <c r="E84" s="444" t="s">
        <v>1691</v>
      </c>
      <c r="F84" s="447">
        <v>86</v>
      </c>
      <c r="G84" s="447">
        <v>29670</v>
      </c>
      <c r="H84" s="447">
        <v>1</v>
      </c>
      <c r="I84" s="447">
        <v>345</v>
      </c>
      <c r="J84" s="447">
        <v>40</v>
      </c>
      <c r="K84" s="447">
        <v>13920</v>
      </c>
      <c r="L84" s="447">
        <v>0.46916076845298282</v>
      </c>
      <c r="M84" s="447">
        <v>348</v>
      </c>
      <c r="N84" s="447"/>
      <c r="O84" s="447"/>
      <c r="P84" s="471"/>
      <c r="Q84" s="448"/>
    </row>
    <row r="85" spans="1:17" ht="14.4" customHeight="1" x14ac:dyDescent="0.3">
      <c r="A85" s="443" t="s">
        <v>1672</v>
      </c>
      <c r="B85" s="444" t="s">
        <v>1673</v>
      </c>
      <c r="C85" s="444" t="s">
        <v>1112</v>
      </c>
      <c r="D85" s="444" t="s">
        <v>1692</v>
      </c>
      <c r="E85" s="444" t="s">
        <v>1693</v>
      </c>
      <c r="F85" s="447">
        <v>2</v>
      </c>
      <c r="G85" s="447">
        <v>5748</v>
      </c>
      <c r="H85" s="447">
        <v>1</v>
      </c>
      <c r="I85" s="447">
        <v>2874</v>
      </c>
      <c r="J85" s="447"/>
      <c r="K85" s="447"/>
      <c r="L85" s="447"/>
      <c r="M85" s="447"/>
      <c r="N85" s="447"/>
      <c r="O85" s="447"/>
      <c r="P85" s="471"/>
      <c r="Q85" s="448"/>
    </row>
    <row r="86" spans="1:17" ht="14.4" customHeight="1" x14ac:dyDescent="0.3">
      <c r="A86" s="443" t="s">
        <v>1672</v>
      </c>
      <c r="B86" s="444" t="s">
        <v>1673</v>
      </c>
      <c r="C86" s="444" t="s">
        <v>1112</v>
      </c>
      <c r="D86" s="444" t="s">
        <v>1694</v>
      </c>
      <c r="E86" s="444" t="s">
        <v>1695</v>
      </c>
      <c r="F86" s="447">
        <v>8</v>
      </c>
      <c r="G86" s="447">
        <v>920</v>
      </c>
      <c r="H86" s="447">
        <v>1</v>
      </c>
      <c r="I86" s="447">
        <v>115</v>
      </c>
      <c r="J86" s="447">
        <v>1</v>
      </c>
      <c r="K86" s="447">
        <v>115</v>
      </c>
      <c r="L86" s="447">
        <v>0.125</v>
      </c>
      <c r="M86" s="447">
        <v>115</v>
      </c>
      <c r="N86" s="447"/>
      <c r="O86" s="447"/>
      <c r="P86" s="471"/>
      <c r="Q86" s="448"/>
    </row>
    <row r="87" spans="1:17" ht="14.4" customHeight="1" x14ac:dyDescent="0.3">
      <c r="A87" s="443" t="s">
        <v>1672</v>
      </c>
      <c r="B87" s="444" t="s">
        <v>1673</v>
      </c>
      <c r="C87" s="444" t="s">
        <v>1112</v>
      </c>
      <c r="D87" s="444" t="s">
        <v>1696</v>
      </c>
      <c r="E87" s="444" t="s">
        <v>1697</v>
      </c>
      <c r="F87" s="447"/>
      <c r="G87" s="447"/>
      <c r="H87" s="447"/>
      <c r="I87" s="447"/>
      <c r="J87" s="447">
        <v>2</v>
      </c>
      <c r="K87" s="447">
        <v>858</v>
      </c>
      <c r="L87" s="447"/>
      <c r="M87" s="447">
        <v>429</v>
      </c>
      <c r="N87" s="447"/>
      <c r="O87" s="447"/>
      <c r="P87" s="471"/>
      <c r="Q87" s="448"/>
    </row>
    <row r="88" spans="1:17" ht="14.4" customHeight="1" x14ac:dyDescent="0.3">
      <c r="A88" s="443" t="s">
        <v>1672</v>
      </c>
      <c r="B88" s="444" t="s">
        <v>1673</v>
      </c>
      <c r="C88" s="444" t="s">
        <v>1112</v>
      </c>
      <c r="D88" s="444" t="s">
        <v>1698</v>
      </c>
      <c r="E88" s="444" t="s">
        <v>1699</v>
      </c>
      <c r="F88" s="447">
        <v>8</v>
      </c>
      <c r="G88" s="447">
        <v>424</v>
      </c>
      <c r="H88" s="447">
        <v>1</v>
      </c>
      <c r="I88" s="447">
        <v>53</v>
      </c>
      <c r="J88" s="447">
        <v>2</v>
      </c>
      <c r="K88" s="447">
        <v>106</v>
      </c>
      <c r="L88" s="447">
        <v>0.25</v>
      </c>
      <c r="M88" s="447">
        <v>53</v>
      </c>
      <c r="N88" s="447"/>
      <c r="O88" s="447"/>
      <c r="P88" s="471"/>
      <c r="Q88" s="448"/>
    </row>
    <row r="89" spans="1:17" ht="14.4" customHeight="1" x14ac:dyDescent="0.3">
      <c r="A89" s="443" t="s">
        <v>1672</v>
      </c>
      <c r="B89" s="444" t="s">
        <v>1673</v>
      </c>
      <c r="C89" s="444" t="s">
        <v>1112</v>
      </c>
      <c r="D89" s="444" t="s">
        <v>1700</v>
      </c>
      <c r="E89" s="444" t="s">
        <v>1701</v>
      </c>
      <c r="F89" s="447">
        <v>411</v>
      </c>
      <c r="G89" s="447">
        <v>67404</v>
      </c>
      <c r="H89" s="447">
        <v>1</v>
      </c>
      <c r="I89" s="447">
        <v>164</v>
      </c>
      <c r="J89" s="447">
        <v>123</v>
      </c>
      <c r="K89" s="447">
        <v>20295</v>
      </c>
      <c r="L89" s="447">
        <v>0.3010948905109489</v>
      </c>
      <c r="M89" s="447">
        <v>165</v>
      </c>
      <c r="N89" s="447"/>
      <c r="O89" s="447"/>
      <c r="P89" s="471"/>
      <c r="Q89" s="448"/>
    </row>
    <row r="90" spans="1:17" ht="14.4" customHeight="1" x14ac:dyDescent="0.3">
      <c r="A90" s="443" t="s">
        <v>1672</v>
      </c>
      <c r="B90" s="444" t="s">
        <v>1673</v>
      </c>
      <c r="C90" s="444" t="s">
        <v>1112</v>
      </c>
      <c r="D90" s="444" t="s">
        <v>1702</v>
      </c>
      <c r="E90" s="444" t="s">
        <v>1703</v>
      </c>
      <c r="F90" s="447">
        <v>8</v>
      </c>
      <c r="G90" s="447">
        <v>624</v>
      </c>
      <c r="H90" s="447">
        <v>1</v>
      </c>
      <c r="I90" s="447">
        <v>78</v>
      </c>
      <c r="J90" s="447"/>
      <c r="K90" s="447"/>
      <c r="L90" s="447"/>
      <c r="M90" s="447"/>
      <c r="N90" s="447"/>
      <c r="O90" s="447"/>
      <c r="P90" s="471"/>
      <c r="Q90" s="448"/>
    </row>
    <row r="91" spans="1:17" ht="14.4" customHeight="1" x14ac:dyDescent="0.3">
      <c r="A91" s="443" t="s">
        <v>1672</v>
      </c>
      <c r="B91" s="444" t="s">
        <v>1673</v>
      </c>
      <c r="C91" s="444" t="s">
        <v>1112</v>
      </c>
      <c r="D91" s="444" t="s">
        <v>1704</v>
      </c>
      <c r="E91" s="444" t="s">
        <v>1705</v>
      </c>
      <c r="F91" s="447">
        <v>2</v>
      </c>
      <c r="G91" s="447">
        <v>332</v>
      </c>
      <c r="H91" s="447">
        <v>1</v>
      </c>
      <c r="I91" s="447">
        <v>166</v>
      </c>
      <c r="J91" s="447"/>
      <c r="K91" s="447"/>
      <c r="L91" s="447"/>
      <c r="M91" s="447"/>
      <c r="N91" s="447"/>
      <c r="O91" s="447"/>
      <c r="P91" s="471"/>
      <c r="Q91" s="448"/>
    </row>
    <row r="92" spans="1:17" ht="14.4" customHeight="1" x14ac:dyDescent="0.3">
      <c r="A92" s="443" t="s">
        <v>1672</v>
      </c>
      <c r="B92" s="444" t="s">
        <v>1673</v>
      </c>
      <c r="C92" s="444" t="s">
        <v>1112</v>
      </c>
      <c r="D92" s="444" t="s">
        <v>1706</v>
      </c>
      <c r="E92" s="444" t="s">
        <v>1707</v>
      </c>
      <c r="F92" s="447">
        <v>2</v>
      </c>
      <c r="G92" s="447">
        <v>484</v>
      </c>
      <c r="H92" s="447">
        <v>1</v>
      </c>
      <c r="I92" s="447">
        <v>242</v>
      </c>
      <c r="J92" s="447"/>
      <c r="K92" s="447"/>
      <c r="L92" s="447"/>
      <c r="M92" s="447"/>
      <c r="N92" s="447"/>
      <c r="O92" s="447"/>
      <c r="P92" s="471"/>
      <c r="Q92" s="448"/>
    </row>
    <row r="93" spans="1:17" ht="14.4" customHeight="1" x14ac:dyDescent="0.3">
      <c r="A93" s="443" t="s">
        <v>1708</v>
      </c>
      <c r="B93" s="444" t="s">
        <v>525</v>
      </c>
      <c r="C93" s="444" t="s">
        <v>1112</v>
      </c>
      <c r="D93" s="444" t="s">
        <v>1709</v>
      </c>
      <c r="E93" s="444" t="s">
        <v>1710</v>
      </c>
      <c r="F93" s="447">
        <v>80</v>
      </c>
      <c r="G93" s="447">
        <v>12640</v>
      </c>
      <c r="H93" s="447">
        <v>1</v>
      </c>
      <c r="I93" s="447">
        <v>158</v>
      </c>
      <c r="J93" s="447"/>
      <c r="K93" s="447"/>
      <c r="L93" s="447"/>
      <c r="M93" s="447"/>
      <c r="N93" s="447"/>
      <c r="O93" s="447"/>
      <c r="P93" s="471"/>
      <c r="Q93" s="448"/>
    </row>
    <row r="94" spans="1:17" ht="14.4" customHeight="1" x14ac:dyDescent="0.3">
      <c r="A94" s="443" t="s">
        <v>1708</v>
      </c>
      <c r="B94" s="444" t="s">
        <v>525</v>
      </c>
      <c r="C94" s="444" t="s">
        <v>1112</v>
      </c>
      <c r="D94" s="444" t="s">
        <v>1711</v>
      </c>
      <c r="E94" s="444" t="s">
        <v>1712</v>
      </c>
      <c r="F94" s="447">
        <v>18</v>
      </c>
      <c r="G94" s="447">
        <v>702</v>
      </c>
      <c r="H94" s="447">
        <v>1</v>
      </c>
      <c r="I94" s="447">
        <v>39</v>
      </c>
      <c r="J94" s="447"/>
      <c r="K94" s="447"/>
      <c r="L94" s="447"/>
      <c r="M94" s="447"/>
      <c r="N94" s="447"/>
      <c r="O94" s="447"/>
      <c r="P94" s="471"/>
      <c r="Q94" s="448"/>
    </row>
    <row r="95" spans="1:17" ht="14.4" customHeight="1" x14ac:dyDescent="0.3">
      <c r="A95" s="443" t="s">
        <v>1708</v>
      </c>
      <c r="B95" s="444" t="s">
        <v>525</v>
      </c>
      <c r="C95" s="444" t="s">
        <v>1112</v>
      </c>
      <c r="D95" s="444" t="s">
        <v>1713</v>
      </c>
      <c r="E95" s="444" t="s">
        <v>1714</v>
      </c>
      <c r="F95" s="447">
        <v>4</v>
      </c>
      <c r="G95" s="447">
        <v>124</v>
      </c>
      <c r="H95" s="447">
        <v>1</v>
      </c>
      <c r="I95" s="447">
        <v>31</v>
      </c>
      <c r="J95" s="447"/>
      <c r="K95" s="447"/>
      <c r="L95" s="447"/>
      <c r="M95" s="447"/>
      <c r="N95" s="447"/>
      <c r="O95" s="447"/>
      <c r="P95" s="471"/>
      <c r="Q95" s="448"/>
    </row>
    <row r="96" spans="1:17" ht="14.4" customHeight="1" x14ac:dyDescent="0.3">
      <c r="A96" s="443" t="s">
        <v>1708</v>
      </c>
      <c r="B96" s="444" t="s">
        <v>525</v>
      </c>
      <c r="C96" s="444" t="s">
        <v>1112</v>
      </c>
      <c r="D96" s="444" t="s">
        <v>1715</v>
      </c>
      <c r="E96" s="444" t="s">
        <v>1716</v>
      </c>
      <c r="F96" s="447">
        <v>50</v>
      </c>
      <c r="G96" s="447">
        <v>5600</v>
      </c>
      <c r="H96" s="447">
        <v>1</v>
      </c>
      <c r="I96" s="447">
        <v>112</v>
      </c>
      <c r="J96" s="447"/>
      <c r="K96" s="447"/>
      <c r="L96" s="447"/>
      <c r="M96" s="447"/>
      <c r="N96" s="447"/>
      <c r="O96" s="447"/>
      <c r="P96" s="471"/>
      <c r="Q96" s="448"/>
    </row>
    <row r="97" spans="1:17" ht="14.4" customHeight="1" x14ac:dyDescent="0.3">
      <c r="A97" s="443" t="s">
        <v>1708</v>
      </c>
      <c r="B97" s="444" t="s">
        <v>525</v>
      </c>
      <c r="C97" s="444" t="s">
        <v>1112</v>
      </c>
      <c r="D97" s="444" t="s">
        <v>1717</v>
      </c>
      <c r="E97" s="444" t="s">
        <v>1718</v>
      </c>
      <c r="F97" s="447">
        <v>4</v>
      </c>
      <c r="G97" s="447">
        <v>332</v>
      </c>
      <c r="H97" s="447">
        <v>1</v>
      </c>
      <c r="I97" s="447">
        <v>83</v>
      </c>
      <c r="J97" s="447"/>
      <c r="K97" s="447"/>
      <c r="L97" s="447"/>
      <c r="M97" s="447"/>
      <c r="N97" s="447"/>
      <c r="O97" s="447"/>
      <c r="P97" s="471"/>
      <c r="Q97" s="448"/>
    </row>
    <row r="98" spans="1:17" ht="14.4" customHeight="1" x14ac:dyDescent="0.3">
      <c r="A98" s="443" t="s">
        <v>1708</v>
      </c>
      <c r="B98" s="444" t="s">
        <v>525</v>
      </c>
      <c r="C98" s="444" t="s">
        <v>1112</v>
      </c>
      <c r="D98" s="444" t="s">
        <v>1719</v>
      </c>
      <c r="E98" s="444" t="s">
        <v>1720</v>
      </c>
      <c r="F98" s="447">
        <v>2</v>
      </c>
      <c r="G98" s="447">
        <v>42</v>
      </c>
      <c r="H98" s="447">
        <v>1</v>
      </c>
      <c r="I98" s="447">
        <v>21</v>
      </c>
      <c r="J98" s="447"/>
      <c r="K98" s="447"/>
      <c r="L98" s="447"/>
      <c r="M98" s="447"/>
      <c r="N98" s="447"/>
      <c r="O98" s="447"/>
      <c r="P98" s="471"/>
      <c r="Q98" s="448"/>
    </row>
    <row r="99" spans="1:17" ht="14.4" customHeight="1" x14ac:dyDescent="0.3">
      <c r="A99" s="443" t="s">
        <v>1708</v>
      </c>
      <c r="B99" s="444" t="s">
        <v>525</v>
      </c>
      <c r="C99" s="444" t="s">
        <v>1112</v>
      </c>
      <c r="D99" s="444" t="s">
        <v>1721</v>
      </c>
      <c r="E99" s="444" t="s">
        <v>1722</v>
      </c>
      <c r="F99" s="447">
        <v>2</v>
      </c>
      <c r="G99" s="447">
        <v>972</v>
      </c>
      <c r="H99" s="447">
        <v>1</v>
      </c>
      <c r="I99" s="447">
        <v>486</v>
      </c>
      <c r="J99" s="447"/>
      <c r="K99" s="447"/>
      <c r="L99" s="447"/>
      <c r="M99" s="447"/>
      <c r="N99" s="447"/>
      <c r="O99" s="447"/>
      <c r="P99" s="471"/>
      <c r="Q99" s="448"/>
    </row>
    <row r="100" spans="1:17" ht="14.4" customHeight="1" x14ac:dyDescent="0.3">
      <c r="A100" s="443" t="s">
        <v>1708</v>
      </c>
      <c r="B100" s="444" t="s">
        <v>525</v>
      </c>
      <c r="C100" s="444" t="s">
        <v>1112</v>
      </c>
      <c r="D100" s="444" t="s">
        <v>1723</v>
      </c>
      <c r="E100" s="444" t="s">
        <v>1724</v>
      </c>
      <c r="F100" s="447">
        <v>10</v>
      </c>
      <c r="G100" s="447">
        <v>400</v>
      </c>
      <c r="H100" s="447">
        <v>1</v>
      </c>
      <c r="I100" s="447">
        <v>40</v>
      </c>
      <c r="J100" s="447"/>
      <c r="K100" s="447"/>
      <c r="L100" s="447"/>
      <c r="M100" s="447"/>
      <c r="N100" s="447"/>
      <c r="O100" s="447"/>
      <c r="P100" s="471"/>
      <c r="Q100" s="448"/>
    </row>
    <row r="101" spans="1:17" ht="14.4" customHeight="1" x14ac:dyDescent="0.3">
      <c r="A101" s="443" t="s">
        <v>1708</v>
      </c>
      <c r="B101" s="444" t="s">
        <v>525</v>
      </c>
      <c r="C101" s="444" t="s">
        <v>1112</v>
      </c>
      <c r="D101" s="444" t="s">
        <v>1725</v>
      </c>
      <c r="E101" s="444" t="s">
        <v>1726</v>
      </c>
      <c r="F101" s="447">
        <v>1</v>
      </c>
      <c r="G101" s="447">
        <v>2013</v>
      </c>
      <c r="H101" s="447">
        <v>1</v>
      </c>
      <c r="I101" s="447">
        <v>2013</v>
      </c>
      <c r="J101" s="447"/>
      <c r="K101" s="447"/>
      <c r="L101" s="447"/>
      <c r="M101" s="447"/>
      <c r="N101" s="447"/>
      <c r="O101" s="447"/>
      <c r="P101" s="471"/>
      <c r="Q101" s="448"/>
    </row>
    <row r="102" spans="1:17" ht="14.4" customHeight="1" thickBot="1" x14ac:dyDescent="0.35">
      <c r="A102" s="449" t="s">
        <v>1727</v>
      </c>
      <c r="B102" s="450" t="s">
        <v>1728</v>
      </c>
      <c r="C102" s="450" t="s">
        <v>1112</v>
      </c>
      <c r="D102" s="450" t="s">
        <v>1729</v>
      </c>
      <c r="E102" s="450" t="s">
        <v>1730</v>
      </c>
      <c r="F102" s="453">
        <v>1</v>
      </c>
      <c r="G102" s="453">
        <v>1015</v>
      </c>
      <c r="H102" s="453">
        <v>1</v>
      </c>
      <c r="I102" s="453">
        <v>1015</v>
      </c>
      <c r="J102" s="453"/>
      <c r="K102" s="453"/>
      <c r="L102" s="453"/>
      <c r="M102" s="453"/>
      <c r="N102" s="453"/>
      <c r="O102" s="453"/>
      <c r="P102" s="473"/>
      <c r="Q102" s="45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6" bestFit="1" customWidth="1"/>
    <col min="2" max="3" width="9.5546875" style="136" customWidth="1"/>
    <col min="4" max="4" width="2.44140625" style="136" customWidth="1"/>
    <col min="5" max="8" width="9.5546875" style="136" customWidth="1"/>
    <col min="9" max="16384" width="8.88671875" style="136"/>
  </cols>
  <sheetData>
    <row r="1" spans="1:8" ht="18.600000000000001" customHeight="1" thickBot="1" x14ac:dyDescent="0.4">
      <c r="A1" s="318" t="s">
        <v>144</v>
      </c>
      <c r="B1" s="318"/>
      <c r="C1" s="318"/>
      <c r="D1" s="318"/>
      <c r="E1" s="318"/>
      <c r="F1" s="318"/>
      <c r="G1" s="319"/>
      <c r="H1" s="319"/>
    </row>
    <row r="2" spans="1:8" ht="14.4" customHeight="1" thickBot="1" x14ac:dyDescent="0.35">
      <c r="A2" s="243" t="s">
        <v>249</v>
      </c>
      <c r="B2" s="117"/>
      <c r="C2" s="117"/>
      <c r="D2" s="117"/>
      <c r="E2" s="117"/>
      <c r="F2" s="117"/>
    </row>
    <row r="3" spans="1:8" ht="14.4" customHeight="1" x14ac:dyDescent="0.3">
      <c r="A3" s="320"/>
      <c r="B3" s="113">
        <v>2012</v>
      </c>
      <c r="C3" s="40">
        <v>2013</v>
      </c>
      <c r="D3" s="7"/>
      <c r="E3" s="324">
        <v>2014</v>
      </c>
      <c r="F3" s="325"/>
      <c r="G3" s="325"/>
      <c r="H3" s="326"/>
    </row>
    <row r="4" spans="1:8" ht="14.4" customHeight="1" thickBot="1" x14ac:dyDescent="0.35">
      <c r="A4" s="321"/>
      <c r="B4" s="322" t="s">
        <v>76</v>
      </c>
      <c r="C4" s="323"/>
      <c r="D4" s="7"/>
      <c r="E4" s="134" t="s">
        <v>76</v>
      </c>
      <c r="F4" s="115" t="s">
        <v>77</v>
      </c>
      <c r="G4" s="115" t="s">
        <v>71</v>
      </c>
      <c r="H4" s="116" t="s">
        <v>78</v>
      </c>
    </row>
    <row r="5" spans="1:8" ht="14.4" customHeight="1" x14ac:dyDescent="0.3">
      <c r="A5" s="118" t="str">
        <f>HYPERLINK("#'Léky Žádanky'!A1","Léky (Kč)")</f>
        <v>Léky (Kč)</v>
      </c>
      <c r="B5" s="27">
        <v>116.78368</v>
      </c>
      <c r="C5" s="29">
        <v>12.381869999999999</v>
      </c>
      <c r="D5" s="8"/>
      <c r="E5" s="123">
        <v>19.58231</v>
      </c>
      <c r="F5" s="28">
        <v>28</v>
      </c>
      <c r="G5" s="122">
        <f>E5-F5</f>
        <v>-8.4176900000000003</v>
      </c>
      <c r="H5" s="128">
        <f>IF(F5&lt;0.00000001,"",E5/F5)</f>
        <v>0.69936821428571427</v>
      </c>
    </row>
    <row r="6" spans="1:8" ht="14.4" customHeight="1" x14ac:dyDescent="0.3">
      <c r="A6" s="118" t="str">
        <f>HYPERLINK("#'Materiál Žádanky'!A1","Materiál - SZM (Kč)")</f>
        <v>Materiál - SZM (Kč)</v>
      </c>
      <c r="B6" s="10">
        <v>261.4796</v>
      </c>
      <c r="C6" s="31">
        <v>215.82678999999999</v>
      </c>
      <c r="D6" s="8"/>
      <c r="E6" s="124">
        <v>217.26509000000101</v>
      </c>
      <c r="F6" s="30">
        <v>302</v>
      </c>
      <c r="G6" s="125">
        <f>E6-F6</f>
        <v>-84.73490999999899</v>
      </c>
      <c r="H6" s="129">
        <f>IF(F6&lt;0.00000001,"",E6/F6)</f>
        <v>0.71942082781457284</v>
      </c>
    </row>
    <row r="7" spans="1:8" ht="14.4" customHeight="1" x14ac:dyDescent="0.3">
      <c r="A7" s="308" t="str">
        <f>HYPERLINK("#'Osobní náklady'!A1","Osobní náklady (Kč) *")</f>
        <v>Osobní náklady (Kč) *</v>
      </c>
      <c r="B7" s="10">
        <v>2638.8105399999999</v>
      </c>
      <c r="C7" s="31">
        <v>1642.46776</v>
      </c>
      <c r="D7" s="8"/>
      <c r="E7" s="124">
        <v>1727.7803899999999</v>
      </c>
      <c r="F7" s="30">
        <v>1834</v>
      </c>
      <c r="G7" s="125">
        <f>E7-F7</f>
        <v>-106.2196100000001</v>
      </c>
      <c r="H7" s="129">
        <f>IF(F7&lt;0.00000001,"",E7/F7)</f>
        <v>0.94208309160305337</v>
      </c>
    </row>
    <row r="8" spans="1:8" ht="14.4" customHeight="1" thickBot="1" x14ac:dyDescent="0.35">
      <c r="A8" s="1" t="s">
        <v>79</v>
      </c>
      <c r="B8" s="11">
        <v>698.20569999999998</v>
      </c>
      <c r="C8" s="33">
        <v>288.447</v>
      </c>
      <c r="D8" s="8"/>
      <c r="E8" s="126">
        <v>304.71435000000099</v>
      </c>
      <c r="F8" s="32">
        <v>397</v>
      </c>
      <c r="G8" s="127">
        <f>E8-F8</f>
        <v>-92.285649999999009</v>
      </c>
      <c r="H8" s="130">
        <f>IF(F8&lt;0.00000001,"",E8/F8)</f>
        <v>0.76754244332493948</v>
      </c>
    </row>
    <row r="9" spans="1:8" ht="14.4" customHeight="1" thickBot="1" x14ac:dyDescent="0.35">
      <c r="A9" s="2" t="s">
        <v>80</v>
      </c>
      <c r="B9" s="3">
        <v>3715.27952</v>
      </c>
      <c r="C9" s="35">
        <v>2159.1234199999999</v>
      </c>
      <c r="D9" s="8"/>
      <c r="E9" s="3">
        <v>2269.3421400000102</v>
      </c>
      <c r="F9" s="34">
        <v>2561</v>
      </c>
      <c r="G9" s="34">
        <f>E9-F9</f>
        <v>-291.6578599999898</v>
      </c>
      <c r="H9" s="131">
        <f>IF(F9&lt;0.00000001,"",E9/F9)</f>
        <v>0.88611563451777053</v>
      </c>
    </row>
    <row r="10" spans="1:8" ht="14.4" customHeight="1" thickBot="1" x14ac:dyDescent="0.35">
      <c r="A10" s="12"/>
      <c r="B10" s="12"/>
      <c r="C10" s="114"/>
      <c r="D10" s="8"/>
      <c r="E10" s="12"/>
      <c r="F10" s="13"/>
    </row>
    <row r="11" spans="1:8" ht="14.4" customHeight="1" x14ac:dyDescent="0.3">
      <c r="A11" s="139" t="str">
        <f>HYPERLINK("#'ZV Vykáz.-A'!A1","Ambulance *")</f>
        <v>Ambulance *</v>
      </c>
      <c r="B11" s="9">
        <f>IF(ISERROR(VLOOKUP("Celkem:",'ZV Vykáz.-A'!A:F,2,0)),0,VLOOKUP("Celkem:",'ZV Vykáz.-A'!A:F,2,0)/1000)</f>
        <v>592.39400000000001</v>
      </c>
      <c r="C11" s="29">
        <f>IF(ISERROR(VLOOKUP("Celkem:",'ZV Vykáz.-A'!A:F,4,0)),0,VLOOKUP("Celkem:",'ZV Vykáz.-A'!A:F,4,0)/1000)</f>
        <v>601.95699999999999</v>
      </c>
      <c r="D11" s="8"/>
      <c r="E11" s="123">
        <f>IF(ISERROR(VLOOKUP("Celkem:",'ZV Vykáz.-A'!A:F,6,0)),0,VLOOKUP("Celkem:",'ZV Vykáz.-A'!A:F,6,0)/1000)</f>
        <v>591.52099999999996</v>
      </c>
      <c r="F11" s="28">
        <f>B11</f>
        <v>592.39400000000001</v>
      </c>
      <c r="G11" s="122">
        <f>E11-F11</f>
        <v>-0.87300000000004729</v>
      </c>
      <c r="H11" s="128">
        <f>IF(F11&lt;0.00000001,"",E11/F11)</f>
        <v>0.99852631863253161</v>
      </c>
    </row>
    <row r="12" spans="1:8" ht="14.4" customHeight="1" thickBot="1" x14ac:dyDescent="0.35">
      <c r="A12" s="14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6">
        <f>IF(ISERROR(VLOOKUP("Celkem",#REF!,4,0)),0,VLOOKUP("Celkem",#REF!,4,0)*30)</f>
        <v>0</v>
      </c>
      <c r="F12" s="32">
        <f>B12</f>
        <v>0</v>
      </c>
      <c r="G12" s="127">
        <f>E12-F12</f>
        <v>0</v>
      </c>
      <c r="H12" s="130" t="str">
        <f>IF(F12&lt;0.00000001,"",E12/F12)</f>
        <v/>
      </c>
    </row>
    <row r="13" spans="1:8" ht="14.4" customHeight="1" thickBot="1" x14ac:dyDescent="0.35">
      <c r="A13" s="4" t="s">
        <v>83</v>
      </c>
      <c r="B13" s="5">
        <f>SUM(B11:B12)</f>
        <v>592.39400000000001</v>
      </c>
      <c r="C13" s="37">
        <f>SUM(C11:C12)</f>
        <v>601.95699999999999</v>
      </c>
      <c r="D13" s="8"/>
      <c r="E13" s="5">
        <f>SUM(E11:E12)</f>
        <v>591.52099999999996</v>
      </c>
      <c r="F13" s="36">
        <f>SUM(F11:F12)</f>
        <v>592.39400000000001</v>
      </c>
      <c r="G13" s="36">
        <f>E13-F13</f>
        <v>-0.87300000000004729</v>
      </c>
      <c r="H13" s="132">
        <f>IF(F13&lt;0.00000001,"",E13/F13)</f>
        <v>0.99852631863253161</v>
      </c>
    </row>
    <row r="14" spans="1:8" ht="14.4" customHeight="1" thickBot="1" x14ac:dyDescent="0.35">
      <c r="A14" s="12"/>
      <c r="B14" s="12"/>
      <c r="C14" s="114"/>
      <c r="D14" s="8"/>
      <c r="E14" s="12"/>
      <c r="F14" s="13"/>
    </row>
    <row r="15" spans="1:8" ht="14.4" customHeight="1" thickBot="1" x14ac:dyDescent="0.35">
      <c r="A15" s="141" t="str">
        <f>HYPERLINK("#'HI Graf'!A1","Hospodářský index (Výnosy / Náklady) *")</f>
        <v>Hospodářský index (Výnosy / Náklady) *</v>
      </c>
      <c r="B15" s="6">
        <f>IF(B9=0,"",B13/B9)</f>
        <v>0.15944802990220236</v>
      </c>
      <c r="C15" s="39">
        <f>IF(C9=0,"",C13/C9)</f>
        <v>0.27879693880584189</v>
      </c>
      <c r="D15" s="8"/>
      <c r="E15" s="6">
        <f>IF(E9=0,"",E13/E9)</f>
        <v>0.26065747847082998</v>
      </c>
      <c r="F15" s="38">
        <f>IF(F9=0,"",F13/F9)</f>
        <v>0.23131354939476767</v>
      </c>
      <c r="G15" s="38">
        <f>IF(ISERROR(F15-E15),"",E15-F15)</f>
        <v>2.9343929076062314E-2</v>
      </c>
      <c r="H15" s="133">
        <f>IF(ISERROR(F15-E15),"",IF(F15&lt;0.00000001,"",E15/F15))</f>
        <v>1.1268578047107087</v>
      </c>
    </row>
    <row r="17" spans="1:8" ht="14.4" customHeight="1" x14ac:dyDescent="0.3">
      <c r="A17" s="119" t="s">
        <v>166</v>
      </c>
    </row>
    <row r="18" spans="1:8" ht="14.4" customHeight="1" x14ac:dyDescent="0.3">
      <c r="A18" s="310" t="s">
        <v>246</v>
      </c>
      <c r="B18" s="311"/>
      <c r="C18" s="311"/>
      <c r="D18" s="311"/>
      <c r="E18" s="311"/>
      <c r="F18" s="311"/>
      <c r="G18" s="311"/>
      <c r="H18" s="311"/>
    </row>
    <row r="19" spans="1:8" x14ac:dyDescent="0.3">
      <c r="A19" s="309" t="s">
        <v>245</v>
      </c>
      <c r="B19" s="311"/>
      <c r="C19" s="311"/>
      <c r="D19" s="311"/>
      <c r="E19" s="311"/>
      <c r="F19" s="311"/>
      <c r="G19" s="311"/>
      <c r="H19" s="311"/>
    </row>
    <row r="20" spans="1:8" ht="14.4" customHeight="1" x14ac:dyDescent="0.3">
      <c r="A20" s="120" t="s">
        <v>167</v>
      </c>
    </row>
    <row r="21" spans="1:8" ht="14.4" customHeight="1" x14ac:dyDescent="0.3">
      <c r="A21" s="120" t="s">
        <v>168</v>
      </c>
    </row>
    <row r="22" spans="1:8" ht="14.4" customHeight="1" x14ac:dyDescent="0.3">
      <c r="A22" s="121" t="s">
        <v>169</v>
      </c>
    </row>
    <row r="23" spans="1:8" ht="14.4" customHeight="1" x14ac:dyDescent="0.3">
      <c r="A23" s="121" t="s">
        <v>170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0" priority="4" operator="greaterThan">
      <formula>0</formula>
    </cfRule>
  </conditionalFormatting>
  <conditionalFormatting sqref="G11:G13 G15">
    <cfRule type="cellIs" dxfId="49" priority="3" operator="lessThan">
      <formula>0</formula>
    </cfRule>
  </conditionalFormatting>
  <conditionalFormatting sqref="H5:H9">
    <cfRule type="cellIs" dxfId="48" priority="2" operator="greaterThan">
      <formula>1</formula>
    </cfRule>
  </conditionalFormatting>
  <conditionalFormatting sqref="H11:H13 H15">
    <cfRule type="cellIs" dxfId="4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6"/>
    <col min="2" max="13" width="8.88671875" style="136" customWidth="1"/>
    <col min="14" max="16384" width="8.88671875" style="136"/>
  </cols>
  <sheetData>
    <row r="1" spans="1:13" ht="18.600000000000001" customHeight="1" thickBot="1" x14ac:dyDescent="0.4">
      <c r="A1" s="318" t="s">
        <v>109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" customHeight="1" x14ac:dyDescent="0.3">
      <c r="A2" s="243" t="s">
        <v>249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3" ht="14.4" customHeight="1" x14ac:dyDescent="0.3">
      <c r="A3" s="206"/>
      <c r="B3" s="207" t="s">
        <v>85</v>
      </c>
      <c r="C3" s="208" t="s">
        <v>86</v>
      </c>
      <c r="D3" s="208" t="s">
        <v>87</v>
      </c>
      <c r="E3" s="207" t="s">
        <v>88</v>
      </c>
      <c r="F3" s="208" t="s">
        <v>89</v>
      </c>
      <c r="G3" s="208" t="s">
        <v>90</v>
      </c>
      <c r="H3" s="208" t="s">
        <v>91</v>
      </c>
      <c r="I3" s="208" t="s">
        <v>92</v>
      </c>
      <c r="J3" s="208" t="s">
        <v>93</v>
      </c>
      <c r="K3" s="208" t="s">
        <v>94</v>
      </c>
      <c r="L3" s="208" t="s">
        <v>95</v>
      </c>
      <c r="M3" s="208" t="s">
        <v>96</v>
      </c>
    </row>
    <row r="4" spans="1:13" ht="14.4" customHeight="1" x14ac:dyDescent="0.3">
      <c r="A4" s="206" t="s">
        <v>84</v>
      </c>
      <c r="B4" s="209">
        <f>(B10+B8)/B6</f>
        <v>0.27279214444703614</v>
      </c>
      <c r="C4" s="209">
        <f t="shared" ref="C4:M4" si="0">(C10+C8)/C6</f>
        <v>0.26065747847083004</v>
      </c>
      <c r="D4" s="209">
        <f t="shared" si="0"/>
        <v>0.26065747847083004</v>
      </c>
      <c r="E4" s="209">
        <f t="shared" si="0"/>
        <v>0.26065747847083004</v>
      </c>
      <c r="F4" s="209">
        <f t="shared" si="0"/>
        <v>0.26065747847083004</v>
      </c>
      <c r="G4" s="209">
        <f t="shared" si="0"/>
        <v>0.26065747847083004</v>
      </c>
      <c r="H4" s="209">
        <f t="shared" si="0"/>
        <v>0.26065747847083004</v>
      </c>
      <c r="I4" s="209">
        <f t="shared" si="0"/>
        <v>0.26065747847083004</v>
      </c>
      <c r="J4" s="209">
        <f t="shared" si="0"/>
        <v>0.26065747847083004</v>
      </c>
      <c r="K4" s="209">
        <f t="shared" si="0"/>
        <v>0.26065747847083004</v>
      </c>
      <c r="L4" s="209">
        <f t="shared" si="0"/>
        <v>0.26065747847083004</v>
      </c>
      <c r="M4" s="209">
        <f t="shared" si="0"/>
        <v>0.26065747847083004</v>
      </c>
    </row>
    <row r="5" spans="1:13" ht="14.4" customHeight="1" x14ac:dyDescent="0.3">
      <c r="A5" s="210" t="s">
        <v>56</v>
      </c>
      <c r="B5" s="209">
        <f>IF(ISERROR(VLOOKUP($A5,'Man Tab'!$A:$Q,COLUMN()+2,0)),0,VLOOKUP($A5,'Man Tab'!$A:$Q,COLUMN()+2,0))</f>
        <v>1128.2546300000099</v>
      </c>
      <c r="C5" s="209">
        <f>IF(ISERROR(VLOOKUP($A5,'Man Tab'!$A:$Q,COLUMN()+2,0)),0,VLOOKUP($A5,'Man Tab'!$A:$Q,COLUMN()+2,0))</f>
        <v>1141.0875100000001</v>
      </c>
      <c r="D5" s="209">
        <f>IF(ISERROR(VLOOKUP($A5,'Man Tab'!$A:$Q,COLUMN()+2,0)),0,VLOOKUP($A5,'Man Tab'!$A:$Q,COLUMN()+2,0))</f>
        <v>4.9406564584124654E-324</v>
      </c>
      <c r="E5" s="209">
        <f>IF(ISERROR(VLOOKUP($A5,'Man Tab'!$A:$Q,COLUMN()+2,0)),0,VLOOKUP($A5,'Man Tab'!$A:$Q,COLUMN()+2,0))</f>
        <v>4.9406564584124654E-324</v>
      </c>
      <c r="F5" s="209">
        <f>IF(ISERROR(VLOOKUP($A5,'Man Tab'!$A:$Q,COLUMN()+2,0)),0,VLOOKUP($A5,'Man Tab'!$A:$Q,COLUMN()+2,0))</f>
        <v>4.9406564584124654E-324</v>
      </c>
      <c r="G5" s="209">
        <f>IF(ISERROR(VLOOKUP($A5,'Man Tab'!$A:$Q,COLUMN()+2,0)),0,VLOOKUP($A5,'Man Tab'!$A:$Q,COLUMN()+2,0))</f>
        <v>4.9406564584124654E-324</v>
      </c>
      <c r="H5" s="209">
        <f>IF(ISERROR(VLOOKUP($A5,'Man Tab'!$A:$Q,COLUMN()+2,0)),0,VLOOKUP($A5,'Man Tab'!$A:$Q,COLUMN()+2,0))</f>
        <v>4.9406564584124654E-324</v>
      </c>
      <c r="I5" s="209">
        <f>IF(ISERROR(VLOOKUP($A5,'Man Tab'!$A:$Q,COLUMN()+2,0)),0,VLOOKUP($A5,'Man Tab'!$A:$Q,COLUMN()+2,0))</f>
        <v>4.9406564584124654E-324</v>
      </c>
      <c r="J5" s="209">
        <f>IF(ISERROR(VLOOKUP($A5,'Man Tab'!$A:$Q,COLUMN()+2,0)),0,VLOOKUP($A5,'Man Tab'!$A:$Q,COLUMN()+2,0))</f>
        <v>4.9406564584124654E-324</v>
      </c>
      <c r="K5" s="209">
        <f>IF(ISERROR(VLOOKUP($A5,'Man Tab'!$A:$Q,COLUMN()+2,0)),0,VLOOKUP($A5,'Man Tab'!$A:$Q,COLUMN()+2,0))</f>
        <v>4.9406564584124654E-324</v>
      </c>
      <c r="L5" s="209">
        <f>IF(ISERROR(VLOOKUP($A5,'Man Tab'!$A:$Q,COLUMN()+2,0)),0,VLOOKUP($A5,'Man Tab'!$A:$Q,COLUMN()+2,0))</f>
        <v>4.9406564584124654E-324</v>
      </c>
      <c r="M5" s="209">
        <f>IF(ISERROR(VLOOKUP($A5,'Man Tab'!$A:$Q,COLUMN()+2,0)),0,VLOOKUP($A5,'Man Tab'!$A:$Q,COLUMN()+2,0))</f>
        <v>4.9406564584124654E-324</v>
      </c>
    </row>
    <row r="6" spans="1:13" ht="14.4" customHeight="1" x14ac:dyDescent="0.3">
      <c r="A6" s="210" t="s">
        <v>80</v>
      </c>
      <c r="B6" s="211">
        <f>B5</f>
        <v>1128.2546300000099</v>
      </c>
      <c r="C6" s="211">
        <f t="shared" ref="C6:M6" si="1">C5+B6</f>
        <v>2269.3421400000097</v>
      </c>
      <c r="D6" s="211">
        <f t="shared" si="1"/>
        <v>2269.3421400000097</v>
      </c>
      <c r="E6" s="211">
        <f t="shared" si="1"/>
        <v>2269.3421400000097</v>
      </c>
      <c r="F6" s="211">
        <f t="shared" si="1"/>
        <v>2269.3421400000097</v>
      </c>
      <c r="G6" s="211">
        <f t="shared" si="1"/>
        <v>2269.3421400000097</v>
      </c>
      <c r="H6" s="211">
        <f t="shared" si="1"/>
        <v>2269.3421400000097</v>
      </c>
      <c r="I6" s="211">
        <f t="shared" si="1"/>
        <v>2269.3421400000097</v>
      </c>
      <c r="J6" s="211">
        <f t="shared" si="1"/>
        <v>2269.3421400000097</v>
      </c>
      <c r="K6" s="211">
        <f t="shared" si="1"/>
        <v>2269.3421400000097</v>
      </c>
      <c r="L6" s="211">
        <f t="shared" si="1"/>
        <v>2269.3421400000097</v>
      </c>
      <c r="M6" s="211">
        <f t="shared" si="1"/>
        <v>2269.3421400000097</v>
      </c>
    </row>
    <row r="7" spans="1:13" ht="14.4" customHeight="1" x14ac:dyDescent="0.3">
      <c r="A7" s="210" t="s">
        <v>107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</row>
    <row r="8" spans="1:13" ht="14.4" customHeight="1" x14ac:dyDescent="0.3">
      <c r="A8" s="210" t="s">
        <v>81</v>
      </c>
      <c r="B8" s="211">
        <f>B7*30</f>
        <v>0</v>
      </c>
      <c r="C8" s="211">
        <f t="shared" ref="C8:M8" si="2">C7*30</f>
        <v>0</v>
      </c>
      <c r="D8" s="211">
        <f t="shared" si="2"/>
        <v>0</v>
      </c>
      <c r="E8" s="211">
        <f t="shared" si="2"/>
        <v>0</v>
      </c>
      <c r="F8" s="211">
        <f t="shared" si="2"/>
        <v>0</v>
      </c>
      <c r="G8" s="211">
        <f t="shared" si="2"/>
        <v>0</v>
      </c>
      <c r="H8" s="211">
        <f t="shared" si="2"/>
        <v>0</v>
      </c>
      <c r="I8" s="211">
        <f t="shared" si="2"/>
        <v>0</v>
      </c>
      <c r="J8" s="211">
        <f t="shared" si="2"/>
        <v>0</v>
      </c>
      <c r="K8" s="211">
        <f t="shared" si="2"/>
        <v>0</v>
      </c>
      <c r="L8" s="211">
        <f t="shared" si="2"/>
        <v>0</v>
      </c>
      <c r="M8" s="211">
        <f t="shared" si="2"/>
        <v>0</v>
      </c>
    </row>
    <row r="9" spans="1:13" ht="14.4" customHeight="1" x14ac:dyDescent="0.3">
      <c r="A9" s="210" t="s">
        <v>108</v>
      </c>
      <c r="B9" s="210">
        <v>307779</v>
      </c>
      <c r="C9" s="210">
        <v>283742</v>
      </c>
      <c r="D9" s="210">
        <v>0</v>
      </c>
      <c r="E9" s="210">
        <v>0</v>
      </c>
      <c r="F9" s="210">
        <v>0</v>
      </c>
      <c r="G9" s="210">
        <v>0</v>
      </c>
      <c r="H9" s="210">
        <v>0</v>
      </c>
      <c r="I9" s="210">
        <v>0</v>
      </c>
      <c r="J9" s="210">
        <v>0</v>
      </c>
      <c r="K9" s="210">
        <v>0</v>
      </c>
      <c r="L9" s="210">
        <v>0</v>
      </c>
      <c r="M9" s="210">
        <v>0</v>
      </c>
    </row>
    <row r="10" spans="1:13" ht="14.4" customHeight="1" x14ac:dyDescent="0.3">
      <c r="A10" s="210" t="s">
        <v>82</v>
      </c>
      <c r="B10" s="211">
        <f>B9/1000</f>
        <v>307.779</v>
      </c>
      <c r="C10" s="211">
        <f t="shared" ref="C10:M10" si="3">C9/1000+B10</f>
        <v>591.52099999999996</v>
      </c>
      <c r="D10" s="211">
        <f t="shared" si="3"/>
        <v>591.52099999999996</v>
      </c>
      <c r="E10" s="211">
        <f t="shared" si="3"/>
        <v>591.52099999999996</v>
      </c>
      <c r="F10" s="211">
        <f t="shared" si="3"/>
        <v>591.52099999999996</v>
      </c>
      <c r="G10" s="211">
        <f t="shared" si="3"/>
        <v>591.52099999999996</v>
      </c>
      <c r="H10" s="211">
        <f t="shared" si="3"/>
        <v>591.52099999999996</v>
      </c>
      <c r="I10" s="211">
        <f t="shared" si="3"/>
        <v>591.52099999999996</v>
      </c>
      <c r="J10" s="211">
        <f t="shared" si="3"/>
        <v>591.52099999999996</v>
      </c>
      <c r="K10" s="211">
        <f t="shared" si="3"/>
        <v>591.52099999999996</v>
      </c>
      <c r="L10" s="211">
        <f t="shared" si="3"/>
        <v>591.52099999999996</v>
      </c>
      <c r="M10" s="211">
        <f t="shared" si="3"/>
        <v>591.52099999999996</v>
      </c>
    </row>
    <row r="11" spans="1:13" ht="14.4" customHeight="1" x14ac:dyDescent="0.3">
      <c r="A11" s="206"/>
      <c r="B11" s="206" t="s">
        <v>97</v>
      </c>
      <c r="C11" s="206">
        <f>COUNTIF(B7:M7,"&lt;&gt;")</f>
        <v>0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</row>
    <row r="12" spans="1:13" ht="14.4" customHeight="1" x14ac:dyDescent="0.3">
      <c r="A12" s="206">
        <v>0</v>
      </c>
      <c r="B12" s="209">
        <f>IF(ISERROR(HI!F15),#REF!,HI!F15)</f>
        <v>0.23131354939476767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</row>
    <row r="13" spans="1:13" ht="14.4" customHeight="1" x14ac:dyDescent="0.3">
      <c r="A13" s="206">
        <v>1</v>
      </c>
      <c r="B13" s="209">
        <f>IF(ISERROR(HI!F15),#REF!,HI!F15)</f>
        <v>0.23131354939476767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6" bestFit="1" customWidth="1"/>
    <col min="2" max="2" width="12.77734375" style="136" bestFit="1" customWidth="1"/>
    <col min="3" max="3" width="13.6640625" style="136" bestFit="1" customWidth="1"/>
    <col min="4" max="15" width="7.77734375" style="136" bestFit="1" customWidth="1"/>
    <col min="16" max="16" width="8.88671875" style="136" customWidth="1"/>
    <col min="17" max="17" width="6.6640625" style="136" bestFit="1" customWidth="1"/>
    <col min="18" max="16384" width="8.88671875" style="136"/>
  </cols>
  <sheetData>
    <row r="1" spans="1:17" s="212" customFormat="1" ht="18.600000000000001" customHeight="1" thickBot="1" x14ac:dyDescent="0.4">
      <c r="A1" s="327" t="s">
        <v>251</v>
      </c>
      <c r="B1" s="327"/>
      <c r="C1" s="327"/>
      <c r="D1" s="327"/>
      <c r="E1" s="327"/>
      <c r="F1" s="327"/>
      <c r="G1" s="327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212" customFormat="1" ht="14.4" customHeight="1" thickBot="1" x14ac:dyDescent="0.3">
      <c r="A2" s="243" t="s">
        <v>249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</row>
    <row r="3" spans="1:17" ht="14.4" customHeight="1" x14ac:dyDescent="0.3">
      <c r="A3" s="76"/>
      <c r="B3" s="328" t="s">
        <v>32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144"/>
      <c r="Q3" s="146"/>
    </row>
    <row r="4" spans="1:17" ht="14.4" customHeight="1" x14ac:dyDescent="0.3">
      <c r="A4" s="77"/>
      <c r="B4" s="20">
        <v>2014</v>
      </c>
      <c r="C4" s="145" t="s">
        <v>33</v>
      </c>
      <c r="D4" s="135" t="s">
        <v>173</v>
      </c>
      <c r="E4" s="135" t="s">
        <v>174</v>
      </c>
      <c r="F4" s="135" t="s">
        <v>175</v>
      </c>
      <c r="G4" s="135" t="s">
        <v>176</v>
      </c>
      <c r="H4" s="135" t="s">
        <v>177</v>
      </c>
      <c r="I4" s="135" t="s">
        <v>178</v>
      </c>
      <c r="J4" s="135" t="s">
        <v>179</v>
      </c>
      <c r="K4" s="135" t="s">
        <v>180</v>
      </c>
      <c r="L4" s="135" t="s">
        <v>181</v>
      </c>
      <c r="M4" s="135" t="s">
        <v>182</v>
      </c>
      <c r="N4" s="135" t="s">
        <v>183</v>
      </c>
      <c r="O4" s="135" t="s">
        <v>184</v>
      </c>
      <c r="P4" s="330" t="s">
        <v>6</v>
      </c>
      <c r="Q4" s="331"/>
    </row>
    <row r="5" spans="1:17" ht="14.4" customHeight="1" thickBot="1" x14ac:dyDescent="0.35">
      <c r="A5" s="78"/>
      <c r="B5" s="21" t="s">
        <v>34</v>
      </c>
      <c r="C5" s="22" t="s">
        <v>34</v>
      </c>
      <c r="D5" s="22" t="s">
        <v>35</v>
      </c>
      <c r="E5" s="22" t="s">
        <v>35</v>
      </c>
      <c r="F5" s="22" t="s">
        <v>35</v>
      </c>
      <c r="G5" s="22" t="s">
        <v>35</v>
      </c>
      <c r="H5" s="22" t="s">
        <v>35</v>
      </c>
      <c r="I5" s="22" t="s">
        <v>35</v>
      </c>
      <c r="J5" s="22" t="s">
        <v>35</v>
      </c>
      <c r="K5" s="22" t="s">
        <v>35</v>
      </c>
      <c r="L5" s="22" t="s">
        <v>35</v>
      </c>
      <c r="M5" s="22" t="s">
        <v>35</v>
      </c>
      <c r="N5" s="22" t="s">
        <v>35</v>
      </c>
      <c r="O5" s="22" t="s">
        <v>35</v>
      </c>
      <c r="P5" s="22" t="s">
        <v>35</v>
      </c>
      <c r="Q5" s="23" t="s">
        <v>36</v>
      </c>
    </row>
    <row r="6" spans="1:17" ht="14.4" customHeight="1" x14ac:dyDescent="0.3">
      <c r="A6" s="14" t="s">
        <v>37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9.8813129168249309E-324</v>
      </c>
      <c r="Q6" s="95" t="s">
        <v>250</v>
      </c>
    </row>
    <row r="7" spans="1:17" ht="14.4" customHeight="1" x14ac:dyDescent="0.3">
      <c r="A7" s="15" t="s">
        <v>38</v>
      </c>
      <c r="B7" s="51">
        <v>144.059134131088</v>
      </c>
      <c r="C7" s="52">
        <v>12.004927844257001</v>
      </c>
      <c r="D7" s="52">
        <v>9.71326</v>
      </c>
      <c r="E7" s="52">
        <v>9.8690499999999997</v>
      </c>
      <c r="F7" s="52">
        <v>4.9406564584124654E-324</v>
      </c>
      <c r="G7" s="52">
        <v>4.9406564584124654E-324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19.58231</v>
      </c>
      <c r="Q7" s="96">
        <v>0.81559465637899997</v>
      </c>
    </row>
    <row r="8" spans="1:17" ht="14.4" customHeight="1" x14ac:dyDescent="0.3">
      <c r="A8" s="15" t="s">
        <v>39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9.8813129168249309E-324</v>
      </c>
      <c r="Q8" s="96" t="s">
        <v>250</v>
      </c>
    </row>
    <row r="9" spans="1:17" ht="14.4" customHeight="1" x14ac:dyDescent="0.3">
      <c r="A9" s="15" t="s">
        <v>40</v>
      </c>
      <c r="B9" s="51">
        <v>1661.0028975825201</v>
      </c>
      <c r="C9" s="52">
        <v>138.41690813187699</v>
      </c>
      <c r="D9" s="52">
        <v>99.303439999999995</v>
      </c>
      <c r="E9" s="52">
        <v>117.96165000000001</v>
      </c>
      <c r="F9" s="52">
        <v>4.9406564584124654E-324</v>
      </c>
      <c r="G9" s="52">
        <v>4.9406564584124654E-324</v>
      </c>
      <c r="H9" s="52">
        <v>4.9406564584124654E-324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217.26508999999999</v>
      </c>
      <c r="Q9" s="96">
        <v>0.78482135214600002</v>
      </c>
    </row>
    <row r="10" spans="1:17" ht="14.4" customHeight="1" x14ac:dyDescent="0.3">
      <c r="A10" s="15" t="s">
        <v>41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9.8813129168249309E-324</v>
      </c>
      <c r="Q10" s="96" t="s">
        <v>250</v>
      </c>
    </row>
    <row r="11" spans="1:17" ht="14.4" customHeight="1" x14ac:dyDescent="0.3">
      <c r="A11" s="15" t="s">
        <v>42</v>
      </c>
      <c r="B11" s="51">
        <v>66.666134213592002</v>
      </c>
      <c r="C11" s="52">
        <v>5.5555111844659999</v>
      </c>
      <c r="D11" s="52">
        <v>1.2222299999999999</v>
      </c>
      <c r="E11" s="52">
        <v>2.3696999999999999</v>
      </c>
      <c r="F11" s="52">
        <v>4.9406564584124654E-324</v>
      </c>
      <c r="G11" s="52">
        <v>4.9406564584124654E-324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3.5919300000000001</v>
      </c>
      <c r="Q11" s="96">
        <v>0.323276281941</v>
      </c>
    </row>
    <row r="12" spans="1:17" ht="14.4" customHeight="1" x14ac:dyDescent="0.3">
      <c r="A12" s="15" t="s">
        <v>43</v>
      </c>
      <c r="B12" s="51">
        <v>18.244089757295999</v>
      </c>
      <c r="C12" s="52">
        <v>1.5203408131080001</v>
      </c>
      <c r="D12" s="52">
        <v>2.4195000000000002</v>
      </c>
      <c r="E12" s="52">
        <v>6.8006900000000003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9.2201900000000006</v>
      </c>
      <c r="Q12" s="96">
        <v>3.0322773421929998</v>
      </c>
    </row>
    <row r="13" spans="1:17" ht="14.4" customHeight="1" x14ac:dyDescent="0.3">
      <c r="A13" s="15" t="s">
        <v>44</v>
      </c>
      <c r="B13" s="51">
        <v>249.03425262782599</v>
      </c>
      <c r="C13" s="52">
        <v>20.752854385652</v>
      </c>
      <c r="D13" s="52">
        <v>2.5407600000000001</v>
      </c>
      <c r="E13" s="52">
        <v>1.0293099999999999</v>
      </c>
      <c r="F13" s="52">
        <v>4.9406564584124654E-324</v>
      </c>
      <c r="G13" s="52">
        <v>4.9406564584124654E-324</v>
      </c>
      <c r="H13" s="52">
        <v>4.9406564584124654E-324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3.5700699999999999</v>
      </c>
      <c r="Q13" s="96">
        <v>8.6013950987999993E-2</v>
      </c>
    </row>
    <row r="14" spans="1:17" ht="14.4" customHeight="1" x14ac:dyDescent="0.3">
      <c r="A14" s="15" t="s">
        <v>45</v>
      </c>
      <c r="B14" s="51">
        <v>400.31979615295302</v>
      </c>
      <c r="C14" s="52">
        <v>33.359983012746</v>
      </c>
      <c r="D14" s="52">
        <v>39.299999999999997</v>
      </c>
      <c r="E14" s="52">
        <v>31.669</v>
      </c>
      <c r="F14" s="52">
        <v>4.9406564584124654E-324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70.968999999999994</v>
      </c>
      <c r="Q14" s="96">
        <v>1.063684594396</v>
      </c>
    </row>
    <row r="15" spans="1:17" ht="14.4" customHeight="1" x14ac:dyDescent="0.3">
      <c r="A15" s="15" t="s">
        <v>46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9.8813129168249309E-324</v>
      </c>
      <c r="Q15" s="96" t="s">
        <v>250</v>
      </c>
    </row>
    <row r="16" spans="1:17" ht="14.4" customHeight="1" x14ac:dyDescent="0.3">
      <c r="A16" s="15" t="s">
        <v>47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9.8813129168249309E-324</v>
      </c>
      <c r="Q16" s="96" t="s">
        <v>250</v>
      </c>
    </row>
    <row r="17" spans="1:17" ht="14.4" customHeight="1" x14ac:dyDescent="0.3">
      <c r="A17" s="15" t="s">
        <v>48</v>
      </c>
      <c r="B17" s="51">
        <v>36.838875787467003</v>
      </c>
      <c r="C17" s="52">
        <v>3.0699063156220001</v>
      </c>
      <c r="D17" s="52">
        <v>4.9406564584124654E-324</v>
      </c>
      <c r="E17" s="52">
        <v>0.17852999999999999</v>
      </c>
      <c r="F17" s="52">
        <v>4.9406564584124654E-324</v>
      </c>
      <c r="G17" s="52">
        <v>4.9406564584124654E-324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0.17852999999999999</v>
      </c>
      <c r="Q17" s="96">
        <v>2.907743456E-2</v>
      </c>
    </row>
    <row r="18" spans="1:17" ht="14.4" customHeight="1" x14ac:dyDescent="0.3">
      <c r="A18" s="15" t="s">
        <v>49</v>
      </c>
      <c r="B18" s="51">
        <v>0</v>
      </c>
      <c r="C18" s="52">
        <v>0</v>
      </c>
      <c r="D18" s="52">
        <v>1.712</v>
      </c>
      <c r="E18" s="52">
        <v>0.10199999999999999</v>
      </c>
      <c r="F18" s="52">
        <v>4.9406564584124654E-324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1.8140000000000001</v>
      </c>
      <c r="Q18" s="96" t="s">
        <v>250</v>
      </c>
    </row>
    <row r="19" spans="1:17" ht="14.4" customHeight="1" x14ac:dyDescent="0.3">
      <c r="A19" s="15" t="s">
        <v>50</v>
      </c>
      <c r="B19" s="51">
        <v>430.71189430440302</v>
      </c>
      <c r="C19" s="52">
        <v>35.892657858699998</v>
      </c>
      <c r="D19" s="52">
        <v>50.099969999999999</v>
      </c>
      <c r="E19" s="52">
        <v>4.9837499999999997</v>
      </c>
      <c r="F19" s="52">
        <v>4.9406564584124654E-324</v>
      </c>
      <c r="G19" s="52">
        <v>4.9406564584124654E-324</v>
      </c>
      <c r="H19" s="52">
        <v>4.9406564584124654E-324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55.08372</v>
      </c>
      <c r="Q19" s="96">
        <v>0.76733966340399995</v>
      </c>
    </row>
    <row r="20" spans="1:17" ht="14.4" customHeight="1" x14ac:dyDescent="0.3">
      <c r="A20" s="15" t="s">
        <v>51</v>
      </c>
      <c r="B20" s="51">
        <v>10074.049832651401</v>
      </c>
      <c r="C20" s="52">
        <v>839.50415272094699</v>
      </c>
      <c r="D20" s="52">
        <v>851.18882000000394</v>
      </c>
      <c r="E20" s="52">
        <v>876.59157000000005</v>
      </c>
      <c r="F20" s="52">
        <v>4.9406564584124654E-324</v>
      </c>
      <c r="G20" s="52">
        <v>4.9406564584124654E-324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1727.7803899999999</v>
      </c>
      <c r="Q20" s="96">
        <v>1.0290481496720001</v>
      </c>
    </row>
    <row r="21" spans="1:17" ht="14.4" customHeight="1" x14ac:dyDescent="0.3">
      <c r="A21" s="16" t="s">
        <v>52</v>
      </c>
      <c r="B21" s="51">
        <v>797.06966017508898</v>
      </c>
      <c r="C21" s="52">
        <v>66.422471681256994</v>
      </c>
      <c r="D21" s="52">
        <v>66.403000000000006</v>
      </c>
      <c r="E21" s="52">
        <v>66.402000000000001</v>
      </c>
      <c r="F21" s="52">
        <v>1.4821969375237396E-323</v>
      </c>
      <c r="G21" s="52">
        <v>1.4821969375237396E-323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132.80500000000001</v>
      </c>
      <c r="Q21" s="96">
        <v>0.99969932342500001</v>
      </c>
    </row>
    <row r="22" spans="1:17" ht="14.4" customHeight="1" x14ac:dyDescent="0.3">
      <c r="A22" s="15" t="s">
        <v>53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9.8813129168249309E-324</v>
      </c>
      <c r="Q22" s="96" t="s">
        <v>250</v>
      </c>
    </row>
    <row r="23" spans="1:17" ht="14.4" customHeight="1" x14ac:dyDescent="0.3">
      <c r="A23" s="16" t="s">
        <v>54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3.9525251667299724E-323</v>
      </c>
      <c r="Q23" s="96" t="s">
        <v>250</v>
      </c>
    </row>
    <row r="24" spans="1:17" ht="14.4" customHeight="1" x14ac:dyDescent="0.3">
      <c r="A24" s="16" t="s">
        <v>55</v>
      </c>
      <c r="B24" s="51">
        <v>0</v>
      </c>
      <c r="C24" s="52">
        <v>2.2737367544323201E-13</v>
      </c>
      <c r="D24" s="52">
        <v>4.3516500000000002</v>
      </c>
      <c r="E24" s="52">
        <v>23.13026</v>
      </c>
      <c r="F24" s="52">
        <v>-1.0869444208507424E-322</v>
      </c>
      <c r="G24" s="52">
        <v>-1.0869444208507424E-322</v>
      </c>
      <c r="H24" s="52">
        <v>-1.0869444208507424E-322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27.481909999999999</v>
      </c>
      <c r="Q24" s="96"/>
    </row>
    <row r="25" spans="1:17" ht="14.4" customHeight="1" x14ac:dyDescent="0.3">
      <c r="A25" s="17" t="s">
        <v>56</v>
      </c>
      <c r="B25" s="54">
        <v>13877.9965673836</v>
      </c>
      <c r="C25" s="55">
        <v>1156.49971394863</v>
      </c>
      <c r="D25" s="55">
        <v>1128.2546300000099</v>
      </c>
      <c r="E25" s="55">
        <v>1141.0875100000001</v>
      </c>
      <c r="F25" s="55">
        <v>4.9406564584124654E-324</v>
      </c>
      <c r="G25" s="55">
        <v>4.9406564584124654E-324</v>
      </c>
      <c r="H25" s="55">
        <v>4.9406564584124654E-324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2269.3421400000102</v>
      </c>
      <c r="Q25" s="97">
        <v>0.98112524915800003</v>
      </c>
    </row>
    <row r="26" spans="1:17" ht="14.4" customHeight="1" x14ac:dyDescent="0.3">
      <c r="A26" s="15" t="s">
        <v>57</v>
      </c>
      <c r="B26" s="51">
        <v>1892.00141763538</v>
      </c>
      <c r="C26" s="52">
        <v>157.666784802949</v>
      </c>
      <c r="D26" s="52">
        <v>144.91849999999999</v>
      </c>
      <c r="E26" s="52">
        <v>136.98090999999999</v>
      </c>
      <c r="F26" s="52">
        <v>4.9406564584124654E-324</v>
      </c>
      <c r="G26" s="52">
        <v>4.9406564584124654E-324</v>
      </c>
      <c r="H26" s="52">
        <v>4.9406564584124654E-324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281.89940999999999</v>
      </c>
      <c r="Q26" s="96">
        <v>0.89397208915000004</v>
      </c>
    </row>
    <row r="27" spans="1:17" ht="14.4" customHeight="1" x14ac:dyDescent="0.3">
      <c r="A27" s="18" t="s">
        <v>58</v>
      </c>
      <c r="B27" s="54">
        <v>15769.997985018999</v>
      </c>
      <c r="C27" s="55">
        <v>1314.1664987515801</v>
      </c>
      <c r="D27" s="55">
        <v>1273.1731300000099</v>
      </c>
      <c r="E27" s="55">
        <v>1278.0684200000001</v>
      </c>
      <c r="F27" s="55">
        <v>9.8813129168249309E-324</v>
      </c>
      <c r="G27" s="55">
        <v>9.8813129168249309E-324</v>
      </c>
      <c r="H27" s="55">
        <v>9.8813129168249309E-324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2551.2415500000102</v>
      </c>
      <c r="Q27" s="97">
        <v>0.97066907139299996</v>
      </c>
    </row>
    <row r="28" spans="1:17" ht="14.4" customHeight="1" x14ac:dyDescent="0.3">
      <c r="A28" s="16" t="s">
        <v>59</v>
      </c>
      <c r="B28" s="51">
        <v>1918.16234905383</v>
      </c>
      <c r="C28" s="52">
        <v>159.846862421152</v>
      </c>
      <c r="D28" s="52">
        <v>237.55802</v>
      </c>
      <c r="E28" s="52">
        <v>158.72531000000001</v>
      </c>
      <c r="F28" s="52">
        <v>1.2351641146031164E-322</v>
      </c>
      <c r="G28" s="52">
        <v>1.2351641146031164E-322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396.28332999999998</v>
      </c>
      <c r="Q28" s="96">
        <v>1.239571812663</v>
      </c>
    </row>
    <row r="29" spans="1:17" ht="14.4" customHeight="1" x14ac:dyDescent="0.3">
      <c r="A29" s="16" t="s">
        <v>60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1.9762625833649862E-323</v>
      </c>
      <c r="Q29" s="96" t="s">
        <v>250</v>
      </c>
    </row>
    <row r="30" spans="1:17" ht="14.4" customHeight="1" x14ac:dyDescent="0.3">
      <c r="A30" s="16" t="s">
        <v>61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9.8813129168249309E-323</v>
      </c>
      <c r="Q30" s="96">
        <v>0</v>
      </c>
    </row>
    <row r="31" spans="1:17" ht="14.4" customHeight="1" thickBot="1" x14ac:dyDescent="0.35">
      <c r="A31" s="19" t="s">
        <v>62</v>
      </c>
      <c r="B31" s="57">
        <v>1.9762625833649862E-323</v>
      </c>
      <c r="C31" s="58">
        <v>0</v>
      </c>
      <c r="D31" s="58">
        <v>2.552</v>
      </c>
      <c r="E31" s="58">
        <v>4.28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6.8319999999999999</v>
      </c>
      <c r="Q31" s="98" t="s">
        <v>250</v>
      </c>
    </row>
    <row r="32" spans="1:17" ht="14.4" customHeight="1" x14ac:dyDescent="0.3"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1:17" ht="14.4" customHeight="1" x14ac:dyDescent="0.3">
      <c r="A33" s="119" t="s">
        <v>166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</row>
    <row r="34" spans="1:17" ht="14.4" customHeight="1" x14ac:dyDescent="0.3">
      <c r="A34" s="142" t="s">
        <v>194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</row>
    <row r="35" spans="1:17" ht="14.4" customHeight="1" x14ac:dyDescent="0.3">
      <c r="A35" s="143" t="s">
        <v>63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6" customWidth="1"/>
    <col min="2" max="11" width="10" style="136" customWidth="1"/>
    <col min="12" max="16384" width="8.88671875" style="136"/>
  </cols>
  <sheetData>
    <row r="1" spans="1:11" s="60" customFormat="1" ht="18.600000000000001" customHeight="1" thickBot="1" x14ac:dyDescent="0.4">
      <c r="A1" s="327" t="s">
        <v>64</v>
      </c>
      <c r="B1" s="327"/>
      <c r="C1" s="327"/>
      <c r="D1" s="327"/>
      <c r="E1" s="327"/>
      <c r="F1" s="327"/>
      <c r="G1" s="327"/>
      <c r="H1" s="332"/>
      <c r="I1" s="332"/>
      <c r="J1" s="332"/>
      <c r="K1" s="332"/>
    </row>
    <row r="2" spans="1:11" s="60" customFormat="1" ht="14.4" customHeight="1" thickBot="1" x14ac:dyDescent="0.35">
      <c r="A2" s="243" t="s">
        <v>249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8" t="s">
        <v>65</v>
      </c>
      <c r="C3" s="329"/>
      <c r="D3" s="329"/>
      <c r="E3" s="329"/>
      <c r="F3" s="335" t="s">
        <v>66</v>
      </c>
      <c r="G3" s="329"/>
      <c r="H3" s="329"/>
      <c r="I3" s="329"/>
      <c r="J3" s="329"/>
      <c r="K3" s="336"/>
    </row>
    <row r="4" spans="1:11" ht="14.4" customHeight="1" x14ac:dyDescent="0.3">
      <c r="A4" s="77"/>
      <c r="B4" s="333"/>
      <c r="C4" s="334"/>
      <c r="D4" s="334"/>
      <c r="E4" s="334"/>
      <c r="F4" s="337" t="s">
        <v>189</v>
      </c>
      <c r="G4" s="339" t="s">
        <v>67</v>
      </c>
      <c r="H4" s="147" t="s">
        <v>149</v>
      </c>
      <c r="I4" s="337" t="s">
        <v>68</v>
      </c>
      <c r="J4" s="339" t="s">
        <v>191</v>
      </c>
      <c r="K4" s="340" t="s">
        <v>192</v>
      </c>
    </row>
    <row r="5" spans="1:11" ht="42" thickBot="1" x14ac:dyDescent="0.35">
      <c r="A5" s="78"/>
      <c r="B5" s="24" t="s">
        <v>185</v>
      </c>
      <c r="C5" s="25" t="s">
        <v>186</v>
      </c>
      <c r="D5" s="26" t="s">
        <v>187</v>
      </c>
      <c r="E5" s="26" t="s">
        <v>188</v>
      </c>
      <c r="F5" s="338"/>
      <c r="G5" s="338"/>
      <c r="H5" s="25" t="s">
        <v>190</v>
      </c>
      <c r="I5" s="338"/>
      <c r="J5" s="338"/>
      <c r="K5" s="341"/>
    </row>
    <row r="6" spans="1:11" ht="14.4" customHeight="1" thickBot="1" x14ac:dyDescent="0.35">
      <c r="A6" s="417" t="s">
        <v>252</v>
      </c>
      <c r="B6" s="399">
        <v>14801.6216777435</v>
      </c>
      <c r="C6" s="399">
        <v>14867.72766</v>
      </c>
      <c r="D6" s="400">
        <v>66.105982256546994</v>
      </c>
      <c r="E6" s="401">
        <v>1.0044661310559999</v>
      </c>
      <c r="F6" s="399">
        <v>13877.9965673836</v>
      </c>
      <c r="G6" s="400">
        <v>2312.9994278972699</v>
      </c>
      <c r="H6" s="402">
        <v>1141.0875100000001</v>
      </c>
      <c r="I6" s="399">
        <v>2269.3421400000102</v>
      </c>
      <c r="J6" s="400">
        <v>-43.657287897259998</v>
      </c>
      <c r="K6" s="403">
        <v>0.16352087485899999</v>
      </c>
    </row>
    <row r="7" spans="1:11" ht="14.4" customHeight="1" thickBot="1" x14ac:dyDescent="0.35">
      <c r="A7" s="418" t="s">
        <v>253</v>
      </c>
      <c r="B7" s="399">
        <v>2646.3940976260601</v>
      </c>
      <c r="C7" s="399">
        <v>2382.1484700000001</v>
      </c>
      <c r="D7" s="400">
        <v>-264.24562762605399</v>
      </c>
      <c r="E7" s="401">
        <v>0.90014879950600002</v>
      </c>
      <c r="F7" s="399">
        <v>2539.3263044652699</v>
      </c>
      <c r="G7" s="400">
        <v>423.22105074421199</v>
      </c>
      <c r="H7" s="402">
        <v>173.97966</v>
      </c>
      <c r="I7" s="399">
        <v>331.03050000000098</v>
      </c>
      <c r="J7" s="400">
        <v>-92.190550744210995</v>
      </c>
      <c r="K7" s="403">
        <v>0.130361544878</v>
      </c>
    </row>
    <row r="8" spans="1:11" ht="14.4" customHeight="1" thickBot="1" x14ac:dyDescent="0.35">
      <c r="A8" s="419" t="s">
        <v>254</v>
      </c>
      <c r="B8" s="399">
        <v>2076.55788754901</v>
      </c>
      <c r="C8" s="399">
        <v>1986.17347</v>
      </c>
      <c r="D8" s="400">
        <v>-90.384417549003999</v>
      </c>
      <c r="E8" s="401">
        <v>0.956473923462</v>
      </c>
      <c r="F8" s="399">
        <v>2139.00650831232</v>
      </c>
      <c r="G8" s="400">
        <v>356.50108471871999</v>
      </c>
      <c r="H8" s="402">
        <v>142.31066000000001</v>
      </c>
      <c r="I8" s="399">
        <v>260.06150000000099</v>
      </c>
      <c r="J8" s="400">
        <v>-96.439584718719004</v>
      </c>
      <c r="K8" s="403">
        <v>0.121580508983</v>
      </c>
    </row>
    <row r="9" spans="1:11" ht="14.4" customHeight="1" thickBot="1" x14ac:dyDescent="0.35">
      <c r="A9" s="420" t="s">
        <v>255</v>
      </c>
      <c r="B9" s="404">
        <v>4.9406564584124654E-324</v>
      </c>
      <c r="C9" s="404">
        <v>2.7999999999999998E-4</v>
      </c>
      <c r="D9" s="405">
        <v>2.7999999999999998E-4</v>
      </c>
      <c r="E9" s="406" t="s">
        <v>256</v>
      </c>
      <c r="F9" s="404">
        <v>0</v>
      </c>
      <c r="G9" s="405">
        <v>0</v>
      </c>
      <c r="H9" s="407">
        <v>2.5999999999999998E-4</v>
      </c>
      <c r="I9" s="404">
        <v>-9.00000000000017E-5</v>
      </c>
      <c r="J9" s="405">
        <v>-9.00000000000017E-5</v>
      </c>
      <c r="K9" s="408" t="s">
        <v>250</v>
      </c>
    </row>
    <row r="10" spans="1:11" ht="14.4" customHeight="1" thickBot="1" x14ac:dyDescent="0.35">
      <c r="A10" s="421" t="s">
        <v>257</v>
      </c>
      <c r="B10" s="399">
        <v>4.9406564584124654E-324</v>
      </c>
      <c r="C10" s="399">
        <v>2.7999999999999998E-4</v>
      </c>
      <c r="D10" s="400">
        <v>2.7999999999999998E-4</v>
      </c>
      <c r="E10" s="409" t="s">
        <v>256</v>
      </c>
      <c r="F10" s="399">
        <v>0</v>
      </c>
      <c r="G10" s="400">
        <v>0</v>
      </c>
      <c r="H10" s="402">
        <v>2.5999999999999998E-4</v>
      </c>
      <c r="I10" s="399">
        <v>-9.00000000000017E-5</v>
      </c>
      <c r="J10" s="400">
        <v>-9.00000000000017E-5</v>
      </c>
      <c r="K10" s="410" t="s">
        <v>250</v>
      </c>
    </row>
    <row r="11" spans="1:11" ht="14.4" customHeight="1" thickBot="1" x14ac:dyDescent="0.35">
      <c r="A11" s="420" t="s">
        <v>258</v>
      </c>
      <c r="B11" s="404">
        <v>148.28513525250301</v>
      </c>
      <c r="C11" s="404">
        <v>143.63378</v>
      </c>
      <c r="D11" s="405">
        <v>-4.6513552525030004</v>
      </c>
      <c r="E11" s="411">
        <v>0.96863235654299995</v>
      </c>
      <c r="F11" s="404">
        <v>144.059134131088</v>
      </c>
      <c r="G11" s="405">
        <v>24.009855688514001</v>
      </c>
      <c r="H11" s="407">
        <v>9.8690499999999997</v>
      </c>
      <c r="I11" s="404">
        <v>19.58231</v>
      </c>
      <c r="J11" s="405">
        <v>-4.4275456885139999</v>
      </c>
      <c r="K11" s="412">
        <v>0.13593244272900001</v>
      </c>
    </row>
    <row r="12" spans="1:11" ht="14.4" customHeight="1" thickBot="1" x14ac:dyDescent="0.35">
      <c r="A12" s="421" t="s">
        <v>259</v>
      </c>
      <c r="B12" s="399">
        <v>117.108227038655</v>
      </c>
      <c r="C12" s="399">
        <v>115.86833</v>
      </c>
      <c r="D12" s="400">
        <v>-1.2398970386549999</v>
      </c>
      <c r="E12" s="401">
        <v>0.98941238314299995</v>
      </c>
      <c r="F12" s="399">
        <v>115.956099177507</v>
      </c>
      <c r="G12" s="400">
        <v>19.326016529583999</v>
      </c>
      <c r="H12" s="402">
        <v>7.4843999999999999</v>
      </c>
      <c r="I12" s="399">
        <v>16.087060000000001</v>
      </c>
      <c r="J12" s="400">
        <v>-3.2389565295840002</v>
      </c>
      <c r="K12" s="403">
        <v>0.13873405637200001</v>
      </c>
    </row>
    <row r="13" spans="1:11" ht="14.4" customHeight="1" thickBot="1" x14ac:dyDescent="0.35">
      <c r="A13" s="421" t="s">
        <v>260</v>
      </c>
      <c r="B13" s="399">
        <v>26.612816874229999</v>
      </c>
      <c r="C13" s="399">
        <v>27.765450000000001</v>
      </c>
      <c r="D13" s="400">
        <v>1.1526331257689999</v>
      </c>
      <c r="E13" s="401">
        <v>1.0433112034400001</v>
      </c>
      <c r="F13" s="399">
        <v>28.103034953580998</v>
      </c>
      <c r="G13" s="400">
        <v>4.6838391589299997</v>
      </c>
      <c r="H13" s="402">
        <v>2.3846500000000002</v>
      </c>
      <c r="I13" s="399">
        <v>3.49525</v>
      </c>
      <c r="J13" s="400">
        <v>-1.1885891589299999</v>
      </c>
      <c r="K13" s="403">
        <v>0.12437268806600001</v>
      </c>
    </row>
    <row r="14" spans="1:11" ht="14.4" customHeight="1" thickBot="1" x14ac:dyDescent="0.35">
      <c r="A14" s="420" t="s">
        <v>261</v>
      </c>
      <c r="B14" s="404">
        <v>1643.34164073733</v>
      </c>
      <c r="C14" s="404">
        <v>1632.6005299999999</v>
      </c>
      <c r="D14" s="405">
        <v>-10.741110737326</v>
      </c>
      <c r="E14" s="411">
        <v>0.99346386017900001</v>
      </c>
      <c r="F14" s="404">
        <v>1661.0028975825201</v>
      </c>
      <c r="G14" s="405">
        <v>276.83381626375302</v>
      </c>
      <c r="H14" s="407">
        <v>117.96165000000001</v>
      </c>
      <c r="I14" s="404">
        <v>217.26508999999999</v>
      </c>
      <c r="J14" s="405">
        <v>-59.568726263751998</v>
      </c>
      <c r="K14" s="412">
        <v>0.13080355869099999</v>
      </c>
    </row>
    <row r="15" spans="1:11" ht="14.4" customHeight="1" thickBot="1" x14ac:dyDescent="0.35">
      <c r="A15" s="421" t="s">
        <v>262</v>
      </c>
      <c r="B15" s="399">
        <v>375.585802346219</v>
      </c>
      <c r="C15" s="399">
        <v>396.61072000000001</v>
      </c>
      <c r="D15" s="400">
        <v>21.024917653780001</v>
      </c>
      <c r="E15" s="401">
        <v>1.0559790000639999</v>
      </c>
      <c r="F15" s="399">
        <v>17.999990308085</v>
      </c>
      <c r="G15" s="400">
        <v>2.99999838468</v>
      </c>
      <c r="H15" s="402">
        <v>2.8317999999999999</v>
      </c>
      <c r="I15" s="399">
        <v>2.8317999999999999</v>
      </c>
      <c r="J15" s="400">
        <v>-0.16819838468000001</v>
      </c>
      <c r="K15" s="403">
        <v>0.15732230692999999</v>
      </c>
    </row>
    <row r="16" spans="1:11" ht="14.4" customHeight="1" thickBot="1" x14ac:dyDescent="0.35">
      <c r="A16" s="421" t="s">
        <v>263</v>
      </c>
      <c r="B16" s="399">
        <v>463.999999999978</v>
      </c>
      <c r="C16" s="399">
        <v>398.37905999999998</v>
      </c>
      <c r="D16" s="400">
        <v>-65.620939999978006</v>
      </c>
      <c r="E16" s="401">
        <v>0.85857556034399996</v>
      </c>
      <c r="F16" s="399">
        <v>399.99978462413401</v>
      </c>
      <c r="G16" s="400">
        <v>66.666630770688002</v>
      </c>
      <c r="H16" s="402">
        <v>4.9406564584124654E-324</v>
      </c>
      <c r="I16" s="399">
        <v>69.565219999999997</v>
      </c>
      <c r="J16" s="400">
        <v>2.8985892293109998</v>
      </c>
      <c r="K16" s="403">
        <v>0.173913143641</v>
      </c>
    </row>
    <row r="17" spans="1:11" ht="14.4" customHeight="1" thickBot="1" x14ac:dyDescent="0.35">
      <c r="A17" s="421" t="s">
        <v>264</v>
      </c>
      <c r="B17" s="399">
        <v>4.9406564584124654E-324</v>
      </c>
      <c r="C17" s="399">
        <v>4.9406564584124654E-324</v>
      </c>
      <c r="D17" s="400">
        <v>0</v>
      </c>
      <c r="E17" s="401">
        <v>1</v>
      </c>
      <c r="F17" s="399">
        <v>383.99979323916102</v>
      </c>
      <c r="G17" s="400">
        <v>63.99996553986</v>
      </c>
      <c r="H17" s="402">
        <v>47.885240000000003</v>
      </c>
      <c r="I17" s="399">
        <v>47.885240000000003</v>
      </c>
      <c r="J17" s="400">
        <v>-16.11472553986</v>
      </c>
      <c r="K17" s="403">
        <v>0.124701212977</v>
      </c>
    </row>
    <row r="18" spans="1:11" ht="14.4" customHeight="1" thickBot="1" x14ac:dyDescent="0.35">
      <c r="A18" s="421" t="s">
        <v>265</v>
      </c>
      <c r="B18" s="399">
        <v>119.26145249707101</v>
      </c>
      <c r="C18" s="399">
        <v>171.62942000000001</v>
      </c>
      <c r="D18" s="400">
        <v>52.367967502928998</v>
      </c>
      <c r="E18" s="401">
        <v>1.4391022112039999</v>
      </c>
      <c r="F18" s="399">
        <v>172.01971413370799</v>
      </c>
      <c r="G18" s="400">
        <v>28.669952355618001</v>
      </c>
      <c r="H18" s="402">
        <v>6.1902200000000001</v>
      </c>
      <c r="I18" s="399">
        <v>10.16897</v>
      </c>
      <c r="J18" s="400">
        <v>-18.500982355618</v>
      </c>
      <c r="K18" s="403">
        <v>5.9115143000000002E-2</v>
      </c>
    </row>
    <row r="19" spans="1:11" ht="14.4" customHeight="1" thickBot="1" x14ac:dyDescent="0.35">
      <c r="A19" s="421" t="s">
        <v>266</v>
      </c>
      <c r="B19" s="399">
        <v>74.958212789154999</v>
      </c>
      <c r="C19" s="399">
        <v>101.71588</v>
      </c>
      <c r="D19" s="400">
        <v>26.757667210844001</v>
      </c>
      <c r="E19" s="401">
        <v>1.3569677853190001</v>
      </c>
      <c r="F19" s="399">
        <v>123.111102555195</v>
      </c>
      <c r="G19" s="400">
        <v>20.518517092532001</v>
      </c>
      <c r="H19" s="402">
        <v>6.2813999999999997</v>
      </c>
      <c r="I19" s="399">
        <v>6.3411</v>
      </c>
      <c r="J19" s="400">
        <v>-14.177417092532</v>
      </c>
      <c r="K19" s="403">
        <v>5.1507133543000003E-2</v>
      </c>
    </row>
    <row r="20" spans="1:11" ht="14.4" customHeight="1" thickBot="1" x14ac:dyDescent="0.35">
      <c r="A20" s="421" t="s">
        <v>267</v>
      </c>
      <c r="B20" s="399">
        <v>15</v>
      </c>
      <c r="C20" s="399">
        <v>4.9406564584124654E-324</v>
      </c>
      <c r="D20" s="400">
        <v>-15</v>
      </c>
      <c r="E20" s="401">
        <v>0</v>
      </c>
      <c r="F20" s="399">
        <v>9.000099799989</v>
      </c>
      <c r="G20" s="400">
        <v>1.5000166333310001</v>
      </c>
      <c r="H20" s="402">
        <v>4.9406564584124654E-324</v>
      </c>
      <c r="I20" s="399">
        <v>9.8813129168249309E-324</v>
      </c>
      <c r="J20" s="400">
        <v>-1.5000166333310001</v>
      </c>
      <c r="K20" s="403">
        <v>0</v>
      </c>
    </row>
    <row r="21" spans="1:11" ht="14.4" customHeight="1" thickBot="1" x14ac:dyDescent="0.35">
      <c r="A21" s="421" t="s">
        <v>268</v>
      </c>
      <c r="B21" s="399">
        <v>505.45750609529603</v>
      </c>
      <c r="C21" s="399">
        <v>490.20222999999999</v>
      </c>
      <c r="D21" s="400">
        <v>-15.255276095295001</v>
      </c>
      <c r="E21" s="401">
        <v>0.96981887515499998</v>
      </c>
      <c r="F21" s="399">
        <v>480.60396010153198</v>
      </c>
      <c r="G21" s="400">
        <v>80.100660016922006</v>
      </c>
      <c r="H21" s="402">
        <v>51.824440000000003</v>
      </c>
      <c r="I21" s="399">
        <v>72.371560000000002</v>
      </c>
      <c r="J21" s="400">
        <v>-7.7291000169209996</v>
      </c>
      <c r="K21" s="403">
        <v>0.150584610215</v>
      </c>
    </row>
    <row r="22" spans="1:11" ht="14.4" customHeight="1" thickBot="1" x14ac:dyDescent="0.35">
      <c r="A22" s="421" t="s">
        <v>269</v>
      </c>
      <c r="B22" s="399">
        <v>1.90027371581</v>
      </c>
      <c r="C22" s="399">
        <v>0.69199999999999995</v>
      </c>
      <c r="D22" s="400">
        <v>-1.2082737158100001</v>
      </c>
      <c r="E22" s="401">
        <v>0.36415806535700002</v>
      </c>
      <c r="F22" s="399">
        <v>0.70986450965199999</v>
      </c>
      <c r="G22" s="400">
        <v>0.118310751608</v>
      </c>
      <c r="H22" s="402">
        <v>6.2E-2</v>
      </c>
      <c r="I22" s="399">
        <v>0.124</v>
      </c>
      <c r="J22" s="400">
        <v>5.6892483909999998E-3</v>
      </c>
      <c r="K22" s="403">
        <v>0.17468122199899999</v>
      </c>
    </row>
    <row r="23" spans="1:11" ht="14.4" customHeight="1" thickBot="1" x14ac:dyDescent="0.35">
      <c r="A23" s="421" t="s">
        <v>270</v>
      </c>
      <c r="B23" s="399">
        <v>34.363048313988003</v>
      </c>
      <c r="C23" s="399">
        <v>31.11833</v>
      </c>
      <c r="D23" s="400">
        <v>-3.2447183139879998</v>
      </c>
      <c r="E23" s="401">
        <v>0.90557536443300002</v>
      </c>
      <c r="F23" s="399">
        <v>31.558669349555</v>
      </c>
      <c r="G23" s="400">
        <v>5.2597782249250002</v>
      </c>
      <c r="H23" s="402">
        <v>2.8865500000000002</v>
      </c>
      <c r="I23" s="399">
        <v>4.9789899999999996</v>
      </c>
      <c r="J23" s="400">
        <v>-0.280788224925</v>
      </c>
      <c r="K23" s="403">
        <v>0.15776932623000001</v>
      </c>
    </row>
    <row r="24" spans="1:11" ht="14.4" customHeight="1" thickBot="1" x14ac:dyDescent="0.35">
      <c r="A24" s="421" t="s">
        <v>271</v>
      </c>
      <c r="B24" s="399">
        <v>52.099146865192999</v>
      </c>
      <c r="C24" s="399">
        <v>42.252890000000001</v>
      </c>
      <c r="D24" s="400">
        <v>-9.8462568651930003</v>
      </c>
      <c r="E24" s="401">
        <v>0.811009249524</v>
      </c>
      <c r="F24" s="399">
        <v>41.999918961504001</v>
      </c>
      <c r="G24" s="400">
        <v>6.9999864935840002</v>
      </c>
      <c r="H24" s="402">
        <v>4.9406564584124654E-324</v>
      </c>
      <c r="I24" s="399">
        <v>2.9982099999999998</v>
      </c>
      <c r="J24" s="400">
        <v>-4.0017764935839999</v>
      </c>
      <c r="K24" s="403">
        <v>7.1386090119000004E-2</v>
      </c>
    </row>
    <row r="25" spans="1:11" ht="14.4" customHeight="1" thickBot="1" x14ac:dyDescent="0.35">
      <c r="A25" s="420" t="s">
        <v>272</v>
      </c>
      <c r="B25" s="404">
        <v>105.153727202873</v>
      </c>
      <c r="C25" s="404">
        <v>64.541219999999996</v>
      </c>
      <c r="D25" s="405">
        <v>-40.612507202872003</v>
      </c>
      <c r="E25" s="411">
        <v>0.61377967017199997</v>
      </c>
      <c r="F25" s="404">
        <v>66.666134213592002</v>
      </c>
      <c r="G25" s="405">
        <v>11.111022368932</v>
      </c>
      <c r="H25" s="407">
        <v>2.3696999999999999</v>
      </c>
      <c r="I25" s="404">
        <v>3.5919300000000001</v>
      </c>
      <c r="J25" s="405">
        <v>-7.5190923689320002</v>
      </c>
      <c r="K25" s="412">
        <v>5.3879380322999999E-2</v>
      </c>
    </row>
    <row r="26" spans="1:11" ht="14.4" customHeight="1" thickBot="1" x14ac:dyDescent="0.35">
      <c r="A26" s="421" t="s">
        <v>273</v>
      </c>
      <c r="B26" s="399">
        <v>26.575407256355</v>
      </c>
      <c r="C26" s="399">
        <v>2.4889700000000001</v>
      </c>
      <c r="D26" s="400">
        <v>-24.086437256355001</v>
      </c>
      <c r="E26" s="401">
        <v>9.3656890221000003E-2</v>
      </c>
      <c r="F26" s="399">
        <v>2.872533181988</v>
      </c>
      <c r="G26" s="400">
        <v>0.47875553033099999</v>
      </c>
      <c r="H26" s="402">
        <v>4.9406564584124654E-324</v>
      </c>
      <c r="I26" s="399">
        <v>9.8813129168249309E-324</v>
      </c>
      <c r="J26" s="400">
        <v>-0.47875553033099999</v>
      </c>
      <c r="K26" s="403">
        <v>4.9406564584124654E-324</v>
      </c>
    </row>
    <row r="27" spans="1:11" ht="14.4" customHeight="1" thickBot="1" x14ac:dyDescent="0.35">
      <c r="A27" s="421" t="s">
        <v>274</v>
      </c>
      <c r="B27" s="399">
        <v>3.722219352352</v>
      </c>
      <c r="C27" s="399">
        <v>1.5640499999999999</v>
      </c>
      <c r="D27" s="400">
        <v>-2.158169352352</v>
      </c>
      <c r="E27" s="401">
        <v>0.42019286128599997</v>
      </c>
      <c r="F27" s="399">
        <v>1.574307030565</v>
      </c>
      <c r="G27" s="400">
        <v>0.26238450509400002</v>
      </c>
      <c r="H27" s="402">
        <v>4.9406564584124654E-324</v>
      </c>
      <c r="I27" s="399">
        <v>1.197E-2</v>
      </c>
      <c r="J27" s="400">
        <v>-0.25041450509399998</v>
      </c>
      <c r="K27" s="403">
        <v>7.6033453239999996E-3</v>
      </c>
    </row>
    <row r="28" spans="1:11" ht="14.4" customHeight="1" thickBot="1" x14ac:dyDescent="0.35">
      <c r="A28" s="421" t="s">
        <v>275</v>
      </c>
      <c r="B28" s="399">
        <v>35.379779375915</v>
      </c>
      <c r="C28" s="399">
        <v>12.951320000000001</v>
      </c>
      <c r="D28" s="400">
        <v>-22.428459375915001</v>
      </c>
      <c r="E28" s="401">
        <v>0.36606559533299998</v>
      </c>
      <c r="F28" s="399">
        <v>13.322351368114999</v>
      </c>
      <c r="G28" s="400">
        <v>2.2203918946850001</v>
      </c>
      <c r="H28" s="402">
        <v>0.83723999999999998</v>
      </c>
      <c r="I28" s="399">
        <v>1.0754999999999999</v>
      </c>
      <c r="J28" s="400">
        <v>-1.144891894685</v>
      </c>
      <c r="K28" s="403">
        <v>8.0728992223000007E-2</v>
      </c>
    </row>
    <row r="29" spans="1:11" ht="14.4" customHeight="1" thickBot="1" x14ac:dyDescent="0.35">
      <c r="A29" s="421" t="s">
        <v>276</v>
      </c>
      <c r="B29" s="399">
        <v>21.126545919857001</v>
      </c>
      <c r="C29" s="399">
        <v>15.151590000000001</v>
      </c>
      <c r="D29" s="400">
        <v>-5.9749559198569999</v>
      </c>
      <c r="E29" s="401">
        <v>0.71718254642599999</v>
      </c>
      <c r="F29" s="399">
        <v>16.628718342587</v>
      </c>
      <c r="G29" s="400">
        <v>2.7714530570970002</v>
      </c>
      <c r="H29" s="402">
        <v>0.39932000000000001</v>
      </c>
      <c r="I29" s="399">
        <v>0.71836999999999995</v>
      </c>
      <c r="J29" s="400">
        <v>-2.053083057097</v>
      </c>
      <c r="K29" s="403">
        <v>4.3200563338E-2</v>
      </c>
    </row>
    <row r="30" spans="1:11" ht="14.4" customHeight="1" thickBot="1" x14ac:dyDescent="0.35">
      <c r="A30" s="421" t="s">
        <v>277</v>
      </c>
      <c r="B30" s="399">
        <v>1.012030627348</v>
      </c>
      <c r="C30" s="399">
        <v>0.64759999999999995</v>
      </c>
      <c r="D30" s="400">
        <v>-0.36443062734800002</v>
      </c>
      <c r="E30" s="401">
        <v>0.63990158251999996</v>
      </c>
      <c r="F30" s="399">
        <v>4.9995948694530004</v>
      </c>
      <c r="G30" s="400">
        <v>0.83326581157500001</v>
      </c>
      <c r="H30" s="402">
        <v>4.9406564584124654E-324</v>
      </c>
      <c r="I30" s="399">
        <v>9.8813129168249309E-324</v>
      </c>
      <c r="J30" s="400">
        <v>-0.83326581157500001</v>
      </c>
      <c r="K30" s="403">
        <v>0</v>
      </c>
    </row>
    <row r="31" spans="1:11" ht="14.4" customHeight="1" thickBot="1" x14ac:dyDescent="0.35">
      <c r="A31" s="421" t="s">
        <v>278</v>
      </c>
      <c r="B31" s="399">
        <v>5.215197607396</v>
      </c>
      <c r="C31" s="399">
        <v>7.3967799999999997</v>
      </c>
      <c r="D31" s="400">
        <v>2.1815823926040001</v>
      </c>
      <c r="E31" s="401">
        <v>1.4183125083329999</v>
      </c>
      <c r="F31" s="399">
        <v>4.129036613387</v>
      </c>
      <c r="G31" s="400">
        <v>0.68817276889699996</v>
      </c>
      <c r="H31" s="402">
        <v>4.9406564584124654E-324</v>
      </c>
      <c r="I31" s="399">
        <v>9.8813129168249309E-324</v>
      </c>
      <c r="J31" s="400">
        <v>-0.68817276889699996</v>
      </c>
      <c r="K31" s="403">
        <v>0</v>
      </c>
    </row>
    <row r="32" spans="1:11" ht="14.4" customHeight="1" thickBot="1" x14ac:dyDescent="0.35">
      <c r="A32" s="421" t="s">
        <v>279</v>
      </c>
      <c r="B32" s="399">
        <v>12.122547063647</v>
      </c>
      <c r="C32" s="399">
        <v>13.20674</v>
      </c>
      <c r="D32" s="400">
        <v>1.084192936352</v>
      </c>
      <c r="E32" s="401">
        <v>1.0894360674079999</v>
      </c>
      <c r="F32" s="399">
        <v>14.766335388641</v>
      </c>
      <c r="G32" s="400">
        <v>2.4610558981059998</v>
      </c>
      <c r="H32" s="402">
        <v>1.13314</v>
      </c>
      <c r="I32" s="399">
        <v>1.49109</v>
      </c>
      <c r="J32" s="400">
        <v>-0.96996589810599998</v>
      </c>
      <c r="K32" s="403">
        <v>0.100979014816</v>
      </c>
    </row>
    <row r="33" spans="1:11" ht="14.4" customHeight="1" thickBot="1" x14ac:dyDescent="0.35">
      <c r="A33" s="421" t="s">
        <v>280</v>
      </c>
      <c r="B33" s="399">
        <v>4.9406564584124654E-324</v>
      </c>
      <c r="C33" s="399">
        <v>1.21</v>
      </c>
      <c r="D33" s="400">
        <v>1.21</v>
      </c>
      <c r="E33" s="409" t="s">
        <v>256</v>
      </c>
      <c r="F33" s="399">
        <v>0</v>
      </c>
      <c r="G33" s="400">
        <v>0</v>
      </c>
      <c r="H33" s="402">
        <v>4.9406564584124654E-324</v>
      </c>
      <c r="I33" s="399">
        <v>9.8813129168249309E-324</v>
      </c>
      <c r="J33" s="400">
        <v>9.8813129168249309E-324</v>
      </c>
      <c r="K33" s="410" t="s">
        <v>250</v>
      </c>
    </row>
    <row r="34" spans="1:11" ht="14.4" customHeight="1" thickBot="1" x14ac:dyDescent="0.35">
      <c r="A34" s="421" t="s">
        <v>281</v>
      </c>
      <c r="B34" s="399">
        <v>4.9406564584124654E-324</v>
      </c>
      <c r="C34" s="399">
        <v>9.9241700000000002</v>
      </c>
      <c r="D34" s="400">
        <v>9.9241700000000002</v>
      </c>
      <c r="E34" s="409" t="s">
        <v>256</v>
      </c>
      <c r="F34" s="399">
        <v>8.3732574188529991</v>
      </c>
      <c r="G34" s="400">
        <v>1.3955429031419999</v>
      </c>
      <c r="H34" s="402">
        <v>4.9406564584124654E-324</v>
      </c>
      <c r="I34" s="399">
        <v>0.29499999999999998</v>
      </c>
      <c r="J34" s="400">
        <v>-1.100542903142</v>
      </c>
      <c r="K34" s="403">
        <v>3.5231211132999998E-2</v>
      </c>
    </row>
    <row r="35" spans="1:11" ht="14.4" customHeight="1" thickBot="1" x14ac:dyDescent="0.35">
      <c r="A35" s="420" t="s">
        <v>282</v>
      </c>
      <c r="B35" s="404">
        <v>41.381428496363</v>
      </c>
      <c r="C35" s="404">
        <v>22.788440000000001</v>
      </c>
      <c r="D35" s="405">
        <v>-18.592988496362999</v>
      </c>
      <c r="E35" s="411">
        <v>0.550692444123</v>
      </c>
      <c r="F35" s="404">
        <v>18.244089757295999</v>
      </c>
      <c r="G35" s="405">
        <v>3.0406816262160001</v>
      </c>
      <c r="H35" s="407">
        <v>6.8006900000000003</v>
      </c>
      <c r="I35" s="404">
        <v>9.2201900000000006</v>
      </c>
      <c r="J35" s="405">
        <v>6.1795083737840004</v>
      </c>
      <c r="K35" s="412">
        <v>0.50537955703199999</v>
      </c>
    </row>
    <row r="36" spans="1:11" ht="14.4" customHeight="1" thickBot="1" x14ac:dyDescent="0.35">
      <c r="A36" s="421" t="s">
        <v>283</v>
      </c>
      <c r="B36" s="399">
        <v>4.9406564584124654E-324</v>
      </c>
      <c r="C36" s="399">
        <v>0.59</v>
      </c>
      <c r="D36" s="400">
        <v>0.59</v>
      </c>
      <c r="E36" s="409" t="s">
        <v>256</v>
      </c>
      <c r="F36" s="399">
        <v>0.93244233989900005</v>
      </c>
      <c r="G36" s="400">
        <v>0.15540705664900001</v>
      </c>
      <c r="H36" s="402">
        <v>4.9406564584124654E-324</v>
      </c>
      <c r="I36" s="399">
        <v>9.8813129168249309E-324</v>
      </c>
      <c r="J36" s="400">
        <v>-0.15540705664900001</v>
      </c>
      <c r="K36" s="403">
        <v>9.8813129168249309E-324</v>
      </c>
    </row>
    <row r="37" spans="1:11" ht="14.4" customHeight="1" thickBot="1" x14ac:dyDescent="0.35">
      <c r="A37" s="421" t="s">
        <v>284</v>
      </c>
      <c r="B37" s="399">
        <v>0</v>
      </c>
      <c r="C37" s="399">
        <v>7.1950000000000003</v>
      </c>
      <c r="D37" s="400">
        <v>7.1950000000000003</v>
      </c>
      <c r="E37" s="409" t="s">
        <v>250</v>
      </c>
      <c r="F37" s="399">
        <v>5.8283241405249999</v>
      </c>
      <c r="G37" s="400">
        <v>0.97138735675400001</v>
      </c>
      <c r="H37" s="402">
        <v>4.9406564584124654E-324</v>
      </c>
      <c r="I37" s="399">
        <v>9.8813129168249309E-324</v>
      </c>
      <c r="J37" s="400">
        <v>-0.97138735675400001</v>
      </c>
      <c r="K37" s="403">
        <v>0</v>
      </c>
    </row>
    <row r="38" spans="1:11" ht="14.4" customHeight="1" thickBot="1" x14ac:dyDescent="0.35">
      <c r="A38" s="421" t="s">
        <v>285</v>
      </c>
      <c r="B38" s="399">
        <v>40.006478481175002</v>
      </c>
      <c r="C38" s="399">
        <v>12.725569999999999</v>
      </c>
      <c r="D38" s="400">
        <v>-27.280908481175</v>
      </c>
      <c r="E38" s="401">
        <v>0.318087731865</v>
      </c>
      <c r="F38" s="399">
        <v>8.4827637828259999</v>
      </c>
      <c r="G38" s="400">
        <v>1.413793963804</v>
      </c>
      <c r="H38" s="402">
        <v>6.8006900000000003</v>
      </c>
      <c r="I38" s="399">
        <v>9.2201900000000006</v>
      </c>
      <c r="J38" s="400">
        <v>7.8063960361950002</v>
      </c>
      <c r="K38" s="403">
        <v>1.086932306032</v>
      </c>
    </row>
    <row r="39" spans="1:11" ht="14.4" customHeight="1" thickBot="1" x14ac:dyDescent="0.35">
      <c r="A39" s="421" t="s">
        <v>286</v>
      </c>
      <c r="B39" s="399">
        <v>4.9406564584124654E-324</v>
      </c>
      <c r="C39" s="399">
        <v>1.573</v>
      </c>
      <c r="D39" s="400">
        <v>1.573</v>
      </c>
      <c r="E39" s="409" t="s">
        <v>256</v>
      </c>
      <c r="F39" s="399">
        <v>0</v>
      </c>
      <c r="G39" s="400">
        <v>0</v>
      </c>
      <c r="H39" s="402">
        <v>4.9406564584124654E-324</v>
      </c>
      <c r="I39" s="399">
        <v>9.8813129168249309E-324</v>
      </c>
      <c r="J39" s="400">
        <v>9.8813129168249309E-324</v>
      </c>
      <c r="K39" s="410" t="s">
        <v>250</v>
      </c>
    </row>
    <row r="40" spans="1:11" ht="14.4" customHeight="1" thickBot="1" x14ac:dyDescent="0.35">
      <c r="A40" s="421" t="s">
        <v>287</v>
      </c>
      <c r="B40" s="399">
        <v>1.3749500151880001</v>
      </c>
      <c r="C40" s="399">
        <v>0.70487</v>
      </c>
      <c r="D40" s="400">
        <v>-0.670080015187</v>
      </c>
      <c r="E40" s="401">
        <v>0.51265136347700002</v>
      </c>
      <c r="F40" s="399">
        <v>3.0005594940439999</v>
      </c>
      <c r="G40" s="400">
        <v>0.50009324900700003</v>
      </c>
      <c r="H40" s="402">
        <v>4.9406564584124654E-324</v>
      </c>
      <c r="I40" s="399">
        <v>9.8813129168249309E-324</v>
      </c>
      <c r="J40" s="400">
        <v>-0.50009324900700003</v>
      </c>
      <c r="K40" s="403">
        <v>4.9406564584124654E-324</v>
      </c>
    </row>
    <row r="41" spans="1:11" ht="14.4" customHeight="1" thickBot="1" x14ac:dyDescent="0.35">
      <c r="A41" s="420" t="s">
        <v>288</v>
      </c>
      <c r="B41" s="404">
        <v>108.395416999094</v>
      </c>
      <c r="C41" s="404">
        <v>96.478070000000002</v>
      </c>
      <c r="D41" s="405">
        <v>-11.917346999093001</v>
      </c>
      <c r="E41" s="411">
        <v>0.89005672629800003</v>
      </c>
      <c r="F41" s="404">
        <v>249.03425262782599</v>
      </c>
      <c r="G41" s="405">
        <v>41.505708771304</v>
      </c>
      <c r="H41" s="407">
        <v>1.0293099999999999</v>
      </c>
      <c r="I41" s="404">
        <v>3.5700699999999999</v>
      </c>
      <c r="J41" s="405">
        <v>-37.935638771303999</v>
      </c>
      <c r="K41" s="412">
        <v>1.4335658498E-2</v>
      </c>
    </row>
    <row r="42" spans="1:11" ht="14.4" customHeight="1" thickBot="1" x14ac:dyDescent="0.35">
      <c r="A42" s="421" t="s">
        <v>289</v>
      </c>
      <c r="B42" s="399">
        <v>6.7243633937149996</v>
      </c>
      <c r="C42" s="399">
        <v>14.576840000000001</v>
      </c>
      <c r="D42" s="400">
        <v>7.8524766062840001</v>
      </c>
      <c r="E42" s="401">
        <v>2.167765057674</v>
      </c>
      <c r="F42" s="399">
        <v>13.039426427111</v>
      </c>
      <c r="G42" s="400">
        <v>2.1732377378510002</v>
      </c>
      <c r="H42" s="402">
        <v>0.31214999999999998</v>
      </c>
      <c r="I42" s="399">
        <v>0.69810000000000005</v>
      </c>
      <c r="J42" s="400">
        <v>-1.475137737851</v>
      </c>
      <c r="K42" s="403">
        <v>5.3537630960999998E-2</v>
      </c>
    </row>
    <row r="43" spans="1:11" ht="14.4" customHeight="1" thickBot="1" x14ac:dyDescent="0.35">
      <c r="A43" s="421" t="s">
        <v>290</v>
      </c>
      <c r="B43" s="399">
        <v>0</v>
      </c>
      <c r="C43" s="399">
        <v>4.9406564584124654E-324</v>
      </c>
      <c r="D43" s="400">
        <v>4.9406564584124654E-324</v>
      </c>
      <c r="E43" s="409" t="s">
        <v>250</v>
      </c>
      <c r="F43" s="399">
        <v>4.9406564584124654E-324</v>
      </c>
      <c r="G43" s="400">
        <v>0</v>
      </c>
      <c r="H43" s="402">
        <v>4.9406564584124654E-324</v>
      </c>
      <c r="I43" s="399">
        <v>0.59599999999999997</v>
      </c>
      <c r="J43" s="400">
        <v>0.59599999999999997</v>
      </c>
      <c r="K43" s="410" t="s">
        <v>256</v>
      </c>
    </row>
    <row r="44" spans="1:11" ht="14.4" customHeight="1" thickBot="1" x14ac:dyDescent="0.35">
      <c r="A44" s="421" t="s">
        <v>291</v>
      </c>
      <c r="B44" s="399">
        <v>101.671053605379</v>
      </c>
      <c r="C44" s="399">
        <v>81.901229999999998</v>
      </c>
      <c r="D44" s="400">
        <v>-19.769823605378001</v>
      </c>
      <c r="E44" s="401">
        <v>0.80555110914700001</v>
      </c>
      <c r="F44" s="399">
        <v>0</v>
      </c>
      <c r="G44" s="400">
        <v>0</v>
      </c>
      <c r="H44" s="402">
        <v>4.9406564584124654E-324</v>
      </c>
      <c r="I44" s="399">
        <v>9.8813129168249309E-324</v>
      </c>
      <c r="J44" s="400">
        <v>9.8813129168249309E-324</v>
      </c>
      <c r="K44" s="410" t="s">
        <v>250</v>
      </c>
    </row>
    <row r="45" spans="1:11" ht="14.4" customHeight="1" thickBot="1" x14ac:dyDescent="0.35">
      <c r="A45" s="421" t="s">
        <v>292</v>
      </c>
      <c r="B45" s="399">
        <v>4.9406564584124654E-324</v>
      </c>
      <c r="C45" s="399">
        <v>4.9406564584124654E-324</v>
      </c>
      <c r="D45" s="400">
        <v>0</v>
      </c>
      <c r="E45" s="401">
        <v>1</v>
      </c>
      <c r="F45" s="399">
        <v>10.000961940572999</v>
      </c>
      <c r="G45" s="400">
        <v>1.6668269900949999</v>
      </c>
      <c r="H45" s="402">
        <v>4.9406564584124654E-324</v>
      </c>
      <c r="I45" s="399">
        <v>0.12439</v>
      </c>
      <c r="J45" s="400">
        <v>-1.5424369900949999</v>
      </c>
      <c r="K45" s="403">
        <v>1.2437803557000001E-2</v>
      </c>
    </row>
    <row r="46" spans="1:11" ht="14.4" customHeight="1" thickBot="1" x14ac:dyDescent="0.35">
      <c r="A46" s="421" t="s">
        <v>293</v>
      </c>
      <c r="B46" s="399">
        <v>4.9406564584124654E-324</v>
      </c>
      <c r="C46" s="399">
        <v>4.9406564584124654E-324</v>
      </c>
      <c r="D46" s="400">
        <v>0</v>
      </c>
      <c r="E46" s="401">
        <v>1</v>
      </c>
      <c r="F46" s="399">
        <v>210.99590291523401</v>
      </c>
      <c r="G46" s="400">
        <v>35.165983819205003</v>
      </c>
      <c r="H46" s="402">
        <v>0.71716000000000002</v>
      </c>
      <c r="I46" s="399">
        <v>2.15158</v>
      </c>
      <c r="J46" s="400">
        <v>-33.014403819205</v>
      </c>
      <c r="K46" s="403">
        <v>1.0197259615999999E-2</v>
      </c>
    </row>
    <row r="47" spans="1:11" ht="14.4" customHeight="1" thickBot="1" x14ac:dyDescent="0.35">
      <c r="A47" s="421" t="s">
        <v>294</v>
      </c>
      <c r="B47" s="399">
        <v>4.9406564584124654E-324</v>
      </c>
      <c r="C47" s="399">
        <v>4.9406564584124654E-324</v>
      </c>
      <c r="D47" s="400">
        <v>0</v>
      </c>
      <c r="E47" s="401">
        <v>1</v>
      </c>
      <c r="F47" s="399">
        <v>14.997961344907999</v>
      </c>
      <c r="G47" s="400">
        <v>2.499660224151</v>
      </c>
      <c r="H47" s="402">
        <v>4.9406564584124654E-324</v>
      </c>
      <c r="I47" s="399">
        <v>9.8813129168249309E-324</v>
      </c>
      <c r="J47" s="400">
        <v>-2.499660224151</v>
      </c>
      <c r="K47" s="403">
        <v>0</v>
      </c>
    </row>
    <row r="48" spans="1:11" ht="14.4" customHeight="1" thickBot="1" x14ac:dyDescent="0.35">
      <c r="A48" s="420" t="s">
        <v>295</v>
      </c>
      <c r="B48" s="404">
        <v>4.9406564584124654E-324</v>
      </c>
      <c r="C48" s="404">
        <v>26.131150000000002</v>
      </c>
      <c r="D48" s="405">
        <v>26.131150000000002</v>
      </c>
      <c r="E48" s="406" t="s">
        <v>256</v>
      </c>
      <c r="F48" s="404">
        <v>0</v>
      </c>
      <c r="G48" s="405">
        <v>0</v>
      </c>
      <c r="H48" s="407">
        <v>4.28</v>
      </c>
      <c r="I48" s="404">
        <v>6.8319999999999999</v>
      </c>
      <c r="J48" s="405">
        <v>6.8319999999999999</v>
      </c>
      <c r="K48" s="408" t="s">
        <v>250</v>
      </c>
    </row>
    <row r="49" spans="1:11" ht="14.4" customHeight="1" thickBot="1" x14ac:dyDescent="0.35">
      <c r="A49" s="421" t="s">
        <v>296</v>
      </c>
      <c r="B49" s="399">
        <v>4.9406564584124654E-324</v>
      </c>
      <c r="C49" s="399">
        <v>26.131150000000002</v>
      </c>
      <c r="D49" s="400">
        <v>26.131150000000002</v>
      </c>
      <c r="E49" s="409" t="s">
        <v>256</v>
      </c>
      <c r="F49" s="399">
        <v>0</v>
      </c>
      <c r="G49" s="400">
        <v>0</v>
      </c>
      <c r="H49" s="402">
        <v>4.28</v>
      </c>
      <c r="I49" s="399">
        <v>6.8319999999999999</v>
      </c>
      <c r="J49" s="400">
        <v>6.8319999999999999</v>
      </c>
      <c r="K49" s="410" t="s">
        <v>250</v>
      </c>
    </row>
    <row r="50" spans="1:11" ht="14.4" customHeight="1" thickBot="1" x14ac:dyDescent="0.35">
      <c r="A50" s="419" t="s">
        <v>45</v>
      </c>
      <c r="B50" s="399">
        <v>569.83621007704903</v>
      </c>
      <c r="C50" s="399">
        <v>395.97500000000002</v>
      </c>
      <c r="D50" s="400">
        <v>-173.86121007704901</v>
      </c>
      <c r="E50" s="401">
        <v>0.69489266037700004</v>
      </c>
      <c r="F50" s="399">
        <v>400.31979615295302</v>
      </c>
      <c r="G50" s="400">
        <v>66.719966025491999</v>
      </c>
      <c r="H50" s="402">
        <v>31.669</v>
      </c>
      <c r="I50" s="399">
        <v>70.968999999999994</v>
      </c>
      <c r="J50" s="400">
        <v>4.2490339745080004</v>
      </c>
      <c r="K50" s="403">
        <v>0.177280765732</v>
      </c>
    </row>
    <row r="51" spans="1:11" ht="14.4" customHeight="1" thickBot="1" x14ac:dyDescent="0.35">
      <c r="A51" s="420" t="s">
        <v>297</v>
      </c>
      <c r="B51" s="404">
        <v>569.83621007704903</v>
      </c>
      <c r="C51" s="404">
        <v>395.97500000000002</v>
      </c>
      <c r="D51" s="405">
        <v>-173.86121007704901</v>
      </c>
      <c r="E51" s="411">
        <v>0.69489266037700004</v>
      </c>
      <c r="F51" s="404">
        <v>400.31979615295302</v>
      </c>
      <c r="G51" s="405">
        <v>66.719966025491999</v>
      </c>
      <c r="H51" s="407">
        <v>31.669</v>
      </c>
      <c r="I51" s="404">
        <v>70.968999999999994</v>
      </c>
      <c r="J51" s="405">
        <v>4.2490339745080004</v>
      </c>
      <c r="K51" s="412">
        <v>0.177280765732</v>
      </c>
    </row>
    <row r="52" spans="1:11" ht="14.4" customHeight="1" thickBot="1" x14ac:dyDescent="0.35">
      <c r="A52" s="421" t="s">
        <v>298</v>
      </c>
      <c r="B52" s="399">
        <v>290.821569438805</v>
      </c>
      <c r="C52" s="399">
        <v>125.008</v>
      </c>
      <c r="D52" s="400">
        <v>-165.81356943880499</v>
      </c>
      <c r="E52" s="401">
        <v>0.42984432083599999</v>
      </c>
      <c r="F52" s="399">
        <v>124.073716642102</v>
      </c>
      <c r="G52" s="400">
        <v>20.678952773683001</v>
      </c>
      <c r="H52" s="402">
        <v>8.0640000000000001</v>
      </c>
      <c r="I52" s="399">
        <v>17.056000000000001</v>
      </c>
      <c r="J52" s="400">
        <v>-3.6229527736830001</v>
      </c>
      <c r="K52" s="403">
        <v>0.13746666466900001</v>
      </c>
    </row>
    <row r="53" spans="1:11" ht="14.4" customHeight="1" thickBot="1" x14ac:dyDescent="0.35">
      <c r="A53" s="421" t="s">
        <v>299</v>
      </c>
      <c r="B53" s="399">
        <v>200.008595988997</v>
      </c>
      <c r="C53" s="399">
        <v>195.816</v>
      </c>
      <c r="D53" s="400">
        <v>-4.1925959889959996</v>
      </c>
      <c r="E53" s="401">
        <v>0.979037921004</v>
      </c>
      <c r="F53" s="399">
        <v>200.04435548869299</v>
      </c>
      <c r="G53" s="400">
        <v>33.340725914781999</v>
      </c>
      <c r="H53" s="402">
        <v>14.715999999999999</v>
      </c>
      <c r="I53" s="399">
        <v>34.347999999999999</v>
      </c>
      <c r="J53" s="400">
        <v>1.0072740852169999</v>
      </c>
      <c r="K53" s="403">
        <v>0.171701920387</v>
      </c>
    </row>
    <row r="54" spans="1:11" ht="14.4" customHeight="1" thickBot="1" x14ac:dyDescent="0.35">
      <c r="A54" s="421" t="s">
        <v>300</v>
      </c>
      <c r="B54" s="399">
        <v>79.006044649247002</v>
      </c>
      <c r="C54" s="399">
        <v>75.150999999999996</v>
      </c>
      <c r="D54" s="400">
        <v>-3.8550446492470001</v>
      </c>
      <c r="E54" s="401">
        <v>0.95120569993899995</v>
      </c>
      <c r="F54" s="399">
        <v>76.201724022156995</v>
      </c>
      <c r="G54" s="400">
        <v>12.700287337025999</v>
      </c>
      <c r="H54" s="402">
        <v>8.8889999999999993</v>
      </c>
      <c r="I54" s="399">
        <v>19.565000000000001</v>
      </c>
      <c r="J54" s="400">
        <v>6.864712662973</v>
      </c>
      <c r="K54" s="403">
        <v>0.25675272116199999</v>
      </c>
    </row>
    <row r="55" spans="1:11" ht="14.4" customHeight="1" thickBot="1" x14ac:dyDescent="0.35">
      <c r="A55" s="422" t="s">
        <v>301</v>
      </c>
      <c r="B55" s="404">
        <v>416.23056077551502</v>
      </c>
      <c r="C55" s="404">
        <v>526.71069999999997</v>
      </c>
      <c r="D55" s="405">
        <v>110.480139224485</v>
      </c>
      <c r="E55" s="411">
        <v>1.2654301477009999</v>
      </c>
      <c r="F55" s="404">
        <v>467.55077009187102</v>
      </c>
      <c r="G55" s="405">
        <v>77.925128348645003</v>
      </c>
      <c r="H55" s="407">
        <v>5.2642800000000003</v>
      </c>
      <c r="I55" s="404">
        <v>57.076250000000002</v>
      </c>
      <c r="J55" s="405">
        <v>-20.848878348644</v>
      </c>
      <c r="K55" s="412">
        <v>0.12207497805799999</v>
      </c>
    </row>
    <row r="56" spans="1:11" ht="14.4" customHeight="1" thickBot="1" x14ac:dyDescent="0.35">
      <c r="A56" s="419" t="s">
        <v>48</v>
      </c>
      <c r="B56" s="399">
        <v>156.00937146975301</v>
      </c>
      <c r="C56" s="399">
        <v>24.63252</v>
      </c>
      <c r="D56" s="400">
        <v>-131.37685146975301</v>
      </c>
      <c r="E56" s="401">
        <v>0.157891284144</v>
      </c>
      <c r="F56" s="399">
        <v>36.838875787467003</v>
      </c>
      <c r="G56" s="400">
        <v>6.1398126312440002</v>
      </c>
      <c r="H56" s="402">
        <v>0.17852999999999999</v>
      </c>
      <c r="I56" s="399">
        <v>0.17852999999999999</v>
      </c>
      <c r="J56" s="400">
        <v>-5.9612826312439999</v>
      </c>
      <c r="K56" s="403">
        <v>4.8462390929999996E-3</v>
      </c>
    </row>
    <row r="57" spans="1:11" ht="14.4" customHeight="1" thickBot="1" x14ac:dyDescent="0.35">
      <c r="A57" s="423" t="s">
        <v>302</v>
      </c>
      <c r="B57" s="399">
        <v>156.00937146975301</v>
      </c>
      <c r="C57" s="399">
        <v>24.63252</v>
      </c>
      <c r="D57" s="400">
        <v>-131.37685146975301</v>
      </c>
      <c r="E57" s="401">
        <v>0.157891284144</v>
      </c>
      <c r="F57" s="399">
        <v>36.838875787467003</v>
      </c>
      <c r="G57" s="400">
        <v>6.1398126312440002</v>
      </c>
      <c r="H57" s="402">
        <v>0.17852999999999999</v>
      </c>
      <c r="I57" s="399">
        <v>0.17852999999999999</v>
      </c>
      <c r="J57" s="400">
        <v>-5.9612826312439999</v>
      </c>
      <c r="K57" s="403">
        <v>4.8462390929999996E-3</v>
      </c>
    </row>
    <row r="58" spans="1:11" ht="14.4" customHeight="1" thickBot="1" x14ac:dyDescent="0.35">
      <c r="A58" s="421" t="s">
        <v>303</v>
      </c>
      <c r="B58" s="399">
        <v>80.352302618492999</v>
      </c>
      <c r="C58" s="399">
        <v>6.6097999999999999</v>
      </c>
      <c r="D58" s="400">
        <v>-73.742502618493006</v>
      </c>
      <c r="E58" s="401">
        <v>8.2260243758999999E-2</v>
      </c>
      <c r="F58" s="399">
        <v>6.0951600582819996</v>
      </c>
      <c r="G58" s="400">
        <v>1.0158600097129999</v>
      </c>
      <c r="H58" s="402">
        <v>4.9406564584124654E-324</v>
      </c>
      <c r="I58" s="399">
        <v>9.8813129168249309E-324</v>
      </c>
      <c r="J58" s="400">
        <v>-1.0158600097129999</v>
      </c>
      <c r="K58" s="403">
        <v>0</v>
      </c>
    </row>
    <row r="59" spans="1:11" ht="14.4" customHeight="1" thickBot="1" x14ac:dyDescent="0.35">
      <c r="A59" s="421" t="s">
        <v>304</v>
      </c>
      <c r="B59" s="399">
        <v>19.661392065737999</v>
      </c>
      <c r="C59" s="399">
        <v>2.5051000000000001</v>
      </c>
      <c r="D59" s="400">
        <v>-17.156292065738</v>
      </c>
      <c r="E59" s="401">
        <v>0.127412138043</v>
      </c>
      <c r="F59" s="399">
        <v>3.2573686531120001</v>
      </c>
      <c r="G59" s="400">
        <v>0.54289477551800003</v>
      </c>
      <c r="H59" s="402">
        <v>4.9406564584124654E-324</v>
      </c>
      <c r="I59" s="399">
        <v>9.8813129168249309E-324</v>
      </c>
      <c r="J59" s="400">
        <v>-0.54289477551800003</v>
      </c>
      <c r="K59" s="403">
        <v>4.9406564584124654E-324</v>
      </c>
    </row>
    <row r="60" spans="1:11" ht="14.4" customHeight="1" thickBot="1" x14ac:dyDescent="0.35">
      <c r="A60" s="421" t="s">
        <v>305</v>
      </c>
      <c r="B60" s="399">
        <v>27.997742053928</v>
      </c>
      <c r="C60" s="399">
        <v>14.033189999999999</v>
      </c>
      <c r="D60" s="400">
        <v>-13.964552053927999</v>
      </c>
      <c r="E60" s="401">
        <v>0.50122577645599997</v>
      </c>
      <c r="F60" s="399">
        <v>25.999956104110002</v>
      </c>
      <c r="G60" s="400">
        <v>4.3333260173510002</v>
      </c>
      <c r="H60" s="402">
        <v>4.9406564584124654E-324</v>
      </c>
      <c r="I60" s="399">
        <v>9.8813129168249309E-324</v>
      </c>
      <c r="J60" s="400">
        <v>-4.3333260173510002</v>
      </c>
      <c r="K60" s="403">
        <v>0</v>
      </c>
    </row>
    <row r="61" spans="1:11" ht="14.4" customHeight="1" thickBot="1" x14ac:dyDescent="0.35">
      <c r="A61" s="421" t="s">
        <v>306</v>
      </c>
      <c r="B61" s="399">
        <v>27.997934731592999</v>
      </c>
      <c r="C61" s="399">
        <v>1.4844299999999999</v>
      </c>
      <c r="D61" s="400">
        <v>-26.513504731592999</v>
      </c>
      <c r="E61" s="401">
        <v>5.3019267821999998E-2</v>
      </c>
      <c r="F61" s="399">
        <v>1.486390971961</v>
      </c>
      <c r="G61" s="400">
        <v>0.24773182865999999</v>
      </c>
      <c r="H61" s="402">
        <v>0.17852999999999999</v>
      </c>
      <c r="I61" s="399">
        <v>0.17852999999999999</v>
      </c>
      <c r="J61" s="400">
        <v>-6.9201828660000006E-2</v>
      </c>
      <c r="K61" s="403">
        <v>0.120109717677</v>
      </c>
    </row>
    <row r="62" spans="1:11" ht="14.4" customHeight="1" thickBot="1" x14ac:dyDescent="0.35">
      <c r="A62" s="424" t="s">
        <v>49</v>
      </c>
      <c r="B62" s="404">
        <v>0</v>
      </c>
      <c r="C62" s="404">
        <v>73.311000000000007</v>
      </c>
      <c r="D62" s="405">
        <v>73.311000000000007</v>
      </c>
      <c r="E62" s="406" t="s">
        <v>250</v>
      </c>
      <c r="F62" s="404">
        <v>0</v>
      </c>
      <c r="G62" s="405">
        <v>0</v>
      </c>
      <c r="H62" s="407">
        <v>0.10199999999999999</v>
      </c>
      <c r="I62" s="404">
        <v>1.8140000000000001</v>
      </c>
      <c r="J62" s="405">
        <v>1.8140000000000001</v>
      </c>
      <c r="K62" s="408" t="s">
        <v>250</v>
      </c>
    </row>
    <row r="63" spans="1:11" ht="14.4" customHeight="1" thickBot="1" x14ac:dyDescent="0.35">
      <c r="A63" s="420" t="s">
        <v>307</v>
      </c>
      <c r="B63" s="404">
        <v>0</v>
      </c>
      <c r="C63" s="404">
        <v>62.207999999999998</v>
      </c>
      <c r="D63" s="405">
        <v>62.207999999999998</v>
      </c>
      <c r="E63" s="406" t="s">
        <v>250</v>
      </c>
      <c r="F63" s="404">
        <v>0</v>
      </c>
      <c r="G63" s="405">
        <v>0</v>
      </c>
      <c r="H63" s="407">
        <v>0.10199999999999999</v>
      </c>
      <c r="I63" s="404">
        <v>1.8140000000000001</v>
      </c>
      <c r="J63" s="405">
        <v>1.8140000000000001</v>
      </c>
      <c r="K63" s="408" t="s">
        <v>250</v>
      </c>
    </row>
    <row r="64" spans="1:11" ht="14.4" customHeight="1" thickBot="1" x14ac:dyDescent="0.35">
      <c r="A64" s="421" t="s">
        <v>308</v>
      </c>
      <c r="B64" s="399">
        <v>0</v>
      </c>
      <c r="C64" s="399">
        <v>55.008000000000003</v>
      </c>
      <c r="D64" s="400">
        <v>55.008000000000003</v>
      </c>
      <c r="E64" s="409" t="s">
        <v>250</v>
      </c>
      <c r="F64" s="399">
        <v>0</v>
      </c>
      <c r="G64" s="400">
        <v>0</v>
      </c>
      <c r="H64" s="402">
        <v>0.10199999999999999</v>
      </c>
      <c r="I64" s="399">
        <v>0.56399999999999995</v>
      </c>
      <c r="J64" s="400">
        <v>0.56399999999999995</v>
      </c>
      <c r="K64" s="410" t="s">
        <v>250</v>
      </c>
    </row>
    <row r="65" spans="1:11" ht="14.4" customHeight="1" thickBot="1" x14ac:dyDescent="0.35">
      <c r="A65" s="421" t="s">
        <v>309</v>
      </c>
      <c r="B65" s="399">
        <v>4.9406564584124654E-324</v>
      </c>
      <c r="C65" s="399">
        <v>7.2</v>
      </c>
      <c r="D65" s="400">
        <v>7.2</v>
      </c>
      <c r="E65" s="409" t="s">
        <v>256</v>
      </c>
      <c r="F65" s="399">
        <v>0</v>
      </c>
      <c r="G65" s="400">
        <v>0</v>
      </c>
      <c r="H65" s="402">
        <v>4.9406564584124654E-324</v>
      </c>
      <c r="I65" s="399">
        <v>1.25</v>
      </c>
      <c r="J65" s="400">
        <v>1.25</v>
      </c>
      <c r="K65" s="410" t="s">
        <v>250</v>
      </c>
    </row>
    <row r="66" spans="1:11" ht="14.4" customHeight="1" thickBot="1" x14ac:dyDescent="0.35">
      <c r="A66" s="420" t="s">
        <v>310</v>
      </c>
      <c r="B66" s="404">
        <v>4.9406564584124654E-324</v>
      </c>
      <c r="C66" s="404">
        <v>11.103</v>
      </c>
      <c r="D66" s="405">
        <v>11.103</v>
      </c>
      <c r="E66" s="406" t="s">
        <v>256</v>
      </c>
      <c r="F66" s="404">
        <v>0</v>
      </c>
      <c r="G66" s="405">
        <v>0</v>
      </c>
      <c r="H66" s="407">
        <v>4.9406564584124654E-324</v>
      </c>
      <c r="I66" s="404">
        <v>9.8813129168249309E-324</v>
      </c>
      <c r="J66" s="405">
        <v>9.8813129168249309E-324</v>
      </c>
      <c r="K66" s="408" t="s">
        <v>250</v>
      </c>
    </row>
    <row r="67" spans="1:11" ht="14.4" customHeight="1" thickBot="1" x14ac:dyDescent="0.35">
      <c r="A67" s="421" t="s">
        <v>311</v>
      </c>
      <c r="B67" s="399">
        <v>4.9406564584124654E-324</v>
      </c>
      <c r="C67" s="399">
        <v>11.103</v>
      </c>
      <c r="D67" s="400">
        <v>11.103</v>
      </c>
      <c r="E67" s="409" t="s">
        <v>256</v>
      </c>
      <c r="F67" s="399">
        <v>0</v>
      </c>
      <c r="G67" s="400">
        <v>0</v>
      </c>
      <c r="H67" s="402">
        <v>4.9406564584124654E-324</v>
      </c>
      <c r="I67" s="399">
        <v>9.8813129168249309E-324</v>
      </c>
      <c r="J67" s="400">
        <v>9.8813129168249309E-324</v>
      </c>
      <c r="K67" s="410" t="s">
        <v>250</v>
      </c>
    </row>
    <row r="68" spans="1:11" ht="14.4" customHeight="1" thickBot="1" x14ac:dyDescent="0.35">
      <c r="A68" s="419" t="s">
        <v>50</v>
      </c>
      <c r="B68" s="399">
        <v>260.22118930576102</v>
      </c>
      <c r="C68" s="399">
        <v>428.76718</v>
      </c>
      <c r="D68" s="400">
        <v>168.54599069423901</v>
      </c>
      <c r="E68" s="401">
        <v>1.6477027913969999</v>
      </c>
      <c r="F68" s="399">
        <v>430.71189430440302</v>
      </c>
      <c r="G68" s="400">
        <v>71.785315717399996</v>
      </c>
      <c r="H68" s="402">
        <v>4.9837499999999997</v>
      </c>
      <c r="I68" s="399">
        <v>55.08372</v>
      </c>
      <c r="J68" s="400">
        <v>-16.7015957174</v>
      </c>
      <c r="K68" s="403">
        <v>0.1278899439</v>
      </c>
    </row>
    <row r="69" spans="1:11" ht="14.4" customHeight="1" thickBot="1" x14ac:dyDescent="0.35">
      <c r="A69" s="420" t="s">
        <v>312</v>
      </c>
      <c r="B69" s="404">
        <v>1.0900352692249999</v>
      </c>
      <c r="C69" s="404">
        <v>0.20699999999999999</v>
      </c>
      <c r="D69" s="405">
        <v>-0.88303526922499997</v>
      </c>
      <c r="E69" s="411">
        <v>0.18990211220100001</v>
      </c>
      <c r="F69" s="404">
        <v>8.2737648577E-2</v>
      </c>
      <c r="G69" s="405">
        <v>1.3789608096E-2</v>
      </c>
      <c r="H69" s="407">
        <v>4.9406564584124654E-324</v>
      </c>
      <c r="I69" s="404">
        <v>9.8813129168249309E-324</v>
      </c>
      <c r="J69" s="405">
        <v>-1.3789608096E-2</v>
      </c>
      <c r="K69" s="412">
        <v>1.1857575500189917E-322</v>
      </c>
    </row>
    <row r="70" spans="1:11" ht="14.4" customHeight="1" thickBot="1" x14ac:dyDescent="0.35">
      <c r="A70" s="421" t="s">
        <v>313</v>
      </c>
      <c r="B70" s="399">
        <v>1.0900352692249999</v>
      </c>
      <c r="C70" s="399">
        <v>0.20699999999999999</v>
      </c>
      <c r="D70" s="400">
        <v>-0.88303526922499997</v>
      </c>
      <c r="E70" s="401">
        <v>0.18990211220100001</v>
      </c>
      <c r="F70" s="399">
        <v>8.2737648577E-2</v>
      </c>
      <c r="G70" s="400">
        <v>1.3789608096E-2</v>
      </c>
      <c r="H70" s="402">
        <v>4.9406564584124654E-324</v>
      </c>
      <c r="I70" s="399">
        <v>9.8813129168249309E-324</v>
      </c>
      <c r="J70" s="400">
        <v>-1.3789608096E-2</v>
      </c>
      <c r="K70" s="403">
        <v>1.1857575500189917E-322</v>
      </c>
    </row>
    <row r="71" spans="1:11" ht="14.4" customHeight="1" thickBot="1" x14ac:dyDescent="0.35">
      <c r="A71" s="420" t="s">
        <v>314</v>
      </c>
      <c r="B71" s="404">
        <v>8.4977922290110008</v>
      </c>
      <c r="C71" s="404">
        <v>16.466239999999999</v>
      </c>
      <c r="D71" s="405">
        <v>7.9684477709879999</v>
      </c>
      <c r="E71" s="411">
        <v>1.937708001824</v>
      </c>
      <c r="F71" s="404">
        <v>15.744386076068</v>
      </c>
      <c r="G71" s="405">
        <v>2.624064346011</v>
      </c>
      <c r="H71" s="407">
        <v>1.06969</v>
      </c>
      <c r="I71" s="404">
        <v>1.7910699999999999</v>
      </c>
      <c r="J71" s="405">
        <v>-0.83299434601099998</v>
      </c>
      <c r="K71" s="412">
        <v>0.113759278472</v>
      </c>
    </row>
    <row r="72" spans="1:11" ht="14.4" customHeight="1" thickBot="1" x14ac:dyDescent="0.35">
      <c r="A72" s="421" t="s">
        <v>315</v>
      </c>
      <c r="B72" s="399">
        <v>5.4866140821710001</v>
      </c>
      <c r="C72" s="399">
        <v>3.3347000000000002</v>
      </c>
      <c r="D72" s="400">
        <v>-2.1519140821709999</v>
      </c>
      <c r="E72" s="401">
        <v>0.60778832811200001</v>
      </c>
      <c r="F72" s="399">
        <v>3.4113521736469998</v>
      </c>
      <c r="G72" s="400">
        <v>0.56855869560700001</v>
      </c>
      <c r="H72" s="402">
        <v>0.19</v>
      </c>
      <c r="I72" s="399">
        <v>0.60229999999999995</v>
      </c>
      <c r="J72" s="400">
        <v>3.3741304392000002E-2</v>
      </c>
      <c r="K72" s="403">
        <v>0.17655755528600001</v>
      </c>
    </row>
    <row r="73" spans="1:11" ht="14.4" customHeight="1" thickBot="1" x14ac:dyDescent="0.35">
      <c r="A73" s="421" t="s">
        <v>316</v>
      </c>
      <c r="B73" s="399">
        <v>3.0111781468399998</v>
      </c>
      <c r="C73" s="399">
        <v>13.131539999999999</v>
      </c>
      <c r="D73" s="400">
        <v>10.120361853159</v>
      </c>
      <c r="E73" s="401">
        <v>4.3609309577969997</v>
      </c>
      <c r="F73" s="399">
        <v>12.33303390242</v>
      </c>
      <c r="G73" s="400">
        <v>2.055505650403</v>
      </c>
      <c r="H73" s="402">
        <v>0.87968999999999997</v>
      </c>
      <c r="I73" s="399">
        <v>1.1887700000000001</v>
      </c>
      <c r="J73" s="400">
        <v>-0.86673565040300005</v>
      </c>
      <c r="K73" s="403">
        <v>9.6389096908000002E-2</v>
      </c>
    </row>
    <row r="74" spans="1:11" ht="14.4" customHeight="1" thickBot="1" x14ac:dyDescent="0.35">
      <c r="A74" s="420" t="s">
        <v>317</v>
      </c>
      <c r="B74" s="404">
        <v>22.993745562008002</v>
      </c>
      <c r="C74" s="404">
        <v>20.280080000000002</v>
      </c>
      <c r="D74" s="405">
        <v>-2.7136655620079999</v>
      </c>
      <c r="E74" s="411">
        <v>0.88198244802299997</v>
      </c>
      <c r="F74" s="404">
        <v>21.548007502813999</v>
      </c>
      <c r="G74" s="405">
        <v>3.5913345838019999</v>
      </c>
      <c r="H74" s="407">
        <v>4.9406564584124654E-324</v>
      </c>
      <c r="I74" s="404">
        <v>5.13</v>
      </c>
      <c r="J74" s="405">
        <v>1.5386654161969999</v>
      </c>
      <c r="K74" s="412">
        <v>0.23807305614300001</v>
      </c>
    </row>
    <row r="75" spans="1:11" ht="14.4" customHeight="1" thickBot="1" x14ac:dyDescent="0.35">
      <c r="A75" s="421" t="s">
        <v>318</v>
      </c>
      <c r="B75" s="399">
        <v>19.994809029540001</v>
      </c>
      <c r="C75" s="399">
        <v>19.98</v>
      </c>
      <c r="D75" s="400">
        <v>-1.4809029539999999E-2</v>
      </c>
      <c r="E75" s="401">
        <v>0.99925935628899998</v>
      </c>
      <c r="F75" s="399">
        <v>21.273314108478999</v>
      </c>
      <c r="G75" s="400">
        <v>3.5455523514129998</v>
      </c>
      <c r="H75" s="402">
        <v>4.9406564584124654E-324</v>
      </c>
      <c r="I75" s="399">
        <v>5.13</v>
      </c>
      <c r="J75" s="400">
        <v>1.584447648586</v>
      </c>
      <c r="K75" s="403">
        <v>0.24114719379499999</v>
      </c>
    </row>
    <row r="76" spans="1:11" ht="14.4" customHeight="1" thickBot="1" x14ac:dyDescent="0.35">
      <c r="A76" s="421" t="s">
        <v>319</v>
      </c>
      <c r="B76" s="399">
        <v>2.9989365324669999</v>
      </c>
      <c r="C76" s="399">
        <v>0.30008000000000001</v>
      </c>
      <c r="D76" s="400">
        <v>-2.698856532467</v>
      </c>
      <c r="E76" s="401">
        <v>0.100062137611</v>
      </c>
      <c r="F76" s="399">
        <v>0.27469339433399997</v>
      </c>
      <c r="G76" s="400">
        <v>4.5782232388999998E-2</v>
      </c>
      <c r="H76" s="402">
        <v>4.9406564584124654E-324</v>
      </c>
      <c r="I76" s="399">
        <v>9.8813129168249309E-324</v>
      </c>
      <c r="J76" s="400">
        <v>-4.5782232388999998E-2</v>
      </c>
      <c r="K76" s="403">
        <v>3.4584595208887258E-323</v>
      </c>
    </row>
    <row r="77" spans="1:11" ht="14.4" customHeight="1" thickBot="1" x14ac:dyDescent="0.35">
      <c r="A77" s="420" t="s">
        <v>320</v>
      </c>
      <c r="B77" s="404">
        <v>151.56480186949901</v>
      </c>
      <c r="C77" s="404">
        <v>322.18245000000002</v>
      </c>
      <c r="D77" s="405">
        <v>170.61764813050101</v>
      </c>
      <c r="E77" s="411">
        <v>2.1257075919070001</v>
      </c>
      <c r="F77" s="404">
        <v>325.47536506302998</v>
      </c>
      <c r="G77" s="405">
        <v>54.245894177171003</v>
      </c>
      <c r="H77" s="407">
        <v>3.9140600000000001</v>
      </c>
      <c r="I77" s="404">
        <v>31.162649999999999</v>
      </c>
      <c r="J77" s="405">
        <v>-23.083244177171</v>
      </c>
      <c r="K77" s="412">
        <v>9.5745034325000006E-2</v>
      </c>
    </row>
    <row r="78" spans="1:11" ht="14.4" customHeight="1" thickBot="1" x14ac:dyDescent="0.35">
      <c r="A78" s="421" t="s">
        <v>321</v>
      </c>
      <c r="B78" s="399">
        <v>98.000099511138998</v>
      </c>
      <c r="C78" s="399">
        <v>273.34014000000002</v>
      </c>
      <c r="D78" s="400">
        <v>175.34004048886001</v>
      </c>
      <c r="E78" s="401">
        <v>2.7891822698489999</v>
      </c>
      <c r="F78" s="399">
        <v>276.30675760059199</v>
      </c>
      <c r="G78" s="400">
        <v>46.051126266765003</v>
      </c>
      <c r="H78" s="402">
        <v>4.9406564584124654E-324</v>
      </c>
      <c r="I78" s="399">
        <v>22.57085</v>
      </c>
      <c r="J78" s="400">
        <v>-23.480276266764999</v>
      </c>
      <c r="K78" s="403">
        <v>8.1687651057999994E-2</v>
      </c>
    </row>
    <row r="79" spans="1:11" ht="14.4" customHeight="1" thickBot="1" x14ac:dyDescent="0.35">
      <c r="A79" s="421" t="s">
        <v>322</v>
      </c>
      <c r="B79" s="399">
        <v>53.564702358359</v>
      </c>
      <c r="C79" s="399">
        <v>48.842309999999998</v>
      </c>
      <c r="D79" s="400">
        <v>-4.7223923583590004</v>
      </c>
      <c r="E79" s="401">
        <v>0.911837606661</v>
      </c>
      <c r="F79" s="399">
        <v>49.168607462437002</v>
      </c>
      <c r="G79" s="400">
        <v>8.1947679104060001</v>
      </c>
      <c r="H79" s="402">
        <v>3.9140600000000001</v>
      </c>
      <c r="I79" s="399">
        <v>8.5917999999999992</v>
      </c>
      <c r="J79" s="400">
        <v>0.39703208959300001</v>
      </c>
      <c r="K79" s="403">
        <v>0.17474157686</v>
      </c>
    </row>
    <row r="80" spans="1:11" ht="14.4" customHeight="1" thickBot="1" x14ac:dyDescent="0.35">
      <c r="A80" s="420" t="s">
        <v>323</v>
      </c>
      <c r="B80" s="404">
        <v>76.074814376017002</v>
      </c>
      <c r="C80" s="404">
        <v>69.631410000000002</v>
      </c>
      <c r="D80" s="405">
        <v>-6.4434043760169999</v>
      </c>
      <c r="E80" s="411">
        <v>0.91530174041300005</v>
      </c>
      <c r="F80" s="404">
        <v>67.861398013913004</v>
      </c>
      <c r="G80" s="405">
        <v>11.310233002318</v>
      </c>
      <c r="H80" s="407">
        <v>4.9406564584124654E-324</v>
      </c>
      <c r="I80" s="404">
        <v>17</v>
      </c>
      <c r="J80" s="405">
        <v>5.6897669976809997</v>
      </c>
      <c r="K80" s="412">
        <v>0.250510606877</v>
      </c>
    </row>
    <row r="81" spans="1:11" ht="14.4" customHeight="1" thickBot="1" x14ac:dyDescent="0.35">
      <c r="A81" s="421" t="s">
        <v>324</v>
      </c>
      <c r="B81" s="399">
        <v>76.074814376017002</v>
      </c>
      <c r="C81" s="399">
        <v>65.915149999999997</v>
      </c>
      <c r="D81" s="400">
        <v>-10.159664376017</v>
      </c>
      <c r="E81" s="401">
        <v>0.86645167051200001</v>
      </c>
      <c r="F81" s="399">
        <v>65.167906593225993</v>
      </c>
      <c r="G81" s="400">
        <v>10.861317765537001</v>
      </c>
      <c r="H81" s="402">
        <v>4.9406564584124654E-324</v>
      </c>
      <c r="I81" s="399">
        <v>17</v>
      </c>
      <c r="J81" s="400">
        <v>6.1386822344620002</v>
      </c>
      <c r="K81" s="403">
        <v>0.26086460174499998</v>
      </c>
    </row>
    <row r="82" spans="1:11" ht="14.4" customHeight="1" thickBot="1" x14ac:dyDescent="0.35">
      <c r="A82" s="421" t="s">
        <v>325</v>
      </c>
      <c r="B82" s="399">
        <v>0</v>
      </c>
      <c r="C82" s="399">
        <v>4.9406564584124654E-324</v>
      </c>
      <c r="D82" s="400">
        <v>4.9406564584124654E-324</v>
      </c>
      <c r="E82" s="409" t="s">
        <v>250</v>
      </c>
      <c r="F82" s="399">
        <v>2.0007288334809998</v>
      </c>
      <c r="G82" s="400">
        <v>0.33345480558000001</v>
      </c>
      <c r="H82" s="402">
        <v>4.9406564584124654E-324</v>
      </c>
      <c r="I82" s="399">
        <v>9.8813129168249309E-324</v>
      </c>
      <c r="J82" s="400">
        <v>-0.33345480558000001</v>
      </c>
      <c r="K82" s="403">
        <v>4.9406564584124654E-324</v>
      </c>
    </row>
    <row r="83" spans="1:11" ht="14.4" customHeight="1" thickBot="1" x14ac:dyDescent="0.35">
      <c r="A83" s="421" t="s">
        <v>326</v>
      </c>
      <c r="B83" s="399">
        <v>4.9406564584124654E-324</v>
      </c>
      <c r="C83" s="399">
        <v>0.73326000000000002</v>
      </c>
      <c r="D83" s="400">
        <v>0.73326000000000002</v>
      </c>
      <c r="E83" s="409" t="s">
        <v>256</v>
      </c>
      <c r="F83" s="399">
        <v>0.69276258720499995</v>
      </c>
      <c r="G83" s="400">
        <v>0.1154604312</v>
      </c>
      <c r="H83" s="402">
        <v>4.9406564584124654E-324</v>
      </c>
      <c r="I83" s="399">
        <v>9.8813129168249309E-324</v>
      </c>
      <c r="J83" s="400">
        <v>-0.1154604312</v>
      </c>
      <c r="K83" s="403">
        <v>1.4821969375237396E-323</v>
      </c>
    </row>
    <row r="84" spans="1:11" ht="14.4" customHeight="1" thickBot="1" x14ac:dyDescent="0.35">
      <c r="A84" s="421" t="s">
        <v>327</v>
      </c>
      <c r="B84" s="399">
        <v>4.9406564584124654E-324</v>
      </c>
      <c r="C84" s="399">
        <v>2.9830000000000001</v>
      </c>
      <c r="D84" s="400">
        <v>2.9830000000000001</v>
      </c>
      <c r="E84" s="409" t="s">
        <v>256</v>
      </c>
      <c r="F84" s="399">
        <v>4.9406564584124654E-324</v>
      </c>
      <c r="G84" s="400">
        <v>0</v>
      </c>
      <c r="H84" s="402">
        <v>4.9406564584124654E-324</v>
      </c>
      <c r="I84" s="399">
        <v>9.8813129168249309E-324</v>
      </c>
      <c r="J84" s="400">
        <v>9.8813129168249309E-324</v>
      </c>
      <c r="K84" s="403">
        <v>2</v>
      </c>
    </row>
    <row r="85" spans="1:11" ht="14.4" customHeight="1" thickBot="1" x14ac:dyDescent="0.35">
      <c r="A85" s="418" t="s">
        <v>51</v>
      </c>
      <c r="B85" s="399">
        <v>11114.997019341899</v>
      </c>
      <c r="C85" s="399">
        <v>11075.130090000001</v>
      </c>
      <c r="D85" s="400">
        <v>-39.866929341937002</v>
      </c>
      <c r="E85" s="401">
        <v>0.99641323076599997</v>
      </c>
      <c r="F85" s="399">
        <v>10074.049832651401</v>
      </c>
      <c r="G85" s="400">
        <v>1679.0083054418899</v>
      </c>
      <c r="H85" s="402">
        <v>876.59157000000005</v>
      </c>
      <c r="I85" s="399">
        <v>1727.7803899999999</v>
      </c>
      <c r="J85" s="400">
        <v>48.772084558110002</v>
      </c>
      <c r="K85" s="403">
        <v>0.171508024945</v>
      </c>
    </row>
    <row r="86" spans="1:11" ht="14.4" customHeight="1" thickBot="1" x14ac:dyDescent="0.35">
      <c r="A86" s="424" t="s">
        <v>328</v>
      </c>
      <c r="B86" s="404">
        <v>8255.9999999995507</v>
      </c>
      <c r="C86" s="404">
        <v>8257.1039999999994</v>
      </c>
      <c r="D86" s="405">
        <v>1.1040000004570001</v>
      </c>
      <c r="E86" s="411">
        <v>1.0001337209300001</v>
      </c>
      <c r="F86" s="404">
        <v>7468.9999999998699</v>
      </c>
      <c r="G86" s="405">
        <v>1244.8333333333101</v>
      </c>
      <c r="H86" s="407">
        <v>649.32899999999995</v>
      </c>
      <c r="I86" s="404">
        <v>1279.8420000000001</v>
      </c>
      <c r="J86" s="405">
        <v>35.008666666692001</v>
      </c>
      <c r="K86" s="412">
        <v>0.171353862632</v>
      </c>
    </row>
    <row r="87" spans="1:11" ht="14.4" customHeight="1" thickBot="1" x14ac:dyDescent="0.35">
      <c r="A87" s="420" t="s">
        <v>329</v>
      </c>
      <c r="B87" s="404">
        <v>8165.9999999995498</v>
      </c>
      <c r="C87" s="404">
        <v>8198.4249999999993</v>
      </c>
      <c r="D87" s="405">
        <v>32.425000000452997</v>
      </c>
      <c r="E87" s="411">
        <v>1.0039707323039999</v>
      </c>
      <c r="F87" s="404">
        <v>7442.9999999998699</v>
      </c>
      <c r="G87" s="405">
        <v>1240.49999999998</v>
      </c>
      <c r="H87" s="407">
        <v>649.24</v>
      </c>
      <c r="I87" s="404">
        <v>1279.3520000000001</v>
      </c>
      <c r="J87" s="405">
        <v>38.852000000025001</v>
      </c>
      <c r="K87" s="412">
        <v>0.171886604863</v>
      </c>
    </row>
    <row r="88" spans="1:11" ht="14.4" customHeight="1" thickBot="1" x14ac:dyDescent="0.35">
      <c r="A88" s="421" t="s">
        <v>330</v>
      </c>
      <c r="B88" s="399">
        <v>8165.9999999995498</v>
      </c>
      <c r="C88" s="399">
        <v>8198.4249999999993</v>
      </c>
      <c r="D88" s="400">
        <v>32.425000000452997</v>
      </c>
      <c r="E88" s="401">
        <v>1.0039707323039999</v>
      </c>
      <c r="F88" s="399">
        <v>7442.9999999998699</v>
      </c>
      <c r="G88" s="400">
        <v>1240.49999999998</v>
      </c>
      <c r="H88" s="402">
        <v>649.24</v>
      </c>
      <c r="I88" s="399">
        <v>1279.3520000000001</v>
      </c>
      <c r="J88" s="400">
        <v>38.852000000025001</v>
      </c>
      <c r="K88" s="403">
        <v>0.171886604863</v>
      </c>
    </row>
    <row r="89" spans="1:11" ht="14.4" customHeight="1" thickBot="1" x14ac:dyDescent="0.35">
      <c r="A89" s="420" t="s">
        <v>331</v>
      </c>
      <c r="B89" s="404">
        <v>0</v>
      </c>
      <c r="C89" s="404">
        <v>2.8519999999999999</v>
      </c>
      <c r="D89" s="405">
        <v>2.8519999999999999</v>
      </c>
      <c r="E89" s="406" t="s">
        <v>250</v>
      </c>
      <c r="F89" s="404">
        <v>0</v>
      </c>
      <c r="G89" s="405">
        <v>0</v>
      </c>
      <c r="H89" s="407">
        <v>8.8999999999999996E-2</v>
      </c>
      <c r="I89" s="404">
        <v>0.49</v>
      </c>
      <c r="J89" s="405">
        <v>0.49</v>
      </c>
      <c r="K89" s="408" t="s">
        <v>250</v>
      </c>
    </row>
    <row r="90" spans="1:11" ht="14.4" customHeight="1" thickBot="1" x14ac:dyDescent="0.35">
      <c r="A90" s="421" t="s">
        <v>332</v>
      </c>
      <c r="B90" s="399">
        <v>0</v>
      </c>
      <c r="C90" s="399">
        <v>2.8519999999999999</v>
      </c>
      <c r="D90" s="400">
        <v>2.8519999999999999</v>
      </c>
      <c r="E90" s="409" t="s">
        <v>250</v>
      </c>
      <c r="F90" s="399">
        <v>0</v>
      </c>
      <c r="G90" s="400">
        <v>0</v>
      </c>
      <c r="H90" s="402">
        <v>8.8999999999999996E-2</v>
      </c>
      <c r="I90" s="399">
        <v>0.49</v>
      </c>
      <c r="J90" s="400">
        <v>0.49</v>
      </c>
      <c r="K90" s="410" t="s">
        <v>250</v>
      </c>
    </row>
    <row r="91" spans="1:11" ht="14.4" customHeight="1" thickBot="1" x14ac:dyDescent="0.35">
      <c r="A91" s="420" t="s">
        <v>333</v>
      </c>
      <c r="B91" s="404">
        <v>89.999999999994998</v>
      </c>
      <c r="C91" s="404">
        <v>48.8</v>
      </c>
      <c r="D91" s="405">
        <v>-41.199999999995001</v>
      </c>
      <c r="E91" s="411">
        <v>0.54222222222200001</v>
      </c>
      <c r="F91" s="404">
        <v>0</v>
      </c>
      <c r="G91" s="405">
        <v>0</v>
      </c>
      <c r="H91" s="407">
        <v>4.9406564584124654E-324</v>
      </c>
      <c r="I91" s="404">
        <v>9.8813129168249309E-324</v>
      </c>
      <c r="J91" s="405">
        <v>9.8813129168249309E-324</v>
      </c>
      <c r="K91" s="408" t="s">
        <v>250</v>
      </c>
    </row>
    <row r="92" spans="1:11" ht="14.4" customHeight="1" thickBot="1" x14ac:dyDescent="0.35">
      <c r="A92" s="421" t="s">
        <v>334</v>
      </c>
      <c r="B92" s="399">
        <v>89.999999999994998</v>
      </c>
      <c r="C92" s="399">
        <v>48.8</v>
      </c>
      <c r="D92" s="400">
        <v>-41.199999999995001</v>
      </c>
      <c r="E92" s="401">
        <v>0.54222222222200001</v>
      </c>
      <c r="F92" s="399">
        <v>0</v>
      </c>
      <c r="G92" s="400">
        <v>0</v>
      </c>
      <c r="H92" s="402">
        <v>4.9406564584124654E-324</v>
      </c>
      <c r="I92" s="399">
        <v>9.8813129168249309E-324</v>
      </c>
      <c r="J92" s="400">
        <v>9.8813129168249309E-324</v>
      </c>
      <c r="K92" s="410" t="s">
        <v>250</v>
      </c>
    </row>
    <row r="93" spans="1:11" ht="14.4" customHeight="1" thickBot="1" x14ac:dyDescent="0.35">
      <c r="A93" s="420" t="s">
        <v>335</v>
      </c>
      <c r="B93" s="404">
        <v>0</v>
      </c>
      <c r="C93" s="404">
        <v>7.0270000000000001</v>
      </c>
      <c r="D93" s="405">
        <v>7.0270000000000001</v>
      </c>
      <c r="E93" s="406" t="s">
        <v>250</v>
      </c>
      <c r="F93" s="404">
        <v>25.999999999999002</v>
      </c>
      <c r="G93" s="405">
        <v>4.333333333333</v>
      </c>
      <c r="H93" s="407">
        <v>4.9406564584124654E-324</v>
      </c>
      <c r="I93" s="404">
        <v>9.8813129168249309E-324</v>
      </c>
      <c r="J93" s="405">
        <v>-4.333333333333</v>
      </c>
      <c r="K93" s="412">
        <v>0</v>
      </c>
    </row>
    <row r="94" spans="1:11" ht="14.4" customHeight="1" thickBot="1" x14ac:dyDescent="0.35">
      <c r="A94" s="421" t="s">
        <v>336</v>
      </c>
      <c r="B94" s="399">
        <v>0</v>
      </c>
      <c r="C94" s="399">
        <v>7.0270000000000001</v>
      </c>
      <c r="D94" s="400">
        <v>7.0270000000000001</v>
      </c>
      <c r="E94" s="409" t="s">
        <v>250</v>
      </c>
      <c r="F94" s="399">
        <v>25.999999999999002</v>
      </c>
      <c r="G94" s="400">
        <v>4.333333333333</v>
      </c>
      <c r="H94" s="402">
        <v>4.9406564584124654E-324</v>
      </c>
      <c r="I94" s="399">
        <v>9.8813129168249309E-324</v>
      </c>
      <c r="J94" s="400">
        <v>-4.333333333333</v>
      </c>
      <c r="K94" s="403">
        <v>0</v>
      </c>
    </row>
    <row r="95" spans="1:11" ht="14.4" customHeight="1" thickBot="1" x14ac:dyDescent="0.35">
      <c r="A95" s="419" t="s">
        <v>337</v>
      </c>
      <c r="B95" s="399">
        <v>2776.9970193424001</v>
      </c>
      <c r="C95" s="399">
        <v>2735.9706299999998</v>
      </c>
      <c r="D95" s="400">
        <v>-41.026389342397998</v>
      </c>
      <c r="E95" s="401">
        <v>0.98522634736100001</v>
      </c>
      <c r="F95" s="399">
        <v>2531.0498326514999</v>
      </c>
      <c r="G95" s="400">
        <v>421.84163877524901</v>
      </c>
      <c r="H95" s="402">
        <v>220.77025</v>
      </c>
      <c r="I95" s="399">
        <v>435.14550000000099</v>
      </c>
      <c r="J95" s="400">
        <v>13.303861224751</v>
      </c>
      <c r="K95" s="403">
        <v>0.171922928733</v>
      </c>
    </row>
    <row r="96" spans="1:11" ht="14.4" customHeight="1" thickBot="1" x14ac:dyDescent="0.35">
      <c r="A96" s="420" t="s">
        <v>338</v>
      </c>
      <c r="B96" s="404">
        <v>734.99999434276594</v>
      </c>
      <c r="C96" s="404">
        <v>742.22132999999997</v>
      </c>
      <c r="D96" s="405">
        <v>7.2213356572340004</v>
      </c>
      <c r="E96" s="411">
        <v>1.009824946548</v>
      </c>
      <c r="F96" s="404">
        <v>670.04983265153305</v>
      </c>
      <c r="G96" s="405">
        <v>111.674972108589</v>
      </c>
      <c r="H96" s="407">
        <v>58.438000000000002</v>
      </c>
      <c r="I96" s="404">
        <v>115.185</v>
      </c>
      <c r="J96" s="405">
        <v>3.5100278914110001</v>
      </c>
      <c r="K96" s="412">
        <v>0.17190512464400001</v>
      </c>
    </row>
    <row r="97" spans="1:11" ht="14.4" customHeight="1" thickBot="1" x14ac:dyDescent="0.35">
      <c r="A97" s="421" t="s">
        <v>339</v>
      </c>
      <c r="B97" s="399">
        <v>734.99999434276594</v>
      </c>
      <c r="C97" s="399">
        <v>742.22132999999997</v>
      </c>
      <c r="D97" s="400">
        <v>7.2213356572340004</v>
      </c>
      <c r="E97" s="401">
        <v>1.009824946548</v>
      </c>
      <c r="F97" s="399">
        <v>670.04983265153305</v>
      </c>
      <c r="G97" s="400">
        <v>111.674972108589</v>
      </c>
      <c r="H97" s="402">
        <v>58.438000000000002</v>
      </c>
      <c r="I97" s="399">
        <v>115.185</v>
      </c>
      <c r="J97" s="400">
        <v>3.5100278914110001</v>
      </c>
      <c r="K97" s="403">
        <v>0.17190512464400001</v>
      </c>
    </row>
    <row r="98" spans="1:11" ht="14.4" customHeight="1" thickBot="1" x14ac:dyDescent="0.35">
      <c r="A98" s="420" t="s">
        <v>340</v>
      </c>
      <c r="B98" s="404">
        <v>2041.99702499963</v>
      </c>
      <c r="C98" s="404">
        <v>1993.7492999999999</v>
      </c>
      <c r="D98" s="405">
        <v>-48.247724999631998</v>
      </c>
      <c r="E98" s="411">
        <v>0.97637228438099999</v>
      </c>
      <c r="F98" s="404">
        <v>1860.99999999996</v>
      </c>
      <c r="G98" s="405">
        <v>310.16666666665998</v>
      </c>
      <c r="H98" s="407">
        <v>162.33224999999999</v>
      </c>
      <c r="I98" s="404">
        <v>319.96050000000099</v>
      </c>
      <c r="J98" s="405">
        <v>9.7938333333400003</v>
      </c>
      <c r="K98" s="412">
        <v>0.17192933906499999</v>
      </c>
    </row>
    <row r="99" spans="1:11" ht="14.4" customHeight="1" thickBot="1" x14ac:dyDescent="0.35">
      <c r="A99" s="421" t="s">
        <v>341</v>
      </c>
      <c r="B99" s="399">
        <v>2041.99702499963</v>
      </c>
      <c r="C99" s="399">
        <v>1993.7492999999999</v>
      </c>
      <c r="D99" s="400">
        <v>-48.247724999631998</v>
      </c>
      <c r="E99" s="401">
        <v>0.97637228438099999</v>
      </c>
      <c r="F99" s="399">
        <v>1860.99999999996</v>
      </c>
      <c r="G99" s="400">
        <v>310.16666666665998</v>
      </c>
      <c r="H99" s="402">
        <v>162.33224999999999</v>
      </c>
      <c r="I99" s="399">
        <v>319.96050000000099</v>
      </c>
      <c r="J99" s="400">
        <v>9.7938333333400003</v>
      </c>
      <c r="K99" s="403">
        <v>0.17192933906499999</v>
      </c>
    </row>
    <row r="100" spans="1:11" ht="14.4" customHeight="1" thickBot="1" x14ac:dyDescent="0.35">
      <c r="A100" s="419" t="s">
        <v>342</v>
      </c>
      <c r="B100" s="399">
        <v>81.999999999994998</v>
      </c>
      <c r="C100" s="399">
        <v>82.055459999999997</v>
      </c>
      <c r="D100" s="400">
        <v>5.5460000003999997E-2</v>
      </c>
      <c r="E100" s="401">
        <v>1.000676341463</v>
      </c>
      <c r="F100" s="399">
        <v>73.999999999997996</v>
      </c>
      <c r="G100" s="400">
        <v>12.333333333333</v>
      </c>
      <c r="H100" s="402">
        <v>6.4923200000000003</v>
      </c>
      <c r="I100" s="399">
        <v>12.79289</v>
      </c>
      <c r="J100" s="400">
        <v>0.45955666666599998</v>
      </c>
      <c r="K100" s="403">
        <v>0.172876891891</v>
      </c>
    </row>
    <row r="101" spans="1:11" ht="14.4" customHeight="1" thickBot="1" x14ac:dyDescent="0.35">
      <c r="A101" s="420" t="s">
        <v>343</v>
      </c>
      <c r="B101" s="404">
        <v>81.999999999994998</v>
      </c>
      <c r="C101" s="404">
        <v>82.055459999999997</v>
      </c>
      <c r="D101" s="405">
        <v>5.5460000003999997E-2</v>
      </c>
      <c r="E101" s="411">
        <v>1.000676341463</v>
      </c>
      <c r="F101" s="404">
        <v>73.999999999997996</v>
      </c>
      <c r="G101" s="405">
        <v>12.333333333333</v>
      </c>
      <c r="H101" s="407">
        <v>6.4923200000000003</v>
      </c>
      <c r="I101" s="404">
        <v>12.79289</v>
      </c>
      <c r="J101" s="405">
        <v>0.45955666666599998</v>
      </c>
      <c r="K101" s="412">
        <v>0.172876891891</v>
      </c>
    </row>
    <row r="102" spans="1:11" ht="14.4" customHeight="1" thickBot="1" x14ac:dyDescent="0.35">
      <c r="A102" s="421" t="s">
        <v>344</v>
      </c>
      <c r="B102" s="399">
        <v>81.999999999994998</v>
      </c>
      <c r="C102" s="399">
        <v>82.055459999999997</v>
      </c>
      <c r="D102" s="400">
        <v>5.5460000003999997E-2</v>
      </c>
      <c r="E102" s="401">
        <v>1.000676341463</v>
      </c>
      <c r="F102" s="399">
        <v>73.999999999997996</v>
      </c>
      <c r="G102" s="400">
        <v>12.333333333333</v>
      </c>
      <c r="H102" s="402">
        <v>6.4923200000000003</v>
      </c>
      <c r="I102" s="399">
        <v>12.79289</v>
      </c>
      <c r="J102" s="400">
        <v>0.45955666666599998</v>
      </c>
      <c r="K102" s="403">
        <v>0.172876891891</v>
      </c>
    </row>
    <row r="103" spans="1:11" ht="14.4" customHeight="1" thickBot="1" x14ac:dyDescent="0.35">
      <c r="A103" s="418" t="s">
        <v>345</v>
      </c>
      <c r="B103" s="399">
        <v>0</v>
      </c>
      <c r="C103" s="399">
        <v>68.590400000000002</v>
      </c>
      <c r="D103" s="400">
        <v>68.590400000000002</v>
      </c>
      <c r="E103" s="409" t="s">
        <v>250</v>
      </c>
      <c r="F103" s="399">
        <v>0</v>
      </c>
      <c r="G103" s="400">
        <v>0</v>
      </c>
      <c r="H103" s="402">
        <v>18.850000000000001</v>
      </c>
      <c r="I103" s="399">
        <v>20.65</v>
      </c>
      <c r="J103" s="400">
        <v>20.65</v>
      </c>
      <c r="K103" s="410" t="s">
        <v>250</v>
      </c>
    </row>
    <row r="104" spans="1:11" ht="14.4" customHeight="1" thickBot="1" x14ac:dyDescent="0.35">
      <c r="A104" s="419" t="s">
        <v>346</v>
      </c>
      <c r="B104" s="399">
        <v>4.9406564584124654E-324</v>
      </c>
      <c r="C104" s="399">
        <v>11.886999999999</v>
      </c>
      <c r="D104" s="400">
        <v>11.886999999999</v>
      </c>
      <c r="E104" s="409" t="s">
        <v>256</v>
      </c>
      <c r="F104" s="399">
        <v>0</v>
      </c>
      <c r="G104" s="400">
        <v>0</v>
      </c>
      <c r="H104" s="402">
        <v>4.9406564584124654E-324</v>
      </c>
      <c r="I104" s="399">
        <v>9.8813129168249309E-324</v>
      </c>
      <c r="J104" s="400">
        <v>9.8813129168249309E-324</v>
      </c>
      <c r="K104" s="410" t="s">
        <v>250</v>
      </c>
    </row>
    <row r="105" spans="1:11" ht="14.4" customHeight="1" thickBot="1" x14ac:dyDescent="0.35">
      <c r="A105" s="420" t="s">
        <v>347</v>
      </c>
      <c r="B105" s="404">
        <v>4.9406564584124654E-324</v>
      </c>
      <c r="C105" s="404">
        <v>11.886999999999</v>
      </c>
      <c r="D105" s="405">
        <v>11.886999999999</v>
      </c>
      <c r="E105" s="406" t="s">
        <v>256</v>
      </c>
      <c r="F105" s="404">
        <v>0</v>
      </c>
      <c r="G105" s="405">
        <v>0</v>
      </c>
      <c r="H105" s="407">
        <v>4.9406564584124654E-324</v>
      </c>
      <c r="I105" s="404">
        <v>9.8813129168249309E-324</v>
      </c>
      <c r="J105" s="405">
        <v>9.8813129168249309E-324</v>
      </c>
      <c r="K105" s="408" t="s">
        <v>250</v>
      </c>
    </row>
    <row r="106" spans="1:11" ht="14.4" customHeight="1" thickBot="1" x14ac:dyDescent="0.35">
      <c r="A106" s="421" t="s">
        <v>348</v>
      </c>
      <c r="B106" s="399">
        <v>4.9406564584124654E-324</v>
      </c>
      <c r="C106" s="399">
        <v>11.886999999999</v>
      </c>
      <c r="D106" s="400">
        <v>11.886999999999</v>
      </c>
      <c r="E106" s="409" t="s">
        <v>256</v>
      </c>
      <c r="F106" s="399">
        <v>0</v>
      </c>
      <c r="G106" s="400">
        <v>0</v>
      </c>
      <c r="H106" s="402">
        <v>4.9406564584124654E-324</v>
      </c>
      <c r="I106" s="399">
        <v>9.8813129168249309E-324</v>
      </c>
      <c r="J106" s="400">
        <v>9.8813129168249309E-324</v>
      </c>
      <c r="K106" s="410" t="s">
        <v>250</v>
      </c>
    </row>
    <row r="107" spans="1:11" ht="14.4" customHeight="1" thickBot="1" x14ac:dyDescent="0.35">
      <c r="A107" s="419" t="s">
        <v>349</v>
      </c>
      <c r="B107" s="399">
        <v>0</v>
      </c>
      <c r="C107" s="399">
        <v>56.703400000000002</v>
      </c>
      <c r="D107" s="400">
        <v>56.703400000000002</v>
      </c>
      <c r="E107" s="409" t="s">
        <v>250</v>
      </c>
      <c r="F107" s="399">
        <v>0</v>
      </c>
      <c r="G107" s="400">
        <v>0</v>
      </c>
      <c r="H107" s="402">
        <v>18.850000000000001</v>
      </c>
      <c r="I107" s="399">
        <v>20.65</v>
      </c>
      <c r="J107" s="400">
        <v>20.65</v>
      </c>
      <c r="K107" s="410" t="s">
        <v>250</v>
      </c>
    </row>
    <row r="108" spans="1:11" ht="14.4" customHeight="1" thickBot="1" x14ac:dyDescent="0.35">
      <c r="A108" s="420" t="s">
        <v>350</v>
      </c>
      <c r="B108" s="404">
        <v>0</v>
      </c>
      <c r="C108" s="404">
        <v>44.553400000000003</v>
      </c>
      <c r="D108" s="405">
        <v>44.553400000000003</v>
      </c>
      <c r="E108" s="406" t="s">
        <v>250</v>
      </c>
      <c r="F108" s="404">
        <v>0</v>
      </c>
      <c r="G108" s="405">
        <v>0</v>
      </c>
      <c r="H108" s="407">
        <v>17.75</v>
      </c>
      <c r="I108" s="404">
        <v>19.55</v>
      </c>
      <c r="J108" s="405">
        <v>19.55</v>
      </c>
      <c r="K108" s="408" t="s">
        <v>250</v>
      </c>
    </row>
    <row r="109" spans="1:11" ht="14.4" customHeight="1" thickBot="1" x14ac:dyDescent="0.35">
      <c r="A109" s="421" t="s">
        <v>351</v>
      </c>
      <c r="B109" s="399">
        <v>0</v>
      </c>
      <c r="C109" s="399">
        <v>1.7034</v>
      </c>
      <c r="D109" s="400">
        <v>1.7034</v>
      </c>
      <c r="E109" s="409" t="s">
        <v>250</v>
      </c>
      <c r="F109" s="399">
        <v>0</v>
      </c>
      <c r="G109" s="400">
        <v>0</v>
      </c>
      <c r="H109" s="402">
        <v>4.9406564584124654E-324</v>
      </c>
      <c r="I109" s="399">
        <v>9.8813129168249309E-324</v>
      </c>
      <c r="J109" s="400">
        <v>9.8813129168249309E-324</v>
      </c>
      <c r="K109" s="410" t="s">
        <v>250</v>
      </c>
    </row>
    <row r="110" spans="1:11" ht="14.4" customHeight="1" thickBot="1" x14ac:dyDescent="0.35">
      <c r="A110" s="421" t="s">
        <v>352</v>
      </c>
      <c r="B110" s="399">
        <v>4.9406564584124654E-324</v>
      </c>
      <c r="C110" s="399">
        <v>39.25</v>
      </c>
      <c r="D110" s="400">
        <v>39.25</v>
      </c>
      <c r="E110" s="409" t="s">
        <v>256</v>
      </c>
      <c r="F110" s="399">
        <v>0</v>
      </c>
      <c r="G110" s="400">
        <v>0</v>
      </c>
      <c r="H110" s="402">
        <v>14.35</v>
      </c>
      <c r="I110" s="399">
        <v>14.35</v>
      </c>
      <c r="J110" s="400">
        <v>14.35</v>
      </c>
      <c r="K110" s="410" t="s">
        <v>250</v>
      </c>
    </row>
    <row r="111" spans="1:11" ht="14.4" customHeight="1" thickBot="1" x14ac:dyDescent="0.35">
      <c r="A111" s="421" t="s">
        <v>353</v>
      </c>
      <c r="B111" s="399">
        <v>0</v>
      </c>
      <c r="C111" s="399">
        <v>3.6</v>
      </c>
      <c r="D111" s="400">
        <v>3.6</v>
      </c>
      <c r="E111" s="409" t="s">
        <v>250</v>
      </c>
      <c r="F111" s="399">
        <v>0</v>
      </c>
      <c r="G111" s="400">
        <v>0</v>
      </c>
      <c r="H111" s="402">
        <v>3.4</v>
      </c>
      <c r="I111" s="399">
        <v>5.2</v>
      </c>
      <c r="J111" s="400">
        <v>5.2</v>
      </c>
      <c r="K111" s="410" t="s">
        <v>250</v>
      </c>
    </row>
    <row r="112" spans="1:11" ht="14.4" customHeight="1" thickBot="1" x14ac:dyDescent="0.35">
      <c r="A112" s="423" t="s">
        <v>354</v>
      </c>
      <c r="B112" s="399">
        <v>0</v>
      </c>
      <c r="C112" s="399">
        <v>10.95</v>
      </c>
      <c r="D112" s="400">
        <v>10.95</v>
      </c>
      <c r="E112" s="409" t="s">
        <v>250</v>
      </c>
      <c r="F112" s="399">
        <v>0</v>
      </c>
      <c r="G112" s="400">
        <v>0</v>
      </c>
      <c r="H112" s="402">
        <v>1.1000000000000001</v>
      </c>
      <c r="I112" s="399">
        <v>1.1000000000000001</v>
      </c>
      <c r="J112" s="400">
        <v>1.1000000000000001</v>
      </c>
      <c r="K112" s="410" t="s">
        <v>250</v>
      </c>
    </row>
    <row r="113" spans="1:11" ht="14.4" customHeight="1" thickBot="1" x14ac:dyDescent="0.35">
      <c r="A113" s="421" t="s">
        <v>355</v>
      </c>
      <c r="B113" s="399">
        <v>0</v>
      </c>
      <c r="C113" s="399">
        <v>10.95</v>
      </c>
      <c r="D113" s="400">
        <v>10.95</v>
      </c>
      <c r="E113" s="409" t="s">
        <v>250</v>
      </c>
      <c r="F113" s="399">
        <v>0</v>
      </c>
      <c r="G113" s="400">
        <v>0</v>
      </c>
      <c r="H113" s="402">
        <v>1.1000000000000001</v>
      </c>
      <c r="I113" s="399">
        <v>1.1000000000000001</v>
      </c>
      <c r="J113" s="400">
        <v>1.1000000000000001</v>
      </c>
      <c r="K113" s="410" t="s">
        <v>250</v>
      </c>
    </row>
    <row r="114" spans="1:11" ht="14.4" customHeight="1" thickBot="1" x14ac:dyDescent="0.35">
      <c r="A114" s="420" t="s">
        <v>356</v>
      </c>
      <c r="B114" s="404">
        <v>0</v>
      </c>
      <c r="C114" s="404">
        <v>1.2</v>
      </c>
      <c r="D114" s="405">
        <v>1.2</v>
      </c>
      <c r="E114" s="406" t="s">
        <v>250</v>
      </c>
      <c r="F114" s="404">
        <v>0</v>
      </c>
      <c r="G114" s="405">
        <v>0</v>
      </c>
      <c r="H114" s="407">
        <v>4.9406564584124654E-324</v>
      </c>
      <c r="I114" s="404">
        <v>9.8813129168249309E-324</v>
      </c>
      <c r="J114" s="405">
        <v>9.8813129168249309E-324</v>
      </c>
      <c r="K114" s="408" t="s">
        <v>250</v>
      </c>
    </row>
    <row r="115" spans="1:11" ht="14.4" customHeight="1" thickBot="1" x14ac:dyDescent="0.35">
      <c r="A115" s="421" t="s">
        <v>357</v>
      </c>
      <c r="B115" s="399">
        <v>0</v>
      </c>
      <c r="C115" s="399">
        <v>1.2</v>
      </c>
      <c r="D115" s="400">
        <v>1.2</v>
      </c>
      <c r="E115" s="409" t="s">
        <v>250</v>
      </c>
      <c r="F115" s="399">
        <v>0</v>
      </c>
      <c r="G115" s="400">
        <v>0</v>
      </c>
      <c r="H115" s="402">
        <v>4.9406564584124654E-324</v>
      </c>
      <c r="I115" s="399">
        <v>9.8813129168249309E-324</v>
      </c>
      <c r="J115" s="400">
        <v>9.8813129168249309E-324</v>
      </c>
      <c r="K115" s="410" t="s">
        <v>250</v>
      </c>
    </row>
    <row r="116" spans="1:11" ht="14.4" customHeight="1" thickBot="1" x14ac:dyDescent="0.35">
      <c r="A116" s="418" t="s">
        <v>358</v>
      </c>
      <c r="B116" s="399">
        <v>623.99999999996601</v>
      </c>
      <c r="C116" s="399">
        <v>815.14800000000002</v>
      </c>
      <c r="D116" s="400">
        <v>191.14800000003399</v>
      </c>
      <c r="E116" s="401">
        <v>1.306326923077</v>
      </c>
      <c r="F116" s="399">
        <v>797.06966017508898</v>
      </c>
      <c r="G116" s="400">
        <v>132.84494336251501</v>
      </c>
      <c r="H116" s="402">
        <v>66.402000000000001</v>
      </c>
      <c r="I116" s="399">
        <v>132.80500000000001</v>
      </c>
      <c r="J116" s="400">
        <v>-3.9943362513999998E-2</v>
      </c>
      <c r="K116" s="403">
        <v>0.16661655390399999</v>
      </c>
    </row>
    <row r="117" spans="1:11" ht="14.4" customHeight="1" thickBot="1" x14ac:dyDescent="0.35">
      <c r="A117" s="419" t="s">
        <v>359</v>
      </c>
      <c r="B117" s="399">
        <v>623.99999999996601</v>
      </c>
      <c r="C117" s="399">
        <v>755.89599999999996</v>
      </c>
      <c r="D117" s="400">
        <v>131.89600000003401</v>
      </c>
      <c r="E117" s="401">
        <v>1.2113717948710001</v>
      </c>
      <c r="F117" s="399">
        <v>797.06966017508898</v>
      </c>
      <c r="G117" s="400">
        <v>132.84494336251501</v>
      </c>
      <c r="H117" s="402">
        <v>66.402000000000001</v>
      </c>
      <c r="I117" s="399">
        <v>132.80500000000001</v>
      </c>
      <c r="J117" s="400">
        <v>-3.9943362513999998E-2</v>
      </c>
      <c r="K117" s="403">
        <v>0.16661655390399999</v>
      </c>
    </row>
    <row r="118" spans="1:11" ht="14.4" customHeight="1" thickBot="1" x14ac:dyDescent="0.35">
      <c r="A118" s="420" t="s">
        <v>360</v>
      </c>
      <c r="B118" s="404">
        <v>623.99999999996601</v>
      </c>
      <c r="C118" s="404">
        <v>755.89599999999996</v>
      </c>
      <c r="D118" s="405">
        <v>131.89600000003401</v>
      </c>
      <c r="E118" s="411">
        <v>1.2113717948710001</v>
      </c>
      <c r="F118" s="404">
        <v>797.06966017508898</v>
      </c>
      <c r="G118" s="405">
        <v>132.84494336251501</v>
      </c>
      <c r="H118" s="407">
        <v>66.402000000000001</v>
      </c>
      <c r="I118" s="404">
        <v>132.80500000000001</v>
      </c>
      <c r="J118" s="405">
        <v>-3.9943362513999998E-2</v>
      </c>
      <c r="K118" s="412">
        <v>0.16661655390399999</v>
      </c>
    </row>
    <row r="119" spans="1:11" ht="14.4" customHeight="1" thickBot="1" x14ac:dyDescent="0.35">
      <c r="A119" s="421" t="s">
        <v>361</v>
      </c>
      <c r="B119" s="399">
        <v>17.999999999999002</v>
      </c>
      <c r="C119" s="399">
        <v>40.475000000000001</v>
      </c>
      <c r="D119" s="400">
        <v>22.475000000001</v>
      </c>
      <c r="E119" s="401">
        <v>2.2486111111109999</v>
      </c>
      <c r="F119" s="399">
        <v>46.998132700413002</v>
      </c>
      <c r="G119" s="400">
        <v>7.833022116735</v>
      </c>
      <c r="H119" s="402">
        <v>3.8860000000000001</v>
      </c>
      <c r="I119" s="399">
        <v>7.7720000000000002</v>
      </c>
      <c r="J119" s="400">
        <v>-6.1022116735E-2</v>
      </c>
      <c r="K119" s="403">
        <v>0.16536827217200001</v>
      </c>
    </row>
    <row r="120" spans="1:11" ht="14.4" customHeight="1" thickBot="1" x14ac:dyDescent="0.35">
      <c r="A120" s="421" t="s">
        <v>362</v>
      </c>
      <c r="B120" s="399">
        <v>62.999999999996</v>
      </c>
      <c r="C120" s="399">
        <v>63.143999999999998</v>
      </c>
      <c r="D120" s="400">
        <v>0.14400000000300001</v>
      </c>
      <c r="E120" s="401">
        <v>1.0022857142849999</v>
      </c>
      <c r="F120" s="399">
        <v>62.999999999998003</v>
      </c>
      <c r="G120" s="400">
        <v>10.499999999999</v>
      </c>
      <c r="H120" s="402">
        <v>5.2610000000000001</v>
      </c>
      <c r="I120" s="399">
        <v>10.522</v>
      </c>
      <c r="J120" s="400">
        <v>2.1999999999999999E-2</v>
      </c>
      <c r="K120" s="403">
        <v>0.16701587301500001</v>
      </c>
    </row>
    <row r="121" spans="1:11" ht="14.4" customHeight="1" thickBot="1" x14ac:dyDescent="0.35">
      <c r="A121" s="421" t="s">
        <v>363</v>
      </c>
      <c r="B121" s="399">
        <v>3.9999999999989999</v>
      </c>
      <c r="C121" s="399">
        <v>3.798</v>
      </c>
      <c r="D121" s="400">
        <v>-0.20199999999900001</v>
      </c>
      <c r="E121" s="401">
        <v>0.94950000000000001</v>
      </c>
      <c r="F121" s="399">
        <v>4.0751735582590003</v>
      </c>
      <c r="G121" s="400">
        <v>0.67919559304300003</v>
      </c>
      <c r="H121" s="402">
        <v>0.316</v>
      </c>
      <c r="I121" s="399">
        <v>0.63200000000000001</v>
      </c>
      <c r="J121" s="400">
        <v>-4.7195593043E-2</v>
      </c>
      <c r="K121" s="403">
        <v>0.15508541929899999</v>
      </c>
    </row>
    <row r="122" spans="1:11" ht="14.4" customHeight="1" thickBot="1" x14ac:dyDescent="0.35">
      <c r="A122" s="421" t="s">
        <v>364</v>
      </c>
      <c r="B122" s="399">
        <v>150.99999999999201</v>
      </c>
      <c r="C122" s="399">
        <v>260.51</v>
      </c>
      <c r="D122" s="400">
        <v>109.51000000000801</v>
      </c>
      <c r="E122" s="401">
        <v>1.725231788079</v>
      </c>
      <c r="F122" s="399">
        <v>295.99635391642403</v>
      </c>
      <c r="G122" s="400">
        <v>49.332725652736997</v>
      </c>
      <c r="H122" s="402">
        <v>24.616</v>
      </c>
      <c r="I122" s="399">
        <v>49.231999999999999</v>
      </c>
      <c r="J122" s="400">
        <v>-0.100725652737</v>
      </c>
      <c r="K122" s="403">
        <v>0.16632637310699999</v>
      </c>
    </row>
    <row r="123" spans="1:11" ht="14.4" customHeight="1" thickBot="1" x14ac:dyDescent="0.35">
      <c r="A123" s="421" t="s">
        <v>365</v>
      </c>
      <c r="B123" s="399">
        <v>318.999999999983</v>
      </c>
      <c r="C123" s="399">
        <v>319.14800000000002</v>
      </c>
      <c r="D123" s="400">
        <v>0.14800000001700001</v>
      </c>
      <c r="E123" s="401">
        <v>1.0004639498429999</v>
      </c>
      <c r="F123" s="399">
        <v>317.99999999999397</v>
      </c>
      <c r="G123" s="400">
        <v>52.999999999998998</v>
      </c>
      <c r="H123" s="402">
        <v>26.59</v>
      </c>
      <c r="I123" s="399">
        <v>53.18</v>
      </c>
      <c r="J123" s="400">
        <v>0.180000000001</v>
      </c>
      <c r="K123" s="403">
        <v>0.167232704402</v>
      </c>
    </row>
    <row r="124" spans="1:11" ht="14.4" customHeight="1" thickBot="1" x14ac:dyDescent="0.35">
      <c r="A124" s="421" t="s">
        <v>366</v>
      </c>
      <c r="B124" s="399">
        <v>68.999999999996007</v>
      </c>
      <c r="C124" s="399">
        <v>68.820999999999998</v>
      </c>
      <c r="D124" s="400">
        <v>-0.178999999996</v>
      </c>
      <c r="E124" s="401">
        <v>0.99740579710099997</v>
      </c>
      <c r="F124" s="399">
        <v>68.999999999997996</v>
      </c>
      <c r="G124" s="400">
        <v>11.499999999999</v>
      </c>
      <c r="H124" s="402">
        <v>5.7329999999999997</v>
      </c>
      <c r="I124" s="399">
        <v>11.467000000000001</v>
      </c>
      <c r="J124" s="400">
        <v>-3.2999999999000003E-2</v>
      </c>
      <c r="K124" s="403">
        <v>0.16618840579700001</v>
      </c>
    </row>
    <row r="125" spans="1:11" ht="14.4" customHeight="1" thickBot="1" x14ac:dyDescent="0.35">
      <c r="A125" s="419" t="s">
        <v>367</v>
      </c>
      <c r="B125" s="399">
        <v>0</v>
      </c>
      <c r="C125" s="399">
        <v>59.252000000000002</v>
      </c>
      <c r="D125" s="400">
        <v>59.252000000000002</v>
      </c>
      <c r="E125" s="409" t="s">
        <v>250</v>
      </c>
      <c r="F125" s="399">
        <v>0</v>
      </c>
      <c r="G125" s="400">
        <v>0</v>
      </c>
      <c r="H125" s="402">
        <v>4.9406564584124654E-324</v>
      </c>
      <c r="I125" s="399">
        <v>9.8813129168249309E-324</v>
      </c>
      <c r="J125" s="400">
        <v>9.8813129168249309E-324</v>
      </c>
      <c r="K125" s="410" t="s">
        <v>250</v>
      </c>
    </row>
    <row r="126" spans="1:11" ht="14.4" customHeight="1" thickBot="1" x14ac:dyDescent="0.35">
      <c r="A126" s="420" t="s">
        <v>368</v>
      </c>
      <c r="B126" s="404">
        <v>0</v>
      </c>
      <c r="C126" s="404">
        <v>45.744</v>
      </c>
      <c r="D126" s="405">
        <v>45.744</v>
      </c>
      <c r="E126" s="406" t="s">
        <v>250</v>
      </c>
      <c r="F126" s="404">
        <v>0</v>
      </c>
      <c r="G126" s="405">
        <v>0</v>
      </c>
      <c r="H126" s="407">
        <v>4.9406564584124654E-324</v>
      </c>
      <c r="I126" s="404">
        <v>9.8813129168249309E-324</v>
      </c>
      <c r="J126" s="405">
        <v>9.8813129168249309E-324</v>
      </c>
      <c r="K126" s="408" t="s">
        <v>250</v>
      </c>
    </row>
    <row r="127" spans="1:11" ht="14.4" customHeight="1" thickBot="1" x14ac:dyDescent="0.35">
      <c r="A127" s="421" t="s">
        <v>369</v>
      </c>
      <c r="B127" s="399">
        <v>4.9406564584124654E-324</v>
      </c>
      <c r="C127" s="399">
        <v>45.744</v>
      </c>
      <c r="D127" s="400">
        <v>45.744</v>
      </c>
      <c r="E127" s="409" t="s">
        <v>256</v>
      </c>
      <c r="F127" s="399">
        <v>0</v>
      </c>
      <c r="G127" s="400">
        <v>0</v>
      </c>
      <c r="H127" s="402">
        <v>4.9406564584124654E-324</v>
      </c>
      <c r="I127" s="399">
        <v>9.8813129168249309E-324</v>
      </c>
      <c r="J127" s="400">
        <v>9.8813129168249309E-324</v>
      </c>
      <c r="K127" s="410" t="s">
        <v>250</v>
      </c>
    </row>
    <row r="128" spans="1:11" ht="14.4" customHeight="1" thickBot="1" x14ac:dyDescent="0.35">
      <c r="A128" s="420" t="s">
        <v>370</v>
      </c>
      <c r="B128" s="404">
        <v>0</v>
      </c>
      <c r="C128" s="404">
        <v>7.0179999999999998</v>
      </c>
      <c r="D128" s="405">
        <v>7.0179999999999998</v>
      </c>
      <c r="E128" s="406" t="s">
        <v>250</v>
      </c>
      <c r="F128" s="404">
        <v>0</v>
      </c>
      <c r="G128" s="405">
        <v>0</v>
      </c>
      <c r="H128" s="407">
        <v>4.9406564584124654E-324</v>
      </c>
      <c r="I128" s="404">
        <v>9.8813129168249309E-324</v>
      </c>
      <c r="J128" s="405">
        <v>9.8813129168249309E-324</v>
      </c>
      <c r="K128" s="408" t="s">
        <v>250</v>
      </c>
    </row>
    <row r="129" spans="1:11" ht="14.4" customHeight="1" thickBot="1" x14ac:dyDescent="0.35">
      <c r="A129" s="421" t="s">
        <v>371</v>
      </c>
      <c r="B129" s="399">
        <v>0</v>
      </c>
      <c r="C129" s="399">
        <v>7.0179999999999998</v>
      </c>
      <c r="D129" s="400">
        <v>7.0179999999999998</v>
      </c>
      <c r="E129" s="409" t="s">
        <v>250</v>
      </c>
      <c r="F129" s="399">
        <v>0</v>
      </c>
      <c r="G129" s="400">
        <v>0</v>
      </c>
      <c r="H129" s="402">
        <v>4.9406564584124654E-324</v>
      </c>
      <c r="I129" s="399">
        <v>9.8813129168249309E-324</v>
      </c>
      <c r="J129" s="400">
        <v>9.8813129168249309E-324</v>
      </c>
      <c r="K129" s="410" t="s">
        <v>250</v>
      </c>
    </row>
    <row r="130" spans="1:11" ht="14.4" customHeight="1" thickBot="1" x14ac:dyDescent="0.35">
      <c r="A130" s="420" t="s">
        <v>372</v>
      </c>
      <c r="B130" s="404">
        <v>4.9406564584124654E-324</v>
      </c>
      <c r="C130" s="404">
        <v>6.49</v>
      </c>
      <c r="D130" s="405">
        <v>6.49</v>
      </c>
      <c r="E130" s="406" t="s">
        <v>256</v>
      </c>
      <c r="F130" s="404">
        <v>0</v>
      </c>
      <c r="G130" s="405">
        <v>0</v>
      </c>
      <c r="H130" s="407">
        <v>4.9406564584124654E-324</v>
      </c>
      <c r="I130" s="404">
        <v>9.8813129168249309E-324</v>
      </c>
      <c r="J130" s="405">
        <v>9.8813129168249309E-324</v>
      </c>
      <c r="K130" s="408" t="s">
        <v>250</v>
      </c>
    </row>
    <row r="131" spans="1:11" ht="14.4" customHeight="1" thickBot="1" x14ac:dyDescent="0.35">
      <c r="A131" s="421" t="s">
        <v>373</v>
      </c>
      <c r="B131" s="399">
        <v>4.9406564584124654E-324</v>
      </c>
      <c r="C131" s="399">
        <v>6.49</v>
      </c>
      <c r="D131" s="400">
        <v>6.49</v>
      </c>
      <c r="E131" s="409" t="s">
        <v>256</v>
      </c>
      <c r="F131" s="399">
        <v>0</v>
      </c>
      <c r="G131" s="400">
        <v>0</v>
      </c>
      <c r="H131" s="402">
        <v>4.9406564584124654E-324</v>
      </c>
      <c r="I131" s="399">
        <v>9.8813129168249309E-324</v>
      </c>
      <c r="J131" s="400">
        <v>9.8813129168249309E-324</v>
      </c>
      <c r="K131" s="410" t="s">
        <v>250</v>
      </c>
    </row>
    <row r="132" spans="1:11" ht="14.4" customHeight="1" thickBot="1" x14ac:dyDescent="0.35">
      <c r="A132" s="417" t="s">
        <v>374</v>
      </c>
      <c r="B132" s="399">
        <v>6861.65846268922</v>
      </c>
      <c r="C132" s="399">
        <v>4371.3056399999996</v>
      </c>
      <c r="D132" s="400">
        <v>-2490.3528226892199</v>
      </c>
      <c r="E132" s="401">
        <v>0.63706255036799997</v>
      </c>
      <c r="F132" s="399">
        <v>6291.8248511234397</v>
      </c>
      <c r="G132" s="400">
        <v>1048.6374751872399</v>
      </c>
      <c r="H132" s="402">
        <v>203.1799</v>
      </c>
      <c r="I132" s="399">
        <v>647.84049000000005</v>
      </c>
      <c r="J132" s="400">
        <v>-400.79698518724001</v>
      </c>
      <c r="K132" s="403">
        <v>0.102965436153</v>
      </c>
    </row>
    <row r="133" spans="1:11" ht="14.4" customHeight="1" thickBot="1" x14ac:dyDescent="0.35">
      <c r="A133" s="418" t="s">
        <v>375</v>
      </c>
      <c r="B133" s="399">
        <v>6685.9848733314102</v>
      </c>
      <c r="C133" s="399">
        <v>4259.9405500000003</v>
      </c>
      <c r="D133" s="400">
        <v>-2426.0443233314099</v>
      </c>
      <c r="E133" s="401">
        <v>0.63714480823700004</v>
      </c>
      <c r="F133" s="399">
        <v>6273.1623290185298</v>
      </c>
      <c r="G133" s="400">
        <v>1045.5270548364199</v>
      </c>
      <c r="H133" s="402">
        <v>198.89930000000001</v>
      </c>
      <c r="I133" s="399">
        <v>641.00798999999995</v>
      </c>
      <c r="J133" s="400">
        <v>-404.51906483642199</v>
      </c>
      <c r="K133" s="403">
        <v>0.102182592507</v>
      </c>
    </row>
    <row r="134" spans="1:11" ht="14.4" customHeight="1" thickBot="1" x14ac:dyDescent="0.35">
      <c r="A134" s="419" t="s">
        <v>376</v>
      </c>
      <c r="B134" s="399">
        <v>6685.9848733314102</v>
      </c>
      <c r="C134" s="399">
        <v>4259.9405500000003</v>
      </c>
      <c r="D134" s="400">
        <v>-2426.0443233314099</v>
      </c>
      <c r="E134" s="401">
        <v>0.63714480823700004</v>
      </c>
      <c r="F134" s="399">
        <v>6273.1623290185298</v>
      </c>
      <c r="G134" s="400">
        <v>1045.5270548364199</v>
      </c>
      <c r="H134" s="402">
        <v>198.89930000000001</v>
      </c>
      <c r="I134" s="399">
        <v>641.00798999999995</v>
      </c>
      <c r="J134" s="400">
        <v>-404.51906483642199</v>
      </c>
      <c r="K134" s="403">
        <v>0.102182592507</v>
      </c>
    </row>
    <row r="135" spans="1:11" ht="14.4" customHeight="1" thickBot="1" x14ac:dyDescent="0.35">
      <c r="A135" s="420" t="s">
        <v>377</v>
      </c>
      <c r="B135" s="404">
        <v>2008.9847265451699</v>
      </c>
      <c r="C135" s="404">
        <v>1862.2357999999999</v>
      </c>
      <c r="D135" s="405">
        <v>-146.74892654516901</v>
      </c>
      <c r="E135" s="411">
        <v>0.92695368729899996</v>
      </c>
      <c r="F135" s="404">
        <v>1918.16234905383</v>
      </c>
      <c r="G135" s="405">
        <v>319.69372484230399</v>
      </c>
      <c r="H135" s="407">
        <v>158.72531000000001</v>
      </c>
      <c r="I135" s="404">
        <v>396.28332999999998</v>
      </c>
      <c r="J135" s="405">
        <v>76.589605157695004</v>
      </c>
      <c r="K135" s="412">
        <v>0.20659530210999999</v>
      </c>
    </row>
    <row r="136" spans="1:11" ht="14.4" customHeight="1" thickBot="1" x14ac:dyDescent="0.35">
      <c r="A136" s="421" t="s">
        <v>378</v>
      </c>
      <c r="B136" s="399">
        <v>12.015363470263001</v>
      </c>
      <c r="C136" s="399">
        <v>8.80002</v>
      </c>
      <c r="D136" s="400">
        <v>-3.2153434702629999</v>
      </c>
      <c r="E136" s="401">
        <v>0.73239731962900001</v>
      </c>
      <c r="F136" s="399">
        <v>10.041766225843</v>
      </c>
      <c r="G136" s="400">
        <v>1.673627704307</v>
      </c>
      <c r="H136" s="402">
        <v>0.60326999999999997</v>
      </c>
      <c r="I136" s="399">
        <v>1.4544600000000001</v>
      </c>
      <c r="J136" s="400">
        <v>-0.219167704307</v>
      </c>
      <c r="K136" s="403">
        <v>0.14484105358400001</v>
      </c>
    </row>
    <row r="137" spans="1:11" ht="14.4" customHeight="1" thickBot="1" x14ac:dyDescent="0.35">
      <c r="A137" s="421" t="s">
        <v>379</v>
      </c>
      <c r="B137" s="399">
        <v>1.0001496245649999</v>
      </c>
      <c r="C137" s="399">
        <v>0.78886000000000001</v>
      </c>
      <c r="D137" s="400">
        <v>-0.211289624565</v>
      </c>
      <c r="E137" s="401">
        <v>0.78874198482299995</v>
      </c>
      <c r="F137" s="399">
        <v>0.59286381124599996</v>
      </c>
      <c r="G137" s="400">
        <v>9.8810635206999994E-2</v>
      </c>
      <c r="H137" s="402">
        <v>4.9406564584124654E-324</v>
      </c>
      <c r="I137" s="399">
        <v>0.23400000000000001</v>
      </c>
      <c r="J137" s="400">
        <v>0.135189364792</v>
      </c>
      <c r="K137" s="403">
        <v>0.39469435570299999</v>
      </c>
    </row>
    <row r="138" spans="1:11" ht="14.4" customHeight="1" thickBot="1" x14ac:dyDescent="0.35">
      <c r="A138" s="421" t="s">
        <v>380</v>
      </c>
      <c r="B138" s="399">
        <v>19.964248366387</v>
      </c>
      <c r="C138" s="399">
        <v>14.609920000000001</v>
      </c>
      <c r="D138" s="400">
        <v>-5.3543283663869996</v>
      </c>
      <c r="E138" s="401">
        <v>0.73180415970900003</v>
      </c>
      <c r="F138" s="399">
        <v>15.441952028698999</v>
      </c>
      <c r="G138" s="400">
        <v>2.573658671449</v>
      </c>
      <c r="H138" s="402">
        <v>4.9406564584124654E-324</v>
      </c>
      <c r="I138" s="399">
        <v>9.8813129168249309E-324</v>
      </c>
      <c r="J138" s="400">
        <v>-2.573658671449</v>
      </c>
      <c r="K138" s="403">
        <v>0</v>
      </c>
    </row>
    <row r="139" spans="1:11" ht="14.4" customHeight="1" thickBot="1" x14ac:dyDescent="0.35">
      <c r="A139" s="421" t="s">
        <v>381</v>
      </c>
      <c r="B139" s="399">
        <v>34.624691009811002</v>
      </c>
      <c r="C139" s="399">
        <v>32.748820000000002</v>
      </c>
      <c r="D139" s="400">
        <v>-1.8758710098110001</v>
      </c>
      <c r="E139" s="401">
        <v>0.94582273646000004</v>
      </c>
      <c r="F139" s="399">
        <v>38.191788334998002</v>
      </c>
      <c r="G139" s="400">
        <v>6.3652980558329997</v>
      </c>
      <c r="H139" s="402">
        <v>0.30680000000000002</v>
      </c>
      <c r="I139" s="399">
        <v>1.26332</v>
      </c>
      <c r="J139" s="400">
        <v>-5.1019780558330003</v>
      </c>
      <c r="K139" s="403">
        <v>3.307831487E-2</v>
      </c>
    </row>
    <row r="140" spans="1:11" ht="14.4" customHeight="1" thickBot="1" x14ac:dyDescent="0.35">
      <c r="A140" s="421" t="s">
        <v>382</v>
      </c>
      <c r="B140" s="399">
        <v>1941.3802740741401</v>
      </c>
      <c r="C140" s="399">
        <v>1805.28818</v>
      </c>
      <c r="D140" s="400">
        <v>-136.09209407414201</v>
      </c>
      <c r="E140" s="401">
        <v>0.92989931138600002</v>
      </c>
      <c r="F140" s="399">
        <v>1853.89397865304</v>
      </c>
      <c r="G140" s="400">
        <v>308.982329775506</v>
      </c>
      <c r="H140" s="402">
        <v>157.81523999999999</v>
      </c>
      <c r="I140" s="399">
        <v>393.33154999999999</v>
      </c>
      <c r="J140" s="400">
        <v>84.349220224492996</v>
      </c>
      <c r="K140" s="403">
        <v>0.21216507229000001</v>
      </c>
    </row>
    <row r="141" spans="1:11" ht="14.4" customHeight="1" thickBot="1" x14ac:dyDescent="0.35">
      <c r="A141" s="420" t="s">
        <v>383</v>
      </c>
      <c r="B141" s="404">
        <v>132.001836084649</v>
      </c>
      <c r="C141" s="404">
        <v>30.479099999999999</v>
      </c>
      <c r="D141" s="405">
        <v>-101.522736084649</v>
      </c>
      <c r="E141" s="411">
        <v>0.230899060983</v>
      </c>
      <c r="F141" s="404">
        <v>0</v>
      </c>
      <c r="G141" s="405">
        <v>0</v>
      </c>
      <c r="H141" s="407">
        <v>3.02881</v>
      </c>
      <c r="I141" s="404">
        <v>4.7606900000000003</v>
      </c>
      <c r="J141" s="405">
        <v>4.7606900000000003</v>
      </c>
      <c r="K141" s="408" t="s">
        <v>250</v>
      </c>
    </row>
    <row r="142" spans="1:11" ht="14.4" customHeight="1" thickBot="1" x14ac:dyDescent="0.35">
      <c r="A142" s="421" t="s">
        <v>384</v>
      </c>
      <c r="B142" s="399">
        <v>131.00183637395</v>
      </c>
      <c r="C142" s="399">
        <v>30.441700000000001</v>
      </c>
      <c r="D142" s="400">
        <v>-100.56013637395</v>
      </c>
      <c r="E142" s="401">
        <v>0.232376131836</v>
      </c>
      <c r="F142" s="399">
        <v>0</v>
      </c>
      <c r="G142" s="400">
        <v>0</v>
      </c>
      <c r="H142" s="402">
        <v>3.02881</v>
      </c>
      <c r="I142" s="399">
        <v>4.7606900000000003</v>
      </c>
      <c r="J142" s="400">
        <v>4.7606900000000003</v>
      </c>
      <c r="K142" s="410" t="s">
        <v>250</v>
      </c>
    </row>
    <row r="143" spans="1:11" ht="14.4" customHeight="1" thickBot="1" x14ac:dyDescent="0.35">
      <c r="A143" s="421" t="s">
        <v>385</v>
      </c>
      <c r="B143" s="399">
        <v>0.99999971069899996</v>
      </c>
      <c r="C143" s="399">
        <v>3.7400000000000003E-2</v>
      </c>
      <c r="D143" s="400">
        <v>-0.96259971069899997</v>
      </c>
      <c r="E143" s="401">
        <v>3.7400010818999997E-2</v>
      </c>
      <c r="F143" s="399">
        <v>0</v>
      </c>
      <c r="G143" s="400">
        <v>0</v>
      </c>
      <c r="H143" s="402">
        <v>4.9406564584124654E-324</v>
      </c>
      <c r="I143" s="399">
        <v>9.8813129168249309E-324</v>
      </c>
      <c r="J143" s="400">
        <v>9.8813129168249309E-324</v>
      </c>
      <c r="K143" s="410" t="s">
        <v>250</v>
      </c>
    </row>
    <row r="144" spans="1:11" ht="14.4" customHeight="1" thickBot="1" x14ac:dyDescent="0.35">
      <c r="A144" s="420" t="s">
        <v>386</v>
      </c>
      <c r="B144" s="404">
        <v>65.997999064075003</v>
      </c>
      <c r="C144" s="404">
        <v>0.56159999999999999</v>
      </c>
      <c r="D144" s="405">
        <v>-65.436399064075005</v>
      </c>
      <c r="E144" s="411">
        <v>8.5093488879999998E-3</v>
      </c>
      <c r="F144" s="404">
        <v>2.9999799647069998</v>
      </c>
      <c r="G144" s="405">
        <v>0.49999666078400001</v>
      </c>
      <c r="H144" s="407">
        <v>4.9406564584124654E-324</v>
      </c>
      <c r="I144" s="404">
        <v>9.8813129168249309E-324</v>
      </c>
      <c r="J144" s="405">
        <v>-0.49999666078400001</v>
      </c>
      <c r="K144" s="412">
        <v>4.9406564584124654E-324</v>
      </c>
    </row>
    <row r="145" spans="1:11" ht="14.4" customHeight="1" thickBot="1" x14ac:dyDescent="0.35">
      <c r="A145" s="421" t="s">
        <v>387</v>
      </c>
      <c r="B145" s="399">
        <v>64.997801196386007</v>
      </c>
      <c r="C145" s="399">
        <v>4.9406564584124654E-324</v>
      </c>
      <c r="D145" s="400">
        <v>-64.997801196386007</v>
      </c>
      <c r="E145" s="401">
        <v>0</v>
      </c>
      <c r="F145" s="399">
        <v>2.9999799647069998</v>
      </c>
      <c r="G145" s="400">
        <v>0.49999666078400001</v>
      </c>
      <c r="H145" s="402">
        <v>4.9406564584124654E-324</v>
      </c>
      <c r="I145" s="399">
        <v>9.8813129168249309E-324</v>
      </c>
      <c r="J145" s="400">
        <v>-0.49999666078400001</v>
      </c>
      <c r="K145" s="403">
        <v>4.9406564584124654E-324</v>
      </c>
    </row>
    <row r="146" spans="1:11" ht="14.4" customHeight="1" thickBot="1" x14ac:dyDescent="0.35">
      <c r="A146" s="421" t="s">
        <v>388</v>
      </c>
      <c r="B146" s="399">
        <v>1.000197867689</v>
      </c>
      <c r="C146" s="399">
        <v>0.56159999999999999</v>
      </c>
      <c r="D146" s="400">
        <v>-0.438597867689</v>
      </c>
      <c r="E146" s="401">
        <v>0.56148889948799996</v>
      </c>
      <c r="F146" s="399">
        <v>0</v>
      </c>
      <c r="G146" s="400">
        <v>0</v>
      </c>
      <c r="H146" s="402">
        <v>4.9406564584124654E-324</v>
      </c>
      <c r="I146" s="399">
        <v>9.8813129168249309E-324</v>
      </c>
      <c r="J146" s="400">
        <v>9.8813129168249309E-324</v>
      </c>
      <c r="K146" s="410" t="s">
        <v>250</v>
      </c>
    </row>
    <row r="147" spans="1:11" ht="14.4" customHeight="1" thickBot="1" x14ac:dyDescent="0.35">
      <c r="A147" s="420" t="s">
        <v>389</v>
      </c>
      <c r="B147" s="404">
        <v>4.9406564584124654E-324</v>
      </c>
      <c r="C147" s="404">
        <v>-8.7690000000000004E-2</v>
      </c>
      <c r="D147" s="405">
        <v>-8.7690000000000004E-2</v>
      </c>
      <c r="E147" s="406" t="s">
        <v>256</v>
      </c>
      <c r="F147" s="404">
        <v>0</v>
      </c>
      <c r="G147" s="405">
        <v>0</v>
      </c>
      <c r="H147" s="407">
        <v>4.9406564584124654E-324</v>
      </c>
      <c r="I147" s="404">
        <v>9.8813129168249309E-324</v>
      </c>
      <c r="J147" s="405">
        <v>9.8813129168249309E-324</v>
      </c>
      <c r="K147" s="408" t="s">
        <v>250</v>
      </c>
    </row>
    <row r="148" spans="1:11" ht="14.4" customHeight="1" thickBot="1" x14ac:dyDescent="0.35">
      <c r="A148" s="421" t="s">
        <v>390</v>
      </c>
      <c r="B148" s="399">
        <v>4.9406564584124654E-324</v>
      </c>
      <c r="C148" s="399">
        <v>-8.7690000000000004E-2</v>
      </c>
      <c r="D148" s="400">
        <v>-8.7690000000000004E-2</v>
      </c>
      <c r="E148" s="409" t="s">
        <v>256</v>
      </c>
      <c r="F148" s="399">
        <v>0</v>
      </c>
      <c r="G148" s="400">
        <v>0</v>
      </c>
      <c r="H148" s="402">
        <v>4.9406564584124654E-324</v>
      </c>
      <c r="I148" s="399">
        <v>9.8813129168249309E-324</v>
      </c>
      <c r="J148" s="400">
        <v>9.8813129168249309E-324</v>
      </c>
      <c r="K148" s="410" t="s">
        <v>250</v>
      </c>
    </row>
    <row r="149" spans="1:11" ht="14.4" customHeight="1" thickBot="1" x14ac:dyDescent="0.35">
      <c r="A149" s="420" t="s">
        <v>391</v>
      </c>
      <c r="B149" s="404">
        <v>4479.0003116375201</v>
      </c>
      <c r="C149" s="404">
        <v>2190.04486</v>
      </c>
      <c r="D149" s="405">
        <v>-2288.9554516375201</v>
      </c>
      <c r="E149" s="411">
        <v>0.48895840759499998</v>
      </c>
      <c r="F149" s="404">
        <v>4352</v>
      </c>
      <c r="G149" s="405">
        <v>725.33333333333405</v>
      </c>
      <c r="H149" s="407">
        <v>26.635459999999998</v>
      </c>
      <c r="I149" s="404">
        <v>220.00077999999999</v>
      </c>
      <c r="J149" s="405">
        <v>-505.33255333333398</v>
      </c>
      <c r="K149" s="412">
        <v>5.0551649816000001E-2</v>
      </c>
    </row>
    <row r="150" spans="1:11" ht="14.4" customHeight="1" thickBot="1" x14ac:dyDescent="0.35">
      <c r="A150" s="421" t="s">
        <v>392</v>
      </c>
      <c r="B150" s="399">
        <v>1750.00011335927</v>
      </c>
      <c r="C150" s="399">
        <v>949.94677000000001</v>
      </c>
      <c r="D150" s="400">
        <v>-800.05334335927</v>
      </c>
      <c r="E150" s="401">
        <v>0.54282669055099997</v>
      </c>
      <c r="F150" s="399">
        <v>1780</v>
      </c>
      <c r="G150" s="400">
        <v>296.66666666666703</v>
      </c>
      <c r="H150" s="402">
        <v>-71.772750000000002</v>
      </c>
      <c r="I150" s="399">
        <v>10.036339999999999</v>
      </c>
      <c r="J150" s="400">
        <v>-286.63032666666697</v>
      </c>
      <c r="K150" s="403">
        <v>5.6383932580000001E-3</v>
      </c>
    </row>
    <row r="151" spans="1:11" ht="14.4" customHeight="1" thickBot="1" x14ac:dyDescent="0.35">
      <c r="A151" s="421" t="s">
        <v>393</v>
      </c>
      <c r="B151" s="399">
        <v>2729.0001982782501</v>
      </c>
      <c r="C151" s="399">
        <v>1240.09809</v>
      </c>
      <c r="D151" s="400">
        <v>-1488.9021082782499</v>
      </c>
      <c r="E151" s="401">
        <v>0.45441480392</v>
      </c>
      <c r="F151" s="399">
        <v>2572</v>
      </c>
      <c r="G151" s="400">
        <v>428.66666666666703</v>
      </c>
      <c r="H151" s="402">
        <v>98.408209999999997</v>
      </c>
      <c r="I151" s="399">
        <v>209.96444</v>
      </c>
      <c r="J151" s="400">
        <v>-218.702226666667</v>
      </c>
      <c r="K151" s="403">
        <v>8.1634696734000006E-2</v>
      </c>
    </row>
    <row r="152" spans="1:11" ht="14.4" customHeight="1" thickBot="1" x14ac:dyDescent="0.35">
      <c r="A152" s="420" t="s">
        <v>394</v>
      </c>
      <c r="B152" s="404">
        <v>0</v>
      </c>
      <c r="C152" s="404">
        <v>176.70688000000001</v>
      </c>
      <c r="D152" s="405">
        <v>176.70688000000001</v>
      </c>
      <c r="E152" s="406" t="s">
        <v>250</v>
      </c>
      <c r="F152" s="404">
        <v>0</v>
      </c>
      <c r="G152" s="405">
        <v>0</v>
      </c>
      <c r="H152" s="407">
        <v>10.50972</v>
      </c>
      <c r="I152" s="404">
        <v>19.963190000000001</v>
      </c>
      <c r="J152" s="405">
        <v>19.963190000000001</v>
      </c>
      <c r="K152" s="408" t="s">
        <v>250</v>
      </c>
    </row>
    <row r="153" spans="1:11" ht="14.4" customHeight="1" thickBot="1" x14ac:dyDescent="0.35">
      <c r="A153" s="421" t="s">
        <v>395</v>
      </c>
      <c r="B153" s="399">
        <v>4.9406564584124654E-324</v>
      </c>
      <c r="C153" s="399">
        <v>104.62551999999999</v>
      </c>
      <c r="D153" s="400">
        <v>104.62551999999999</v>
      </c>
      <c r="E153" s="409" t="s">
        <v>256</v>
      </c>
      <c r="F153" s="399">
        <v>0</v>
      </c>
      <c r="G153" s="400">
        <v>0</v>
      </c>
      <c r="H153" s="402">
        <v>4.9406564584124654E-324</v>
      </c>
      <c r="I153" s="399">
        <v>9.4534699999999994</v>
      </c>
      <c r="J153" s="400">
        <v>9.4534699999999994</v>
      </c>
      <c r="K153" s="410" t="s">
        <v>250</v>
      </c>
    </row>
    <row r="154" spans="1:11" ht="14.4" customHeight="1" thickBot="1" x14ac:dyDescent="0.35">
      <c r="A154" s="421" t="s">
        <v>396</v>
      </c>
      <c r="B154" s="399">
        <v>0</v>
      </c>
      <c r="C154" s="399">
        <v>72.081360000000004</v>
      </c>
      <c r="D154" s="400">
        <v>72.081360000000004</v>
      </c>
      <c r="E154" s="409" t="s">
        <v>250</v>
      </c>
      <c r="F154" s="399">
        <v>0</v>
      </c>
      <c r="G154" s="400">
        <v>0</v>
      </c>
      <c r="H154" s="402">
        <v>10.50972</v>
      </c>
      <c r="I154" s="399">
        <v>10.50972</v>
      </c>
      <c r="J154" s="400">
        <v>10.50972</v>
      </c>
      <c r="K154" s="410" t="s">
        <v>250</v>
      </c>
    </row>
    <row r="155" spans="1:11" ht="14.4" customHeight="1" thickBot="1" x14ac:dyDescent="0.35">
      <c r="A155" s="418" t="s">
        <v>397</v>
      </c>
      <c r="B155" s="399">
        <v>175.67358935780899</v>
      </c>
      <c r="C155" s="399">
        <v>111.36509</v>
      </c>
      <c r="D155" s="400">
        <v>-64.308499357808998</v>
      </c>
      <c r="E155" s="401">
        <v>0.63393188701299996</v>
      </c>
      <c r="F155" s="399">
        <v>18.662522104905999</v>
      </c>
      <c r="G155" s="400">
        <v>3.1104203508169999</v>
      </c>
      <c r="H155" s="402">
        <v>4.2805999999999997</v>
      </c>
      <c r="I155" s="399">
        <v>6.8324999999999996</v>
      </c>
      <c r="J155" s="400">
        <v>3.7220796491820001</v>
      </c>
      <c r="K155" s="403">
        <v>0.36610807272399998</v>
      </c>
    </row>
    <row r="156" spans="1:11" ht="14.4" customHeight="1" thickBot="1" x14ac:dyDescent="0.35">
      <c r="A156" s="419" t="s">
        <v>398</v>
      </c>
      <c r="B156" s="399">
        <v>157.011067252902</v>
      </c>
      <c r="C156" s="399">
        <v>102.87430999999999</v>
      </c>
      <c r="D156" s="400">
        <v>-54.136757252902001</v>
      </c>
      <c r="E156" s="401">
        <v>0.655204195474</v>
      </c>
      <c r="F156" s="399">
        <v>0</v>
      </c>
      <c r="G156" s="400">
        <v>0</v>
      </c>
      <c r="H156" s="402">
        <v>4.28</v>
      </c>
      <c r="I156" s="399">
        <v>6.8319999999999999</v>
      </c>
      <c r="J156" s="400">
        <v>6.8319999999999999</v>
      </c>
      <c r="K156" s="410" t="s">
        <v>250</v>
      </c>
    </row>
    <row r="157" spans="1:11" ht="14.4" customHeight="1" thickBot="1" x14ac:dyDescent="0.35">
      <c r="A157" s="420" t="s">
        <v>399</v>
      </c>
      <c r="B157" s="404">
        <v>4.9406564584124654E-324</v>
      </c>
      <c r="C157" s="404">
        <v>78.36515</v>
      </c>
      <c r="D157" s="405">
        <v>78.36515</v>
      </c>
      <c r="E157" s="406" t="s">
        <v>256</v>
      </c>
      <c r="F157" s="404">
        <v>0</v>
      </c>
      <c r="G157" s="405">
        <v>0</v>
      </c>
      <c r="H157" s="407">
        <v>4.28</v>
      </c>
      <c r="I157" s="404">
        <v>6.8319999999999999</v>
      </c>
      <c r="J157" s="405">
        <v>6.8319999999999999</v>
      </c>
      <c r="K157" s="408" t="s">
        <v>250</v>
      </c>
    </row>
    <row r="158" spans="1:11" ht="14.4" customHeight="1" thickBot="1" x14ac:dyDescent="0.35">
      <c r="A158" s="421" t="s">
        <v>400</v>
      </c>
      <c r="B158" s="399">
        <v>4.9406564584124654E-324</v>
      </c>
      <c r="C158" s="399">
        <v>78.36515</v>
      </c>
      <c r="D158" s="400">
        <v>78.36515</v>
      </c>
      <c r="E158" s="409" t="s">
        <v>256</v>
      </c>
      <c r="F158" s="399">
        <v>0</v>
      </c>
      <c r="G158" s="400">
        <v>0</v>
      </c>
      <c r="H158" s="402">
        <v>4.28</v>
      </c>
      <c r="I158" s="399">
        <v>6.8319999999999999</v>
      </c>
      <c r="J158" s="400">
        <v>6.8319999999999999</v>
      </c>
      <c r="K158" s="410" t="s">
        <v>250</v>
      </c>
    </row>
    <row r="159" spans="1:11" ht="14.4" customHeight="1" thickBot="1" x14ac:dyDescent="0.35">
      <c r="A159" s="420" t="s">
        <v>401</v>
      </c>
      <c r="B159" s="404">
        <v>157.011067252902</v>
      </c>
      <c r="C159" s="404">
        <v>24.509160000000001</v>
      </c>
      <c r="D159" s="405">
        <v>-132.50190725290199</v>
      </c>
      <c r="E159" s="411">
        <v>0.15609829567299999</v>
      </c>
      <c r="F159" s="404">
        <v>0</v>
      </c>
      <c r="G159" s="405">
        <v>0</v>
      </c>
      <c r="H159" s="407">
        <v>4.9406564584124654E-324</v>
      </c>
      <c r="I159" s="404">
        <v>9.8813129168249309E-324</v>
      </c>
      <c r="J159" s="405">
        <v>9.8813129168249309E-324</v>
      </c>
      <c r="K159" s="408" t="s">
        <v>250</v>
      </c>
    </row>
    <row r="160" spans="1:11" ht="14.4" customHeight="1" thickBot="1" x14ac:dyDescent="0.35">
      <c r="A160" s="421" t="s">
        <v>402</v>
      </c>
      <c r="B160" s="399">
        <v>0</v>
      </c>
      <c r="C160" s="399">
        <v>6.6097999999999999</v>
      </c>
      <c r="D160" s="400">
        <v>6.6097999999999999</v>
      </c>
      <c r="E160" s="409" t="s">
        <v>250</v>
      </c>
      <c r="F160" s="399">
        <v>0</v>
      </c>
      <c r="G160" s="400">
        <v>0</v>
      </c>
      <c r="H160" s="402">
        <v>4.9406564584124654E-324</v>
      </c>
      <c r="I160" s="399">
        <v>9.8813129168249309E-324</v>
      </c>
      <c r="J160" s="400">
        <v>9.8813129168249309E-324</v>
      </c>
      <c r="K160" s="410" t="s">
        <v>250</v>
      </c>
    </row>
    <row r="161" spans="1:11" ht="14.4" customHeight="1" thickBot="1" x14ac:dyDescent="0.35">
      <c r="A161" s="421" t="s">
        <v>403</v>
      </c>
      <c r="B161" s="399">
        <v>0</v>
      </c>
      <c r="C161" s="399">
        <v>2.5051000000000001</v>
      </c>
      <c r="D161" s="400">
        <v>2.5051000000000001</v>
      </c>
      <c r="E161" s="409" t="s">
        <v>250</v>
      </c>
      <c r="F161" s="399">
        <v>0</v>
      </c>
      <c r="G161" s="400">
        <v>0</v>
      </c>
      <c r="H161" s="402">
        <v>4.9406564584124654E-324</v>
      </c>
      <c r="I161" s="399">
        <v>9.8813129168249309E-324</v>
      </c>
      <c r="J161" s="400">
        <v>9.8813129168249309E-324</v>
      </c>
      <c r="K161" s="410" t="s">
        <v>250</v>
      </c>
    </row>
    <row r="162" spans="1:11" ht="14.4" customHeight="1" thickBot="1" x14ac:dyDescent="0.35">
      <c r="A162" s="421" t="s">
        <v>404</v>
      </c>
      <c r="B162" s="399">
        <v>0</v>
      </c>
      <c r="C162" s="399">
        <v>14.033189999999999</v>
      </c>
      <c r="D162" s="400">
        <v>14.033189999999999</v>
      </c>
      <c r="E162" s="409" t="s">
        <v>250</v>
      </c>
      <c r="F162" s="399">
        <v>0</v>
      </c>
      <c r="G162" s="400">
        <v>0</v>
      </c>
      <c r="H162" s="402">
        <v>4.9406564584124654E-324</v>
      </c>
      <c r="I162" s="399">
        <v>9.8813129168249309E-324</v>
      </c>
      <c r="J162" s="400">
        <v>9.8813129168249309E-324</v>
      </c>
      <c r="K162" s="410" t="s">
        <v>250</v>
      </c>
    </row>
    <row r="163" spans="1:11" ht="14.4" customHeight="1" thickBot="1" x14ac:dyDescent="0.35">
      <c r="A163" s="421" t="s">
        <v>405</v>
      </c>
      <c r="B163" s="399">
        <v>0</v>
      </c>
      <c r="C163" s="399">
        <v>1.36107</v>
      </c>
      <c r="D163" s="400">
        <v>1.36107</v>
      </c>
      <c r="E163" s="409" t="s">
        <v>250</v>
      </c>
      <c r="F163" s="399">
        <v>0</v>
      </c>
      <c r="G163" s="400">
        <v>0</v>
      </c>
      <c r="H163" s="402">
        <v>4.9406564584124654E-324</v>
      </c>
      <c r="I163" s="399">
        <v>9.8813129168249309E-324</v>
      </c>
      <c r="J163" s="400">
        <v>9.8813129168249309E-324</v>
      </c>
      <c r="K163" s="410" t="s">
        <v>250</v>
      </c>
    </row>
    <row r="164" spans="1:11" ht="14.4" customHeight="1" thickBot="1" x14ac:dyDescent="0.35">
      <c r="A164" s="424" t="s">
        <v>406</v>
      </c>
      <c r="B164" s="404">
        <v>18.662522104905999</v>
      </c>
      <c r="C164" s="404">
        <v>8.4907800000000009</v>
      </c>
      <c r="D164" s="405">
        <v>-10.171742104906</v>
      </c>
      <c r="E164" s="411">
        <v>0.45496423003600001</v>
      </c>
      <c r="F164" s="404">
        <v>18.662522104905999</v>
      </c>
      <c r="G164" s="405">
        <v>3.1104203508169999</v>
      </c>
      <c r="H164" s="407">
        <v>5.9999999999999995E-4</v>
      </c>
      <c r="I164" s="404">
        <v>5.0000000000000001E-4</v>
      </c>
      <c r="J164" s="405">
        <v>-3.1099203508170001</v>
      </c>
      <c r="K164" s="412">
        <v>2.6791662841140799E-5</v>
      </c>
    </row>
    <row r="165" spans="1:11" ht="14.4" customHeight="1" thickBot="1" x14ac:dyDescent="0.35">
      <c r="A165" s="420" t="s">
        <v>407</v>
      </c>
      <c r="B165" s="404">
        <v>4.9406564584124654E-324</v>
      </c>
      <c r="C165" s="404">
        <v>0.22</v>
      </c>
      <c r="D165" s="405">
        <v>0.22</v>
      </c>
      <c r="E165" s="406" t="s">
        <v>256</v>
      </c>
      <c r="F165" s="404">
        <v>0</v>
      </c>
      <c r="G165" s="405">
        <v>0</v>
      </c>
      <c r="H165" s="407">
        <v>4.9406564584124654E-324</v>
      </c>
      <c r="I165" s="404">
        <v>9.8813129168249309E-324</v>
      </c>
      <c r="J165" s="405">
        <v>9.8813129168249309E-324</v>
      </c>
      <c r="K165" s="408" t="s">
        <v>250</v>
      </c>
    </row>
    <row r="166" spans="1:11" ht="14.4" customHeight="1" thickBot="1" x14ac:dyDescent="0.35">
      <c r="A166" s="421" t="s">
        <v>408</v>
      </c>
      <c r="B166" s="399">
        <v>4.9406564584124654E-324</v>
      </c>
      <c r="C166" s="399">
        <v>0.22</v>
      </c>
      <c r="D166" s="400">
        <v>0.22</v>
      </c>
      <c r="E166" s="409" t="s">
        <v>256</v>
      </c>
      <c r="F166" s="399">
        <v>0</v>
      </c>
      <c r="G166" s="400">
        <v>0</v>
      </c>
      <c r="H166" s="402">
        <v>4.9406564584124654E-324</v>
      </c>
      <c r="I166" s="399">
        <v>9.8813129168249309E-324</v>
      </c>
      <c r="J166" s="400">
        <v>9.8813129168249309E-324</v>
      </c>
      <c r="K166" s="410" t="s">
        <v>250</v>
      </c>
    </row>
    <row r="167" spans="1:11" ht="14.4" customHeight="1" thickBot="1" x14ac:dyDescent="0.35">
      <c r="A167" s="420" t="s">
        <v>409</v>
      </c>
      <c r="B167" s="404">
        <v>0</v>
      </c>
      <c r="C167" s="404">
        <v>6.2899999999999996E-3</v>
      </c>
      <c r="D167" s="405">
        <v>6.2899999999999996E-3</v>
      </c>
      <c r="E167" s="406" t="s">
        <v>250</v>
      </c>
      <c r="F167" s="404">
        <v>0</v>
      </c>
      <c r="G167" s="405">
        <v>0</v>
      </c>
      <c r="H167" s="407">
        <v>5.9999999999999995E-4</v>
      </c>
      <c r="I167" s="404">
        <v>5.0000000000000001E-4</v>
      </c>
      <c r="J167" s="405">
        <v>5.0000000000000001E-4</v>
      </c>
      <c r="K167" s="408" t="s">
        <v>250</v>
      </c>
    </row>
    <row r="168" spans="1:11" ht="14.4" customHeight="1" thickBot="1" x14ac:dyDescent="0.35">
      <c r="A168" s="421" t="s">
        <v>410</v>
      </c>
      <c r="B168" s="399">
        <v>0</v>
      </c>
      <c r="C168" s="399">
        <v>6.2899999999999996E-3</v>
      </c>
      <c r="D168" s="400">
        <v>6.2899999999999996E-3</v>
      </c>
      <c r="E168" s="409" t="s">
        <v>250</v>
      </c>
      <c r="F168" s="399">
        <v>0</v>
      </c>
      <c r="G168" s="400">
        <v>0</v>
      </c>
      <c r="H168" s="402">
        <v>5.9999999999999995E-4</v>
      </c>
      <c r="I168" s="399">
        <v>5.0000000000000001E-4</v>
      </c>
      <c r="J168" s="400">
        <v>5.0000000000000001E-4</v>
      </c>
      <c r="K168" s="410" t="s">
        <v>250</v>
      </c>
    </row>
    <row r="169" spans="1:11" ht="14.4" customHeight="1" thickBot="1" x14ac:dyDescent="0.35">
      <c r="A169" s="420" t="s">
        <v>411</v>
      </c>
      <c r="B169" s="404">
        <v>18.662522104905999</v>
      </c>
      <c r="C169" s="404">
        <v>8.2644900000000003</v>
      </c>
      <c r="D169" s="405">
        <v>-10.398032104905999</v>
      </c>
      <c r="E169" s="411">
        <v>0.44283885926700001</v>
      </c>
      <c r="F169" s="404">
        <v>18.662522104905999</v>
      </c>
      <c r="G169" s="405">
        <v>3.1104203508169999</v>
      </c>
      <c r="H169" s="407">
        <v>4.9406564584124654E-324</v>
      </c>
      <c r="I169" s="404">
        <v>9.8813129168249309E-324</v>
      </c>
      <c r="J169" s="405">
        <v>-3.1104203508169999</v>
      </c>
      <c r="K169" s="412">
        <v>0</v>
      </c>
    </row>
    <row r="170" spans="1:11" ht="14.4" customHeight="1" thickBot="1" x14ac:dyDescent="0.35">
      <c r="A170" s="421" t="s">
        <v>412</v>
      </c>
      <c r="B170" s="399">
        <v>4.9406564584124654E-324</v>
      </c>
      <c r="C170" s="399">
        <v>0.37187999999999999</v>
      </c>
      <c r="D170" s="400">
        <v>0.37187999999999999</v>
      </c>
      <c r="E170" s="409" t="s">
        <v>256</v>
      </c>
      <c r="F170" s="399">
        <v>0</v>
      </c>
      <c r="G170" s="400">
        <v>0</v>
      </c>
      <c r="H170" s="402">
        <v>4.9406564584124654E-324</v>
      </c>
      <c r="I170" s="399">
        <v>9.8813129168249309E-324</v>
      </c>
      <c r="J170" s="400">
        <v>9.8813129168249309E-324</v>
      </c>
      <c r="K170" s="410" t="s">
        <v>250</v>
      </c>
    </row>
    <row r="171" spans="1:11" ht="14.4" customHeight="1" thickBot="1" x14ac:dyDescent="0.35">
      <c r="A171" s="421" t="s">
        <v>413</v>
      </c>
      <c r="B171" s="399">
        <v>18.662522104905999</v>
      </c>
      <c r="C171" s="399">
        <v>7.8926100000000003</v>
      </c>
      <c r="D171" s="400">
        <v>-10.769912104906</v>
      </c>
      <c r="E171" s="401">
        <v>0.42291229211300002</v>
      </c>
      <c r="F171" s="399">
        <v>18.662522104905999</v>
      </c>
      <c r="G171" s="400">
        <v>3.1104203508169999</v>
      </c>
      <c r="H171" s="402">
        <v>4.9406564584124654E-324</v>
      </c>
      <c r="I171" s="399">
        <v>9.8813129168249309E-324</v>
      </c>
      <c r="J171" s="400">
        <v>-3.1104203508169999</v>
      </c>
      <c r="K171" s="403">
        <v>0</v>
      </c>
    </row>
    <row r="172" spans="1:11" ht="14.4" customHeight="1" thickBot="1" x14ac:dyDescent="0.35">
      <c r="A172" s="417" t="s">
        <v>414</v>
      </c>
      <c r="B172" s="399">
        <v>2058.4799088721102</v>
      </c>
      <c r="C172" s="399">
        <v>1738.3881100000001</v>
      </c>
      <c r="D172" s="400">
        <v>-320.09179887210701</v>
      </c>
      <c r="E172" s="401">
        <v>0.84450088752700003</v>
      </c>
      <c r="F172" s="399">
        <v>1892.00141763538</v>
      </c>
      <c r="G172" s="400">
        <v>315.33356960589703</v>
      </c>
      <c r="H172" s="402">
        <v>136.98090999999999</v>
      </c>
      <c r="I172" s="399">
        <v>281.89940999999999</v>
      </c>
      <c r="J172" s="400">
        <v>-33.434159605897001</v>
      </c>
      <c r="K172" s="403">
        <v>0.14899534819099999</v>
      </c>
    </row>
    <row r="173" spans="1:11" ht="14.4" customHeight="1" thickBot="1" x14ac:dyDescent="0.35">
      <c r="A173" s="422" t="s">
        <v>415</v>
      </c>
      <c r="B173" s="404">
        <v>2058.4799088721102</v>
      </c>
      <c r="C173" s="404">
        <v>1738.3881100000001</v>
      </c>
      <c r="D173" s="405">
        <v>-320.09179887210701</v>
      </c>
      <c r="E173" s="411">
        <v>0.84450088752700003</v>
      </c>
      <c r="F173" s="404">
        <v>1892.00141763538</v>
      </c>
      <c r="G173" s="405">
        <v>315.33356960589703</v>
      </c>
      <c r="H173" s="407">
        <v>136.98090999999999</v>
      </c>
      <c r="I173" s="404">
        <v>281.89940999999999</v>
      </c>
      <c r="J173" s="405">
        <v>-33.434159605897001</v>
      </c>
      <c r="K173" s="412">
        <v>0.14899534819099999</v>
      </c>
    </row>
    <row r="174" spans="1:11" ht="14.4" customHeight="1" thickBot="1" x14ac:dyDescent="0.35">
      <c r="A174" s="424" t="s">
        <v>57</v>
      </c>
      <c r="B174" s="404">
        <v>2058.4799088721102</v>
      </c>
      <c r="C174" s="404">
        <v>1738.3881100000001</v>
      </c>
      <c r="D174" s="405">
        <v>-320.09179887210701</v>
      </c>
      <c r="E174" s="411">
        <v>0.84450088752700003</v>
      </c>
      <c r="F174" s="404">
        <v>1892.00141763538</v>
      </c>
      <c r="G174" s="405">
        <v>315.33356960589703</v>
      </c>
      <c r="H174" s="407">
        <v>136.98090999999999</v>
      </c>
      <c r="I174" s="404">
        <v>281.89940999999999</v>
      </c>
      <c r="J174" s="405">
        <v>-33.434159605897001</v>
      </c>
      <c r="K174" s="412">
        <v>0.14899534819099999</v>
      </c>
    </row>
    <row r="175" spans="1:11" ht="14.4" customHeight="1" thickBot="1" x14ac:dyDescent="0.35">
      <c r="A175" s="420" t="s">
        <v>416</v>
      </c>
      <c r="B175" s="404">
        <v>16.999999999999002</v>
      </c>
      <c r="C175" s="404">
        <v>18.611999999999998</v>
      </c>
      <c r="D175" s="405">
        <v>1.6120000000000001</v>
      </c>
      <c r="E175" s="411">
        <v>1.094823529411</v>
      </c>
      <c r="F175" s="404">
        <v>15</v>
      </c>
      <c r="G175" s="405">
        <v>2.5</v>
      </c>
      <c r="H175" s="407">
        <v>1.6685000000000001</v>
      </c>
      <c r="I175" s="404">
        <v>3.3370000000000002</v>
      </c>
      <c r="J175" s="405">
        <v>0.83699999999999997</v>
      </c>
      <c r="K175" s="412">
        <v>0.22246666666600001</v>
      </c>
    </row>
    <row r="176" spans="1:11" ht="14.4" customHeight="1" thickBot="1" x14ac:dyDescent="0.35">
      <c r="A176" s="421" t="s">
        <v>417</v>
      </c>
      <c r="B176" s="399">
        <v>16.999999999999002</v>
      </c>
      <c r="C176" s="399">
        <v>18.611999999999998</v>
      </c>
      <c r="D176" s="400">
        <v>1.6120000000000001</v>
      </c>
      <c r="E176" s="401">
        <v>1.094823529411</v>
      </c>
      <c r="F176" s="399">
        <v>15</v>
      </c>
      <c r="G176" s="400">
        <v>2.5</v>
      </c>
      <c r="H176" s="402">
        <v>1.6685000000000001</v>
      </c>
      <c r="I176" s="399">
        <v>3.3370000000000002</v>
      </c>
      <c r="J176" s="400">
        <v>0.83699999999999997</v>
      </c>
      <c r="K176" s="403">
        <v>0.22246666666600001</v>
      </c>
    </row>
    <row r="177" spans="1:11" ht="14.4" customHeight="1" thickBot="1" x14ac:dyDescent="0.35">
      <c r="A177" s="420" t="s">
        <v>418</v>
      </c>
      <c r="B177" s="404">
        <v>9.6090041073230008</v>
      </c>
      <c r="C177" s="404">
        <v>7.63</v>
      </c>
      <c r="D177" s="405">
        <v>-1.979004107323</v>
      </c>
      <c r="E177" s="411">
        <v>0.79404690795999999</v>
      </c>
      <c r="F177" s="404">
        <v>10.001417635384</v>
      </c>
      <c r="G177" s="405">
        <v>1.6669029392300001</v>
      </c>
      <c r="H177" s="407">
        <v>0.64</v>
      </c>
      <c r="I177" s="404">
        <v>1.165</v>
      </c>
      <c r="J177" s="405">
        <v>-0.50190293922999996</v>
      </c>
      <c r="K177" s="412">
        <v>0.116483486888</v>
      </c>
    </row>
    <row r="178" spans="1:11" ht="14.4" customHeight="1" thickBot="1" x14ac:dyDescent="0.35">
      <c r="A178" s="421" t="s">
        <v>419</v>
      </c>
      <c r="B178" s="399">
        <v>9.6090041073230008</v>
      </c>
      <c r="C178" s="399">
        <v>7.63</v>
      </c>
      <c r="D178" s="400">
        <v>-1.979004107323</v>
      </c>
      <c r="E178" s="401">
        <v>0.79404690795999999</v>
      </c>
      <c r="F178" s="399">
        <v>10.001417635384</v>
      </c>
      <c r="G178" s="400">
        <v>1.6669029392300001</v>
      </c>
      <c r="H178" s="402">
        <v>0.64</v>
      </c>
      <c r="I178" s="399">
        <v>1.165</v>
      </c>
      <c r="J178" s="400">
        <v>-0.50190293922999996</v>
      </c>
      <c r="K178" s="403">
        <v>0.116483486888</v>
      </c>
    </row>
    <row r="179" spans="1:11" ht="14.4" customHeight="1" thickBot="1" x14ac:dyDescent="0.35">
      <c r="A179" s="420" t="s">
        <v>420</v>
      </c>
      <c r="B179" s="404">
        <v>31.870904764809001</v>
      </c>
      <c r="C179" s="404">
        <v>95.984200000000001</v>
      </c>
      <c r="D179" s="405">
        <v>64.113295235189995</v>
      </c>
      <c r="E179" s="411">
        <v>3.0116559510409999</v>
      </c>
      <c r="F179" s="404">
        <v>105</v>
      </c>
      <c r="G179" s="405">
        <v>17.5</v>
      </c>
      <c r="H179" s="407">
        <v>4.2409999999999997</v>
      </c>
      <c r="I179" s="404">
        <v>8.2693999999999992</v>
      </c>
      <c r="J179" s="405">
        <v>-9.2306000000000008</v>
      </c>
      <c r="K179" s="412">
        <v>7.8756190475999993E-2</v>
      </c>
    </row>
    <row r="180" spans="1:11" ht="14.4" customHeight="1" thickBot="1" x14ac:dyDescent="0.35">
      <c r="A180" s="421" t="s">
        <v>421</v>
      </c>
      <c r="B180" s="399">
        <v>31.870904764809001</v>
      </c>
      <c r="C180" s="399">
        <v>95.984200000000001</v>
      </c>
      <c r="D180" s="400">
        <v>64.113295235189995</v>
      </c>
      <c r="E180" s="401">
        <v>3.0116559510409999</v>
      </c>
      <c r="F180" s="399">
        <v>105</v>
      </c>
      <c r="G180" s="400">
        <v>17.5</v>
      </c>
      <c r="H180" s="402">
        <v>4.2409999999999997</v>
      </c>
      <c r="I180" s="399">
        <v>8.2693999999999992</v>
      </c>
      <c r="J180" s="400">
        <v>-9.2306000000000008</v>
      </c>
      <c r="K180" s="403">
        <v>7.8756190475999993E-2</v>
      </c>
    </row>
    <row r="181" spans="1:11" ht="14.4" customHeight="1" thickBot="1" x14ac:dyDescent="0.35">
      <c r="A181" s="420" t="s">
        <v>422</v>
      </c>
      <c r="B181" s="404">
        <v>0</v>
      </c>
      <c r="C181" s="404">
        <v>2.57</v>
      </c>
      <c r="D181" s="405">
        <v>2.57</v>
      </c>
      <c r="E181" s="406" t="s">
        <v>250</v>
      </c>
      <c r="F181" s="404">
        <v>4.9406564584124654E-324</v>
      </c>
      <c r="G181" s="405">
        <v>0</v>
      </c>
      <c r="H181" s="407">
        <v>7.4999999999999997E-2</v>
      </c>
      <c r="I181" s="404">
        <v>0.28599999999999998</v>
      </c>
      <c r="J181" s="405">
        <v>0.28599999999999998</v>
      </c>
      <c r="K181" s="408" t="s">
        <v>256</v>
      </c>
    </row>
    <row r="182" spans="1:11" ht="14.4" customHeight="1" thickBot="1" x14ac:dyDescent="0.35">
      <c r="A182" s="421" t="s">
        <v>423</v>
      </c>
      <c r="B182" s="399">
        <v>0</v>
      </c>
      <c r="C182" s="399">
        <v>2.57</v>
      </c>
      <c r="D182" s="400">
        <v>2.57</v>
      </c>
      <c r="E182" s="409" t="s">
        <v>250</v>
      </c>
      <c r="F182" s="399">
        <v>4.9406564584124654E-324</v>
      </c>
      <c r="G182" s="400">
        <v>0</v>
      </c>
      <c r="H182" s="402">
        <v>7.4999999999999997E-2</v>
      </c>
      <c r="I182" s="399">
        <v>0.28599999999999998</v>
      </c>
      <c r="J182" s="400">
        <v>0.28599999999999998</v>
      </c>
      <c r="K182" s="410" t="s">
        <v>256</v>
      </c>
    </row>
    <row r="183" spans="1:11" ht="14.4" customHeight="1" thickBot="1" x14ac:dyDescent="0.35">
      <c r="A183" s="420" t="s">
        <v>424</v>
      </c>
      <c r="B183" s="404">
        <v>500.99999999999397</v>
      </c>
      <c r="C183" s="404">
        <v>445.06527</v>
      </c>
      <c r="D183" s="405">
        <v>-55.934729999993003</v>
      </c>
      <c r="E183" s="411">
        <v>0.88835383233499998</v>
      </c>
      <c r="F183" s="404">
        <v>623</v>
      </c>
      <c r="G183" s="405">
        <v>103.833333333333</v>
      </c>
      <c r="H183" s="407">
        <v>27.55885</v>
      </c>
      <c r="I183" s="404">
        <v>63.789259999999999</v>
      </c>
      <c r="J183" s="405">
        <v>-40.044073333333003</v>
      </c>
      <c r="K183" s="412">
        <v>0.10239046548899999</v>
      </c>
    </row>
    <row r="184" spans="1:11" ht="14.4" customHeight="1" thickBot="1" x14ac:dyDescent="0.35">
      <c r="A184" s="421" t="s">
        <v>425</v>
      </c>
      <c r="B184" s="399">
        <v>500.99999999999397</v>
      </c>
      <c r="C184" s="399">
        <v>444.95967000000002</v>
      </c>
      <c r="D184" s="400">
        <v>-56.040329999992998</v>
      </c>
      <c r="E184" s="401">
        <v>0.88814305389199999</v>
      </c>
      <c r="F184" s="399">
        <v>618</v>
      </c>
      <c r="G184" s="400">
        <v>103</v>
      </c>
      <c r="H184" s="402">
        <v>27.075559999999999</v>
      </c>
      <c r="I184" s="399">
        <v>62.822679999999998</v>
      </c>
      <c r="J184" s="400">
        <v>-40.177320000000002</v>
      </c>
      <c r="K184" s="403">
        <v>0.101654822006</v>
      </c>
    </row>
    <row r="185" spans="1:11" ht="14.4" customHeight="1" thickBot="1" x14ac:dyDescent="0.35">
      <c r="A185" s="421" t="s">
        <v>426</v>
      </c>
      <c r="B185" s="399">
        <v>0</v>
      </c>
      <c r="C185" s="399">
        <v>0.1056</v>
      </c>
      <c r="D185" s="400">
        <v>0.1056</v>
      </c>
      <c r="E185" s="409" t="s">
        <v>250</v>
      </c>
      <c r="F185" s="399">
        <v>5</v>
      </c>
      <c r="G185" s="400">
        <v>0.83333333333299997</v>
      </c>
      <c r="H185" s="402">
        <v>0.48329</v>
      </c>
      <c r="I185" s="399">
        <v>0.96657999999999999</v>
      </c>
      <c r="J185" s="400">
        <v>0.13324666666599999</v>
      </c>
      <c r="K185" s="403">
        <v>0.19331599999999999</v>
      </c>
    </row>
    <row r="186" spans="1:11" ht="14.4" customHeight="1" thickBot="1" x14ac:dyDescent="0.35">
      <c r="A186" s="420" t="s">
        <v>427</v>
      </c>
      <c r="B186" s="404">
        <v>0</v>
      </c>
      <c r="C186" s="404">
        <v>7.2730000000000003E-2</v>
      </c>
      <c r="D186" s="405">
        <v>7.2730000000000003E-2</v>
      </c>
      <c r="E186" s="406" t="s">
        <v>250</v>
      </c>
      <c r="F186" s="404">
        <v>4.9406564584124654E-324</v>
      </c>
      <c r="G186" s="405">
        <v>0</v>
      </c>
      <c r="H186" s="407">
        <v>4.9406564584124654E-324</v>
      </c>
      <c r="I186" s="404">
        <v>9.8813129168249309E-324</v>
      </c>
      <c r="J186" s="405">
        <v>9.8813129168249309E-324</v>
      </c>
      <c r="K186" s="412">
        <v>2</v>
      </c>
    </row>
    <row r="187" spans="1:11" ht="14.4" customHeight="1" thickBot="1" x14ac:dyDescent="0.35">
      <c r="A187" s="421" t="s">
        <v>428</v>
      </c>
      <c r="B187" s="399">
        <v>0</v>
      </c>
      <c r="C187" s="399">
        <v>7.2730000000000003E-2</v>
      </c>
      <c r="D187" s="400">
        <v>7.2730000000000003E-2</v>
      </c>
      <c r="E187" s="409" t="s">
        <v>250</v>
      </c>
      <c r="F187" s="399">
        <v>4.9406564584124654E-324</v>
      </c>
      <c r="G187" s="400">
        <v>0</v>
      </c>
      <c r="H187" s="402">
        <v>4.9406564584124654E-324</v>
      </c>
      <c r="I187" s="399">
        <v>9.8813129168249309E-324</v>
      </c>
      <c r="J187" s="400">
        <v>9.8813129168249309E-324</v>
      </c>
      <c r="K187" s="403">
        <v>2</v>
      </c>
    </row>
    <row r="188" spans="1:11" ht="14.4" customHeight="1" thickBot="1" x14ac:dyDescent="0.35">
      <c r="A188" s="420" t="s">
        <v>429</v>
      </c>
      <c r="B188" s="404">
        <v>1498.99999999998</v>
      </c>
      <c r="C188" s="404">
        <v>1168.45391</v>
      </c>
      <c r="D188" s="405">
        <v>-330.54608999998101</v>
      </c>
      <c r="E188" s="411">
        <v>0.77948893262100005</v>
      </c>
      <c r="F188" s="404">
        <v>1139</v>
      </c>
      <c r="G188" s="405">
        <v>189.833333333333</v>
      </c>
      <c r="H188" s="407">
        <v>102.79756</v>
      </c>
      <c r="I188" s="404">
        <v>205.05275</v>
      </c>
      <c r="J188" s="405">
        <v>15.219416666666</v>
      </c>
      <c r="K188" s="412">
        <v>0.18002875329199999</v>
      </c>
    </row>
    <row r="189" spans="1:11" ht="14.4" customHeight="1" thickBot="1" x14ac:dyDescent="0.35">
      <c r="A189" s="421" t="s">
        <v>430</v>
      </c>
      <c r="B189" s="399">
        <v>1498.99999999998</v>
      </c>
      <c r="C189" s="399">
        <v>1168.45391</v>
      </c>
      <c r="D189" s="400">
        <v>-330.54608999998101</v>
      </c>
      <c r="E189" s="401">
        <v>0.77948893262100005</v>
      </c>
      <c r="F189" s="399">
        <v>1139</v>
      </c>
      <c r="G189" s="400">
        <v>189.833333333333</v>
      </c>
      <c r="H189" s="402">
        <v>102.79756</v>
      </c>
      <c r="I189" s="399">
        <v>205.05275</v>
      </c>
      <c r="J189" s="400">
        <v>15.219416666666</v>
      </c>
      <c r="K189" s="403">
        <v>0.18002875329199999</v>
      </c>
    </row>
    <row r="190" spans="1:11" ht="14.4" customHeight="1" thickBot="1" x14ac:dyDescent="0.35">
      <c r="A190" s="425" t="s">
        <v>431</v>
      </c>
      <c r="B190" s="404">
        <v>0</v>
      </c>
      <c r="C190" s="404">
        <v>34.396169999999998</v>
      </c>
      <c r="D190" s="405">
        <v>34.396169999999998</v>
      </c>
      <c r="E190" s="406" t="s">
        <v>250</v>
      </c>
      <c r="F190" s="404">
        <v>4.9406564584124654E-324</v>
      </c>
      <c r="G190" s="405">
        <v>0</v>
      </c>
      <c r="H190" s="407">
        <v>0.40187</v>
      </c>
      <c r="I190" s="404">
        <v>0.83435999999999999</v>
      </c>
      <c r="J190" s="405">
        <v>0.83435999999999999</v>
      </c>
      <c r="K190" s="408" t="s">
        <v>256</v>
      </c>
    </row>
    <row r="191" spans="1:11" ht="14.4" customHeight="1" thickBot="1" x14ac:dyDescent="0.35">
      <c r="A191" s="422" t="s">
        <v>432</v>
      </c>
      <c r="B191" s="404">
        <v>0</v>
      </c>
      <c r="C191" s="404">
        <v>34.396169999999998</v>
      </c>
      <c r="D191" s="405">
        <v>34.396169999999998</v>
      </c>
      <c r="E191" s="406" t="s">
        <v>250</v>
      </c>
      <c r="F191" s="404">
        <v>4.9406564584124654E-324</v>
      </c>
      <c r="G191" s="405">
        <v>0</v>
      </c>
      <c r="H191" s="407">
        <v>0.40187</v>
      </c>
      <c r="I191" s="404">
        <v>0.83435999999999999</v>
      </c>
      <c r="J191" s="405">
        <v>0.83435999999999999</v>
      </c>
      <c r="K191" s="408" t="s">
        <v>256</v>
      </c>
    </row>
    <row r="192" spans="1:11" ht="14.4" customHeight="1" thickBot="1" x14ac:dyDescent="0.35">
      <c r="A192" s="424" t="s">
        <v>433</v>
      </c>
      <c r="B192" s="404">
        <v>0</v>
      </c>
      <c r="C192" s="404">
        <v>34.396169999999998</v>
      </c>
      <c r="D192" s="405">
        <v>34.396169999999998</v>
      </c>
      <c r="E192" s="406" t="s">
        <v>250</v>
      </c>
      <c r="F192" s="404">
        <v>4.9406564584124654E-324</v>
      </c>
      <c r="G192" s="405">
        <v>0</v>
      </c>
      <c r="H192" s="407">
        <v>0.40187</v>
      </c>
      <c r="I192" s="404">
        <v>0.83435999999999999</v>
      </c>
      <c r="J192" s="405">
        <v>0.83435999999999999</v>
      </c>
      <c r="K192" s="408" t="s">
        <v>256</v>
      </c>
    </row>
    <row r="193" spans="1:11" ht="14.4" customHeight="1" thickBot="1" x14ac:dyDescent="0.35">
      <c r="A193" s="420" t="s">
        <v>434</v>
      </c>
      <c r="B193" s="404">
        <v>0</v>
      </c>
      <c r="C193" s="404">
        <v>34.396169999999998</v>
      </c>
      <c r="D193" s="405">
        <v>34.396169999999998</v>
      </c>
      <c r="E193" s="406" t="s">
        <v>250</v>
      </c>
      <c r="F193" s="404">
        <v>4.9406564584124654E-324</v>
      </c>
      <c r="G193" s="405">
        <v>0</v>
      </c>
      <c r="H193" s="407">
        <v>0.40187</v>
      </c>
      <c r="I193" s="404">
        <v>0.83435999999999999</v>
      </c>
      <c r="J193" s="405">
        <v>0.83435999999999999</v>
      </c>
      <c r="K193" s="408" t="s">
        <v>256</v>
      </c>
    </row>
    <row r="194" spans="1:11" ht="14.4" customHeight="1" thickBot="1" x14ac:dyDescent="0.35">
      <c r="A194" s="421" t="s">
        <v>435</v>
      </c>
      <c r="B194" s="399">
        <v>0</v>
      </c>
      <c r="C194" s="399">
        <v>7.4639699999999998</v>
      </c>
      <c r="D194" s="400">
        <v>7.4639699999999998</v>
      </c>
      <c r="E194" s="409" t="s">
        <v>250</v>
      </c>
      <c r="F194" s="399">
        <v>4.9406564584124654E-324</v>
      </c>
      <c r="G194" s="400">
        <v>0</v>
      </c>
      <c r="H194" s="402">
        <v>0.40187</v>
      </c>
      <c r="I194" s="399">
        <v>0.83435999999999999</v>
      </c>
      <c r="J194" s="400">
        <v>0.83435999999999999</v>
      </c>
      <c r="K194" s="410" t="s">
        <v>256</v>
      </c>
    </row>
    <row r="195" spans="1:11" ht="14.4" customHeight="1" thickBot="1" x14ac:dyDescent="0.35">
      <c r="A195" s="421" t="s">
        <v>436</v>
      </c>
      <c r="B195" s="399">
        <v>4.9406564584124654E-324</v>
      </c>
      <c r="C195" s="399">
        <v>26.932200000000002</v>
      </c>
      <c r="D195" s="400">
        <v>26.932200000000002</v>
      </c>
      <c r="E195" s="409" t="s">
        <v>256</v>
      </c>
      <c r="F195" s="399">
        <v>4.9406564584124654E-324</v>
      </c>
      <c r="G195" s="400">
        <v>0</v>
      </c>
      <c r="H195" s="402">
        <v>4.9406564584124654E-324</v>
      </c>
      <c r="I195" s="399">
        <v>9.8813129168249309E-324</v>
      </c>
      <c r="J195" s="400">
        <v>9.8813129168249309E-324</v>
      </c>
      <c r="K195" s="403">
        <v>2</v>
      </c>
    </row>
    <row r="196" spans="1:11" ht="14.4" customHeight="1" thickBot="1" x14ac:dyDescent="0.35">
      <c r="A196" s="426"/>
      <c r="B196" s="399">
        <v>-9998.4431239263595</v>
      </c>
      <c r="C196" s="399">
        <v>-12200.41396</v>
      </c>
      <c r="D196" s="400">
        <v>-2201.9708360736499</v>
      </c>
      <c r="E196" s="401">
        <v>1.2202313709020001</v>
      </c>
      <c r="F196" s="399">
        <v>-9478.1731338955396</v>
      </c>
      <c r="G196" s="400">
        <v>-1579.69552231592</v>
      </c>
      <c r="H196" s="402">
        <v>-1074.4866500000001</v>
      </c>
      <c r="I196" s="399">
        <v>-1902.5667000000101</v>
      </c>
      <c r="J196" s="400">
        <v>-322.87117768408302</v>
      </c>
      <c r="K196" s="403">
        <v>0.200731372293</v>
      </c>
    </row>
    <row r="197" spans="1:11" ht="14.4" customHeight="1" thickBot="1" x14ac:dyDescent="0.35">
      <c r="A197" s="427" t="s">
        <v>69</v>
      </c>
      <c r="B197" s="413">
        <v>-9998.4431239263504</v>
      </c>
      <c r="C197" s="413">
        <v>-12200.41396</v>
      </c>
      <c r="D197" s="414">
        <v>-2201.9708360736599</v>
      </c>
      <c r="E197" s="415" t="s">
        <v>250</v>
      </c>
      <c r="F197" s="413">
        <v>-9478.1731338955396</v>
      </c>
      <c r="G197" s="414">
        <v>-1579.69552231592</v>
      </c>
      <c r="H197" s="413">
        <v>-1074.4866500000001</v>
      </c>
      <c r="I197" s="413">
        <v>-1902.5667000000101</v>
      </c>
      <c r="J197" s="414">
        <v>-322.87117768408302</v>
      </c>
      <c r="K197" s="416">
        <v>0.200731372293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216" bestFit="1" customWidth="1"/>
    <col min="2" max="2" width="9.33203125" style="216" customWidth="1"/>
    <col min="3" max="3" width="28.88671875" style="136" bestFit="1" customWidth="1"/>
    <col min="4" max="4" width="12.77734375" style="217" bestFit="1" customWidth="1"/>
    <col min="5" max="5" width="11.109375" style="217" customWidth="1"/>
    <col min="6" max="6" width="6.6640625" style="218" customWidth="1"/>
    <col min="7" max="7" width="12.21875" style="215" bestFit="1" customWidth="1"/>
    <col min="8" max="8" width="0" style="136" hidden="1" customWidth="1"/>
    <col min="9" max="16384" width="8.88671875" style="136"/>
  </cols>
  <sheetData>
    <row r="1" spans="1:8" ht="18.600000000000001" customHeight="1" thickBot="1" x14ac:dyDescent="0.4">
      <c r="A1" s="342" t="s">
        <v>145</v>
      </c>
      <c r="B1" s="343"/>
      <c r="C1" s="343"/>
      <c r="D1" s="343"/>
      <c r="E1" s="343"/>
      <c r="F1" s="343"/>
      <c r="G1" s="319"/>
    </row>
    <row r="2" spans="1:8" ht="14.4" customHeight="1" thickBot="1" x14ac:dyDescent="0.35">
      <c r="A2" s="243" t="s">
        <v>249</v>
      </c>
      <c r="B2" s="214"/>
      <c r="C2" s="214"/>
      <c r="D2" s="214"/>
      <c r="E2" s="214"/>
      <c r="F2" s="214"/>
    </row>
    <row r="3" spans="1:8" ht="14.4" customHeight="1" thickBot="1" x14ac:dyDescent="0.35">
      <c r="A3" s="81" t="s">
        <v>0</v>
      </c>
      <c r="B3" s="82" t="s">
        <v>1</v>
      </c>
      <c r="C3" s="99" t="s">
        <v>2</v>
      </c>
      <c r="D3" s="100" t="s">
        <v>172</v>
      </c>
      <c r="E3" s="100" t="s">
        <v>4</v>
      </c>
      <c r="F3" s="100" t="s">
        <v>5</v>
      </c>
      <c r="G3" s="101" t="s">
        <v>150</v>
      </c>
    </row>
    <row r="4" spans="1:8" ht="14.4" customHeight="1" x14ac:dyDescent="0.3">
      <c r="A4" s="428" t="s">
        <v>437</v>
      </c>
      <c r="B4" s="429" t="s">
        <v>438</v>
      </c>
      <c r="C4" s="430" t="s">
        <v>439</v>
      </c>
      <c r="D4" s="430" t="s">
        <v>438</v>
      </c>
      <c r="E4" s="430" t="s">
        <v>438</v>
      </c>
      <c r="F4" s="431" t="s">
        <v>438</v>
      </c>
      <c r="G4" s="430" t="s">
        <v>438</v>
      </c>
      <c r="H4" s="430" t="s">
        <v>72</v>
      </c>
    </row>
    <row r="5" spans="1:8" ht="14.4" customHeight="1" x14ac:dyDescent="0.3">
      <c r="A5" s="428" t="s">
        <v>437</v>
      </c>
      <c r="B5" s="429" t="s">
        <v>440</v>
      </c>
      <c r="C5" s="430" t="s">
        <v>441</v>
      </c>
      <c r="D5" s="430">
        <v>19326.016529584496</v>
      </c>
      <c r="E5" s="430">
        <v>16087.064070425924</v>
      </c>
      <c r="F5" s="431">
        <v>0.83240454885256121</v>
      </c>
      <c r="G5" s="430">
        <v>-3238.9524591585723</v>
      </c>
      <c r="H5" s="430" t="s">
        <v>2</v>
      </c>
    </row>
    <row r="6" spans="1:8" ht="14.4" customHeight="1" x14ac:dyDescent="0.3">
      <c r="A6" s="428" t="s">
        <v>437</v>
      </c>
      <c r="B6" s="429" t="s">
        <v>442</v>
      </c>
      <c r="C6" s="430" t="s">
        <v>443</v>
      </c>
      <c r="D6" s="430">
        <v>4683.8391589301964</v>
      </c>
      <c r="E6" s="430">
        <v>3495.2459427157046</v>
      </c>
      <c r="F6" s="431">
        <v>0.74623526216771918</v>
      </c>
      <c r="G6" s="430">
        <v>-1188.5932162144918</v>
      </c>
      <c r="H6" s="430" t="s">
        <v>2</v>
      </c>
    </row>
    <row r="7" spans="1:8" ht="14.4" customHeight="1" x14ac:dyDescent="0.3">
      <c r="A7" s="428" t="s">
        <v>437</v>
      </c>
      <c r="B7" s="429" t="s">
        <v>6</v>
      </c>
      <c r="C7" s="430" t="s">
        <v>439</v>
      </c>
      <c r="D7" s="430">
        <v>24009.855688514694</v>
      </c>
      <c r="E7" s="430">
        <v>19582.310013141629</v>
      </c>
      <c r="F7" s="431">
        <v>0.81559465692702948</v>
      </c>
      <c r="G7" s="430">
        <v>-4427.545675373065</v>
      </c>
      <c r="H7" s="430" t="s">
        <v>444</v>
      </c>
    </row>
    <row r="9" spans="1:8" ht="14.4" customHeight="1" x14ac:dyDescent="0.3">
      <c r="A9" s="428" t="s">
        <v>437</v>
      </c>
      <c r="B9" s="429" t="s">
        <v>438</v>
      </c>
      <c r="C9" s="430" t="s">
        <v>439</v>
      </c>
      <c r="D9" s="430" t="s">
        <v>438</v>
      </c>
      <c r="E9" s="430" t="s">
        <v>438</v>
      </c>
      <c r="F9" s="431" t="s">
        <v>438</v>
      </c>
      <c r="G9" s="430" t="s">
        <v>438</v>
      </c>
      <c r="H9" s="430" t="s">
        <v>72</v>
      </c>
    </row>
    <row r="10" spans="1:8" ht="14.4" customHeight="1" x14ac:dyDescent="0.3">
      <c r="A10" s="428" t="s">
        <v>445</v>
      </c>
      <c r="B10" s="429" t="s">
        <v>440</v>
      </c>
      <c r="C10" s="430" t="s">
        <v>441</v>
      </c>
      <c r="D10" s="430">
        <v>8876.9758032237332</v>
      </c>
      <c r="E10" s="430">
        <v>5383.7539172489705</v>
      </c>
      <c r="F10" s="431">
        <v>0.60648514050177138</v>
      </c>
      <c r="G10" s="430">
        <v>-3493.2218859747627</v>
      </c>
      <c r="H10" s="430" t="s">
        <v>2</v>
      </c>
    </row>
    <row r="11" spans="1:8" ht="14.4" customHeight="1" x14ac:dyDescent="0.3">
      <c r="A11" s="428" t="s">
        <v>445</v>
      </c>
      <c r="B11" s="429" t="s">
        <v>442</v>
      </c>
      <c r="C11" s="430" t="s">
        <v>443</v>
      </c>
      <c r="D11" s="430">
        <v>3770.6495583359333</v>
      </c>
      <c r="E11" s="430">
        <v>3152.0259427157048</v>
      </c>
      <c r="F11" s="431">
        <v>0.83593712275578325</v>
      </c>
      <c r="G11" s="430">
        <v>-618.62361562022852</v>
      </c>
      <c r="H11" s="430" t="s">
        <v>2</v>
      </c>
    </row>
    <row r="12" spans="1:8" ht="14.4" customHeight="1" x14ac:dyDescent="0.3">
      <c r="A12" s="428" t="s">
        <v>445</v>
      </c>
      <c r="B12" s="429" t="s">
        <v>6</v>
      </c>
      <c r="C12" s="430" t="s">
        <v>446</v>
      </c>
      <c r="D12" s="430">
        <v>12647.625361559665</v>
      </c>
      <c r="E12" s="430">
        <v>8535.7798599646758</v>
      </c>
      <c r="F12" s="431">
        <v>0.67489189598450205</v>
      </c>
      <c r="G12" s="430">
        <v>-4111.8455015949894</v>
      </c>
      <c r="H12" s="430" t="s">
        <v>447</v>
      </c>
    </row>
    <row r="13" spans="1:8" ht="14.4" customHeight="1" x14ac:dyDescent="0.3">
      <c r="A13" s="428" t="s">
        <v>438</v>
      </c>
      <c r="B13" s="429" t="s">
        <v>438</v>
      </c>
      <c r="C13" s="430" t="s">
        <v>438</v>
      </c>
      <c r="D13" s="430" t="s">
        <v>438</v>
      </c>
      <c r="E13" s="430" t="s">
        <v>438</v>
      </c>
      <c r="F13" s="431" t="s">
        <v>438</v>
      </c>
      <c r="G13" s="430" t="s">
        <v>438</v>
      </c>
      <c r="H13" s="430" t="s">
        <v>448</v>
      </c>
    </row>
    <row r="14" spans="1:8" ht="14.4" customHeight="1" x14ac:dyDescent="0.3">
      <c r="A14" s="428" t="s">
        <v>449</v>
      </c>
      <c r="B14" s="429" t="s">
        <v>440</v>
      </c>
      <c r="C14" s="430" t="s">
        <v>441</v>
      </c>
      <c r="D14" s="430">
        <v>7781.6183749032325</v>
      </c>
      <c r="E14" s="430">
        <v>9097.8601531769509</v>
      </c>
      <c r="F14" s="431">
        <v>1.1691475622241738</v>
      </c>
      <c r="G14" s="430">
        <v>1316.2417782737184</v>
      </c>
      <c r="H14" s="430" t="s">
        <v>2</v>
      </c>
    </row>
    <row r="15" spans="1:8" ht="14.4" customHeight="1" x14ac:dyDescent="0.3">
      <c r="A15" s="428" t="s">
        <v>449</v>
      </c>
      <c r="B15" s="429" t="s">
        <v>442</v>
      </c>
      <c r="C15" s="430" t="s">
        <v>443</v>
      </c>
      <c r="D15" s="430">
        <v>658.63343628091502</v>
      </c>
      <c r="E15" s="430">
        <v>210.95999999999998</v>
      </c>
      <c r="F15" s="431">
        <v>0.32029956023979173</v>
      </c>
      <c r="G15" s="430">
        <v>-447.67343628091504</v>
      </c>
      <c r="H15" s="430" t="s">
        <v>2</v>
      </c>
    </row>
    <row r="16" spans="1:8" ht="14.4" customHeight="1" x14ac:dyDescent="0.3">
      <c r="A16" s="428" t="s">
        <v>449</v>
      </c>
      <c r="B16" s="429" t="s">
        <v>6</v>
      </c>
      <c r="C16" s="430" t="s">
        <v>450</v>
      </c>
      <c r="D16" s="430">
        <v>8440.2518111841473</v>
      </c>
      <c r="E16" s="430">
        <v>9308.82015317695</v>
      </c>
      <c r="F16" s="431">
        <v>1.1029078706919462</v>
      </c>
      <c r="G16" s="430">
        <v>868.56834199280274</v>
      </c>
      <c r="H16" s="430" t="s">
        <v>447</v>
      </c>
    </row>
    <row r="17" spans="1:8" ht="14.4" customHeight="1" x14ac:dyDescent="0.3">
      <c r="A17" s="428" t="s">
        <v>438</v>
      </c>
      <c r="B17" s="429" t="s">
        <v>438</v>
      </c>
      <c r="C17" s="430" t="s">
        <v>438</v>
      </c>
      <c r="D17" s="430" t="s">
        <v>438</v>
      </c>
      <c r="E17" s="430" t="s">
        <v>438</v>
      </c>
      <c r="F17" s="431" t="s">
        <v>438</v>
      </c>
      <c r="G17" s="430" t="s">
        <v>438</v>
      </c>
      <c r="H17" s="430" t="s">
        <v>448</v>
      </c>
    </row>
    <row r="18" spans="1:8" ht="14.4" customHeight="1" x14ac:dyDescent="0.3">
      <c r="A18" s="428" t="s">
        <v>451</v>
      </c>
      <c r="B18" s="429" t="s">
        <v>440</v>
      </c>
      <c r="C18" s="430" t="s">
        <v>441</v>
      </c>
      <c r="D18" s="430">
        <v>2667.4223514575333</v>
      </c>
      <c r="E18" s="430">
        <v>1605.45</v>
      </c>
      <c r="F18" s="431">
        <v>0.6018731900940808</v>
      </c>
      <c r="G18" s="430">
        <v>-1061.9723514575333</v>
      </c>
      <c r="H18" s="430" t="s">
        <v>2</v>
      </c>
    </row>
    <row r="19" spans="1:8" ht="14.4" customHeight="1" x14ac:dyDescent="0.3">
      <c r="A19" s="428" t="s">
        <v>451</v>
      </c>
      <c r="B19" s="429" t="s">
        <v>442</v>
      </c>
      <c r="C19" s="430" t="s">
        <v>443</v>
      </c>
      <c r="D19" s="430">
        <v>254.55616431334832</v>
      </c>
      <c r="E19" s="430">
        <v>132.26</v>
      </c>
      <c r="F19" s="431">
        <v>0.51957099666694107</v>
      </c>
      <c r="G19" s="430">
        <v>-122.29616431334833</v>
      </c>
      <c r="H19" s="430" t="s">
        <v>2</v>
      </c>
    </row>
    <row r="20" spans="1:8" ht="14.4" customHeight="1" x14ac:dyDescent="0.3">
      <c r="A20" s="428" t="s">
        <v>451</v>
      </c>
      <c r="B20" s="429" t="s">
        <v>6</v>
      </c>
      <c r="C20" s="430" t="s">
        <v>452</v>
      </c>
      <c r="D20" s="430">
        <v>2921.9785157708816</v>
      </c>
      <c r="E20" s="430">
        <v>1737.71</v>
      </c>
      <c r="F20" s="431">
        <v>0.59470320901437368</v>
      </c>
      <c r="G20" s="430">
        <v>-1184.2685157708815</v>
      </c>
      <c r="H20" s="430" t="s">
        <v>447</v>
      </c>
    </row>
    <row r="21" spans="1:8" ht="14.4" customHeight="1" x14ac:dyDescent="0.3">
      <c r="A21" s="428" t="s">
        <v>438</v>
      </c>
      <c r="B21" s="429" t="s">
        <v>438</v>
      </c>
      <c r="C21" s="430" t="s">
        <v>438</v>
      </c>
      <c r="D21" s="430" t="s">
        <v>438</v>
      </c>
      <c r="E21" s="430" t="s">
        <v>438</v>
      </c>
      <c r="F21" s="431" t="s">
        <v>438</v>
      </c>
      <c r="G21" s="430" t="s">
        <v>438</v>
      </c>
      <c r="H21" s="430" t="s">
        <v>448</v>
      </c>
    </row>
    <row r="22" spans="1:8" ht="14.4" customHeight="1" x14ac:dyDescent="0.3">
      <c r="A22" s="428" t="s">
        <v>437</v>
      </c>
      <c r="B22" s="429" t="s">
        <v>6</v>
      </c>
      <c r="C22" s="430" t="s">
        <v>439</v>
      </c>
      <c r="D22" s="430">
        <v>24009.855688514694</v>
      </c>
      <c r="E22" s="430">
        <v>19582.310013141625</v>
      </c>
      <c r="F22" s="431">
        <v>0.81559465692702937</v>
      </c>
      <c r="G22" s="430">
        <v>-4427.5456753730687</v>
      </c>
      <c r="H22" s="430" t="s">
        <v>444</v>
      </c>
    </row>
  </sheetData>
  <autoFilter ref="A3:G3"/>
  <mergeCells count="1">
    <mergeCell ref="A1:G1"/>
  </mergeCells>
  <conditionalFormatting sqref="F8 F23:F65536">
    <cfRule type="cellIs" dxfId="46" priority="15" stopIfTrue="1" operator="greaterThan">
      <formula>1</formula>
    </cfRule>
  </conditionalFormatting>
  <conditionalFormatting sqref="B4:B7">
    <cfRule type="expression" dxfId="45" priority="12">
      <formula>AND(LEFT(H4,6)&lt;&gt;"mezera",H4&lt;&gt;"")</formula>
    </cfRule>
  </conditionalFormatting>
  <conditionalFormatting sqref="A4:A7">
    <cfRule type="expression" dxfId="44" priority="10">
      <formula>AND(H4&lt;&gt;"",H4&lt;&gt;"mezeraKL")</formula>
    </cfRule>
  </conditionalFormatting>
  <conditionalFormatting sqref="G4:G7">
    <cfRule type="cellIs" dxfId="43" priority="9" operator="greaterThan">
      <formula>0</formula>
    </cfRule>
  </conditionalFormatting>
  <conditionalFormatting sqref="F4:F7">
    <cfRule type="cellIs" dxfId="42" priority="8" operator="greaterThan">
      <formula>1</formula>
    </cfRule>
  </conditionalFormatting>
  <conditionalFormatting sqref="B4:G7">
    <cfRule type="expression" dxfId="41" priority="11">
      <formula>OR($H4="KL",$H4="SumaKL")</formula>
    </cfRule>
    <cfRule type="expression" dxfId="40" priority="13">
      <formula>$H4="SumaNS"</formula>
    </cfRule>
  </conditionalFormatting>
  <conditionalFormatting sqref="A4:G7">
    <cfRule type="expression" dxfId="39" priority="14">
      <formula>$H4&lt;&gt;""</formula>
    </cfRule>
  </conditionalFormatting>
  <conditionalFormatting sqref="F9:F22">
    <cfRule type="cellIs" dxfId="38" priority="3" operator="greaterThan">
      <formula>1</formula>
    </cfRule>
  </conditionalFormatting>
  <conditionalFormatting sqref="B9:B22">
    <cfRule type="expression" dxfId="37" priority="6">
      <formula>AND(LEFT(H9,6)&lt;&gt;"mezera",H9&lt;&gt;"")</formula>
    </cfRule>
  </conditionalFormatting>
  <conditionalFormatting sqref="A9:A22">
    <cfRule type="expression" dxfId="36" priority="4">
      <formula>AND(H9&lt;&gt;"",H9&lt;&gt;"mezeraKL")</formula>
    </cfRule>
  </conditionalFormatting>
  <conditionalFormatting sqref="G9:G22">
    <cfRule type="cellIs" dxfId="35" priority="2" operator="greaterThan">
      <formula>0</formula>
    </cfRule>
  </conditionalFormatting>
  <conditionalFormatting sqref="B9:G22">
    <cfRule type="expression" dxfId="34" priority="5">
      <formula>OR($H9="KL",$H9="SumaKL")</formula>
    </cfRule>
    <cfRule type="expression" dxfId="33" priority="7">
      <formula>$H9="SumaNS"</formula>
    </cfRule>
  </conditionalFormatting>
  <conditionalFormatting sqref="A9:G22">
    <cfRule type="expression" dxfId="32" priority="1">
      <formula>$H9&lt;&gt;""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6" hidden="1" customWidth="1" outlineLevel="1"/>
    <col min="2" max="2" width="28.33203125" style="136" hidden="1" customWidth="1" outlineLevel="1"/>
    <col min="3" max="3" width="5.33203125" style="217" bestFit="1" customWidth="1" collapsed="1"/>
    <col min="4" max="4" width="18.77734375" style="221" customWidth="1"/>
    <col min="5" max="5" width="9" style="217" bestFit="1" customWidth="1"/>
    <col min="6" max="6" width="18.77734375" style="221" customWidth="1"/>
    <col min="7" max="7" width="5" style="217" customWidth="1"/>
    <col min="8" max="8" width="12.44140625" style="217" hidden="1" customWidth="1" outlineLevel="1"/>
    <col min="9" max="9" width="8.5546875" style="217" hidden="1" customWidth="1" outlineLevel="1"/>
    <col min="10" max="10" width="25.77734375" style="217" customWidth="1" collapsed="1"/>
    <col min="11" max="11" width="8.77734375" style="217" customWidth="1"/>
    <col min="12" max="13" width="7.77734375" style="215" customWidth="1"/>
    <col min="14" max="14" width="11.109375" style="215" customWidth="1"/>
    <col min="15" max="16384" width="8.88671875" style="136"/>
  </cols>
  <sheetData>
    <row r="1" spans="1:14" ht="18.600000000000001" customHeight="1" thickBot="1" x14ac:dyDescent="0.4">
      <c r="A1" s="348" t="s">
        <v>171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" customHeight="1" thickBot="1" x14ac:dyDescent="0.35">
      <c r="A2" s="243" t="s">
        <v>249</v>
      </c>
      <c r="B2" s="62"/>
      <c r="C2" s="219"/>
      <c r="D2" s="219"/>
      <c r="E2" s="219"/>
      <c r="F2" s="219"/>
      <c r="G2" s="219"/>
      <c r="H2" s="219"/>
      <c r="I2" s="219"/>
      <c r="J2" s="219"/>
      <c r="K2" s="219"/>
      <c r="L2" s="220"/>
      <c r="M2" s="220"/>
      <c r="N2" s="220"/>
    </row>
    <row r="3" spans="1:14" ht="14.4" customHeight="1" thickBot="1" x14ac:dyDescent="0.35">
      <c r="A3" s="62"/>
      <c r="B3" s="62"/>
      <c r="C3" s="344"/>
      <c r="D3" s="345"/>
      <c r="E3" s="345"/>
      <c r="F3" s="345"/>
      <c r="G3" s="345"/>
      <c r="H3" s="345"/>
      <c r="I3" s="345"/>
      <c r="J3" s="346" t="s">
        <v>136</v>
      </c>
      <c r="K3" s="347"/>
      <c r="L3" s="102">
        <f>IF(M3&lt;&gt;0,N3/M3,0)</f>
        <v>137.90359164184247</v>
      </c>
      <c r="M3" s="102">
        <f>SUBTOTAL(9,M5:M1048576)</f>
        <v>142</v>
      </c>
      <c r="N3" s="103">
        <f>SUBTOTAL(9,N5:N1048576)</f>
        <v>19582.310013141629</v>
      </c>
    </row>
    <row r="4" spans="1:14" s="216" customFormat="1" ht="14.4" customHeight="1" thickBot="1" x14ac:dyDescent="0.35">
      <c r="A4" s="432" t="s">
        <v>7</v>
      </c>
      <c r="B4" s="433" t="s">
        <v>8</v>
      </c>
      <c r="C4" s="433" t="s">
        <v>0</v>
      </c>
      <c r="D4" s="433" t="s">
        <v>9</v>
      </c>
      <c r="E4" s="433" t="s">
        <v>10</v>
      </c>
      <c r="F4" s="433" t="s">
        <v>2</v>
      </c>
      <c r="G4" s="433" t="s">
        <v>11</v>
      </c>
      <c r="H4" s="433" t="s">
        <v>12</v>
      </c>
      <c r="I4" s="433" t="s">
        <v>13</v>
      </c>
      <c r="J4" s="434" t="s">
        <v>14</v>
      </c>
      <c r="K4" s="434" t="s">
        <v>15</v>
      </c>
      <c r="L4" s="435" t="s">
        <v>151</v>
      </c>
      <c r="M4" s="435" t="s">
        <v>16</v>
      </c>
      <c r="N4" s="436" t="s">
        <v>165</v>
      </c>
    </row>
    <row r="5" spans="1:14" ht="14.4" customHeight="1" x14ac:dyDescent="0.3">
      <c r="A5" s="437" t="s">
        <v>437</v>
      </c>
      <c r="B5" s="438" t="s">
        <v>439</v>
      </c>
      <c r="C5" s="439" t="s">
        <v>445</v>
      </c>
      <c r="D5" s="440" t="s">
        <v>446</v>
      </c>
      <c r="E5" s="439" t="s">
        <v>440</v>
      </c>
      <c r="F5" s="440" t="s">
        <v>441</v>
      </c>
      <c r="G5" s="439" t="s">
        <v>453</v>
      </c>
      <c r="H5" s="439" t="s">
        <v>454</v>
      </c>
      <c r="I5" s="439" t="s">
        <v>455</v>
      </c>
      <c r="J5" s="439" t="s">
        <v>456</v>
      </c>
      <c r="K5" s="439" t="s">
        <v>457</v>
      </c>
      <c r="L5" s="441">
        <v>192.29359756269324</v>
      </c>
      <c r="M5" s="441">
        <v>3</v>
      </c>
      <c r="N5" s="442">
        <v>576.88079268807974</v>
      </c>
    </row>
    <row r="6" spans="1:14" ht="14.4" customHeight="1" x14ac:dyDescent="0.3">
      <c r="A6" s="443" t="s">
        <v>437</v>
      </c>
      <c r="B6" s="444" t="s">
        <v>439</v>
      </c>
      <c r="C6" s="445" t="s">
        <v>445</v>
      </c>
      <c r="D6" s="446" t="s">
        <v>446</v>
      </c>
      <c r="E6" s="445" t="s">
        <v>440</v>
      </c>
      <c r="F6" s="446" t="s">
        <v>441</v>
      </c>
      <c r="G6" s="445" t="s">
        <v>453</v>
      </c>
      <c r="H6" s="445" t="s">
        <v>458</v>
      </c>
      <c r="I6" s="445" t="s">
        <v>459</v>
      </c>
      <c r="J6" s="445" t="s">
        <v>460</v>
      </c>
      <c r="K6" s="445" t="s">
        <v>461</v>
      </c>
      <c r="L6" s="447">
        <v>60.35</v>
      </c>
      <c r="M6" s="447">
        <v>1</v>
      </c>
      <c r="N6" s="448">
        <v>60.35</v>
      </c>
    </row>
    <row r="7" spans="1:14" ht="14.4" customHeight="1" x14ac:dyDescent="0.3">
      <c r="A7" s="443" t="s">
        <v>437</v>
      </c>
      <c r="B7" s="444" t="s">
        <v>439</v>
      </c>
      <c r="C7" s="445" t="s">
        <v>445</v>
      </c>
      <c r="D7" s="446" t="s">
        <v>446</v>
      </c>
      <c r="E7" s="445" t="s">
        <v>440</v>
      </c>
      <c r="F7" s="446" t="s">
        <v>441</v>
      </c>
      <c r="G7" s="445" t="s">
        <v>453</v>
      </c>
      <c r="H7" s="445" t="s">
        <v>462</v>
      </c>
      <c r="I7" s="445" t="s">
        <v>197</v>
      </c>
      <c r="J7" s="445" t="s">
        <v>463</v>
      </c>
      <c r="K7" s="445"/>
      <c r="L7" s="447">
        <v>196.69599119227598</v>
      </c>
      <c r="M7" s="447">
        <v>4</v>
      </c>
      <c r="N7" s="448">
        <v>786.78396476910393</v>
      </c>
    </row>
    <row r="8" spans="1:14" ht="14.4" customHeight="1" x14ac:dyDescent="0.3">
      <c r="A8" s="443" t="s">
        <v>437</v>
      </c>
      <c r="B8" s="444" t="s">
        <v>439</v>
      </c>
      <c r="C8" s="445" t="s">
        <v>445</v>
      </c>
      <c r="D8" s="446" t="s">
        <v>446</v>
      </c>
      <c r="E8" s="445" t="s">
        <v>440</v>
      </c>
      <c r="F8" s="446" t="s">
        <v>441</v>
      </c>
      <c r="G8" s="445" t="s">
        <v>453</v>
      </c>
      <c r="H8" s="445" t="s">
        <v>464</v>
      </c>
      <c r="I8" s="445" t="s">
        <v>197</v>
      </c>
      <c r="J8" s="445" t="s">
        <v>465</v>
      </c>
      <c r="K8" s="445"/>
      <c r="L8" s="447">
        <v>320.34408093205616</v>
      </c>
      <c r="M8" s="447">
        <v>4</v>
      </c>
      <c r="N8" s="448">
        <v>1281.3763237282246</v>
      </c>
    </row>
    <row r="9" spans="1:14" ht="14.4" customHeight="1" x14ac:dyDescent="0.3">
      <c r="A9" s="443" t="s">
        <v>437</v>
      </c>
      <c r="B9" s="444" t="s">
        <v>439</v>
      </c>
      <c r="C9" s="445" t="s">
        <v>445</v>
      </c>
      <c r="D9" s="446" t="s">
        <v>446</v>
      </c>
      <c r="E9" s="445" t="s">
        <v>440</v>
      </c>
      <c r="F9" s="446" t="s">
        <v>441</v>
      </c>
      <c r="G9" s="445" t="s">
        <v>453</v>
      </c>
      <c r="H9" s="445" t="s">
        <v>466</v>
      </c>
      <c r="I9" s="445" t="s">
        <v>197</v>
      </c>
      <c r="J9" s="445" t="s">
        <v>467</v>
      </c>
      <c r="K9" s="445"/>
      <c r="L9" s="447">
        <v>95.193896431817919</v>
      </c>
      <c r="M9" s="447">
        <v>2</v>
      </c>
      <c r="N9" s="448">
        <v>190.38779286363584</v>
      </c>
    </row>
    <row r="10" spans="1:14" ht="14.4" customHeight="1" x14ac:dyDescent="0.3">
      <c r="A10" s="443" t="s">
        <v>437</v>
      </c>
      <c r="B10" s="444" t="s">
        <v>439</v>
      </c>
      <c r="C10" s="445" t="s">
        <v>445</v>
      </c>
      <c r="D10" s="446" t="s">
        <v>446</v>
      </c>
      <c r="E10" s="445" t="s">
        <v>440</v>
      </c>
      <c r="F10" s="446" t="s">
        <v>441</v>
      </c>
      <c r="G10" s="445" t="s">
        <v>453</v>
      </c>
      <c r="H10" s="445" t="s">
        <v>468</v>
      </c>
      <c r="I10" s="445" t="s">
        <v>469</v>
      </c>
      <c r="J10" s="445" t="s">
        <v>470</v>
      </c>
      <c r="K10" s="445" t="s">
        <v>471</v>
      </c>
      <c r="L10" s="447">
        <v>109.47</v>
      </c>
      <c r="M10" s="447">
        <v>1</v>
      </c>
      <c r="N10" s="448">
        <v>109.47</v>
      </c>
    </row>
    <row r="11" spans="1:14" ht="14.4" customHeight="1" x14ac:dyDescent="0.3">
      <c r="A11" s="443" t="s">
        <v>437</v>
      </c>
      <c r="B11" s="444" t="s">
        <v>439</v>
      </c>
      <c r="C11" s="445" t="s">
        <v>445</v>
      </c>
      <c r="D11" s="446" t="s">
        <v>446</v>
      </c>
      <c r="E11" s="445" t="s">
        <v>440</v>
      </c>
      <c r="F11" s="446" t="s">
        <v>441</v>
      </c>
      <c r="G11" s="445" t="s">
        <v>453</v>
      </c>
      <c r="H11" s="445" t="s">
        <v>472</v>
      </c>
      <c r="I11" s="445" t="s">
        <v>197</v>
      </c>
      <c r="J11" s="445" t="s">
        <v>473</v>
      </c>
      <c r="K11" s="445"/>
      <c r="L11" s="447">
        <v>123.15014529440298</v>
      </c>
      <c r="M11" s="447">
        <v>1</v>
      </c>
      <c r="N11" s="448">
        <v>123.15014529440298</v>
      </c>
    </row>
    <row r="12" spans="1:14" ht="14.4" customHeight="1" x14ac:dyDescent="0.3">
      <c r="A12" s="443" t="s">
        <v>437</v>
      </c>
      <c r="B12" s="444" t="s">
        <v>439</v>
      </c>
      <c r="C12" s="445" t="s">
        <v>445</v>
      </c>
      <c r="D12" s="446" t="s">
        <v>446</v>
      </c>
      <c r="E12" s="445" t="s">
        <v>440</v>
      </c>
      <c r="F12" s="446" t="s">
        <v>441</v>
      </c>
      <c r="G12" s="445" t="s">
        <v>453</v>
      </c>
      <c r="H12" s="445" t="s">
        <v>474</v>
      </c>
      <c r="I12" s="445" t="s">
        <v>474</v>
      </c>
      <c r="J12" s="445" t="s">
        <v>475</v>
      </c>
      <c r="K12" s="445" t="s">
        <v>476</v>
      </c>
      <c r="L12" s="447">
        <v>231.76</v>
      </c>
      <c r="M12" s="447">
        <v>2</v>
      </c>
      <c r="N12" s="448">
        <v>463.52</v>
      </c>
    </row>
    <row r="13" spans="1:14" ht="14.4" customHeight="1" x14ac:dyDescent="0.3">
      <c r="A13" s="443" t="s">
        <v>437</v>
      </c>
      <c r="B13" s="444" t="s">
        <v>439</v>
      </c>
      <c r="C13" s="445" t="s">
        <v>445</v>
      </c>
      <c r="D13" s="446" t="s">
        <v>446</v>
      </c>
      <c r="E13" s="445" t="s">
        <v>440</v>
      </c>
      <c r="F13" s="446" t="s">
        <v>441</v>
      </c>
      <c r="G13" s="445" t="s">
        <v>453</v>
      </c>
      <c r="H13" s="445" t="s">
        <v>477</v>
      </c>
      <c r="I13" s="445" t="s">
        <v>197</v>
      </c>
      <c r="J13" s="445" t="s">
        <v>478</v>
      </c>
      <c r="K13" s="445"/>
      <c r="L13" s="447">
        <v>65.985021767683023</v>
      </c>
      <c r="M13" s="447">
        <v>6</v>
      </c>
      <c r="N13" s="448">
        <v>395.91013060609816</v>
      </c>
    </row>
    <row r="14" spans="1:14" ht="14.4" customHeight="1" x14ac:dyDescent="0.3">
      <c r="A14" s="443" t="s">
        <v>437</v>
      </c>
      <c r="B14" s="444" t="s">
        <v>439</v>
      </c>
      <c r="C14" s="445" t="s">
        <v>445</v>
      </c>
      <c r="D14" s="446" t="s">
        <v>446</v>
      </c>
      <c r="E14" s="445" t="s">
        <v>440</v>
      </c>
      <c r="F14" s="446" t="s">
        <v>441</v>
      </c>
      <c r="G14" s="445" t="s">
        <v>453</v>
      </c>
      <c r="H14" s="445" t="s">
        <v>479</v>
      </c>
      <c r="I14" s="445" t="s">
        <v>480</v>
      </c>
      <c r="J14" s="445" t="s">
        <v>481</v>
      </c>
      <c r="K14" s="445" t="s">
        <v>482</v>
      </c>
      <c r="L14" s="447">
        <v>225.91</v>
      </c>
      <c r="M14" s="447">
        <v>1</v>
      </c>
      <c r="N14" s="448">
        <v>225.91</v>
      </c>
    </row>
    <row r="15" spans="1:14" ht="14.4" customHeight="1" x14ac:dyDescent="0.3">
      <c r="A15" s="443" t="s">
        <v>437</v>
      </c>
      <c r="B15" s="444" t="s">
        <v>439</v>
      </c>
      <c r="C15" s="445" t="s">
        <v>445</v>
      </c>
      <c r="D15" s="446" t="s">
        <v>446</v>
      </c>
      <c r="E15" s="445" t="s">
        <v>440</v>
      </c>
      <c r="F15" s="446" t="s">
        <v>441</v>
      </c>
      <c r="G15" s="445" t="s">
        <v>453</v>
      </c>
      <c r="H15" s="445" t="s">
        <v>483</v>
      </c>
      <c r="I15" s="445" t="s">
        <v>483</v>
      </c>
      <c r="J15" s="445" t="s">
        <v>484</v>
      </c>
      <c r="K15" s="445" t="s">
        <v>485</v>
      </c>
      <c r="L15" s="447">
        <v>113.62</v>
      </c>
      <c r="M15" s="447">
        <v>2</v>
      </c>
      <c r="N15" s="448">
        <v>227.24</v>
      </c>
    </row>
    <row r="16" spans="1:14" ht="14.4" customHeight="1" x14ac:dyDescent="0.3">
      <c r="A16" s="443" t="s">
        <v>437</v>
      </c>
      <c r="B16" s="444" t="s">
        <v>439</v>
      </c>
      <c r="C16" s="445" t="s">
        <v>445</v>
      </c>
      <c r="D16" s="446" t="s">
        <v>446</v>
      </c>
      <c r="E16" s="445" t="s">
        <v>440</v>
      </c>
      <c r="F16" s="446" t="s">
        <v>441</v>
      </c>
      <c r="G16" s="445" t="s">
        <v>453</v>
      </c>
      <c r="H16" s="445" t="s">
        <v>486</v>
      </c>
      <c r="I16" s="445" t="s">
        <v>197</v>
      </c>
      <c r="J16" s="445" t="s">
        <v>487</v>
      </c>
      <c r="K16" s="445"/>
      <c r="L16" s="447">
        <v>171.89660879651427</v>
      </c>
      <c r="M16" s="447">
        <v>1</v>
      </c>
      <c r="N16" s="448">
        <v>171.89660879651427</v>
      </c>
    </row>
    <row r="17" spans="1:14" ht="14.4" customHeight="1" x14ac:dyDescent="0.3">
      <c r="A17" s="443" t="s">
        <v>437</v>
      </c>
      <c r="B17" s="444" t="s">
        <v>439</v>
      </c>
      <c r="C17" s="445" t="s">
        <v>445</v>
      </c>
      <c r="D17" s="446" t="s">
        <v>446</v>
      </c>
      <c r="E17" s="445" t="s">
        <v>440</v>
      </c>
      <c r="F17" s="446" t="s">
        <v>441</v>
      </c>
      <c r="G17" s="445" t="s">
        <v>453</v>
      </c>
      <c r="H17" s="445" t="s">
        <v>488</v>
      </c>
      <c r="I17" s="445" t="s">
        <v>197</v>
      </c>
      <c r="J17" s="445" t="s">
        <v>489</v>
      </c>
      <c r="K17" s="445"/>
      <c r="L17" s="447">
        <v>117.06644623233319</v>
      </c>
      <c r="M17" s="447">
        <v>2</v>
      </c>
      <c r="N17" s="448">
        <v>234.13289246466638</v>
      </c>
    </row>
    <row r="18" spans="1:14" ht="14.4" customHeight="1" x14ac:dyDescent="0.3">
      <c r="A18" s="443" t="s">
        <v>437</v>
      </c>
      <c r="B18" s="444" t="s">
        <v>439</v>
      </c>
      <c r="C18" s="445" t="s">
        <v>445</v>
      </c>
      <c r="D18" s="446" t="s">
        <v>446</v>
      </c>
      <c r="E18" s="445" t="s">
        <v>440</v>
      </c>
      <c r="F18" s="446" t="s">
        <v>441</v>
      </c>
      <c r="G18" s="445" t="s">
        <v>453</v>
      </c>
      <c r="H18" s="445" t="s">
        <v>490</v>
      </c>
      <c r="I18" s="445" t="s">
        <v>197</v>
      </c>
      <c r="J18" s="445" t="s">
        <v>491</v>
      </c>
      <c r="K18" s="445"/>
      <c r="L18" s="447">
        <v>96.989020660663996</v>
      </c>
      <c r="M18" s="447">
        <v>2</v>
      </c>
      <c r="N18" s="448">
        <v>193.97804132132799</v>
      </c>
    </row>
    <row r="19" spans="1:14" ht="14.4" customHeight="1" x14ac:dyDescent="0.3">
      <c r="A19" s="443" t="s">
        <v>437</v>
      </c>
      <c r="B19" s="444" t="s">
        <v>439</v>
      </c>
      <c r="C19" s="445" t="s">
        <v>445</v>
      </c>
      <c r="D19" s="446" t="s">
        <v>446</v>
      </c>
      <c r="E19" s="445" t="s">
        <v>440</v>
      </c>
      <c r="F19" s="446" t="s">
        <v>441</v>
      </c>
      <c r="G19" s="445" t="s">
        <v>453</v>
      </c>
      <c r="H19" s="445" t="s">
        <v>492</v>
      </c>
      <c r="I19" s="445" t="s">
        <v>197</v>
      </c>
      <c r="J19" s="445" t="s">
        <v>493</v>
      </c>
      <c r="K19" s="445" t="s">
        <v>494</v>
      </c>
      <c r="L19" s="447">
        <v>108.95</v>
      </c>
      <c r="M19" s="447">
        <v>1</v>
      </c>
      <c r="N19" s="448">
        <v>108.95</v>
      </c>
    </row>
    <row r="20" spans="1:14" ht="14.4" customHeight="1" x14ac:dyDescent="0.3">
      <c r="A20" s="443" t="s">
        <v>437</v>
      </c>
      <c r="B20" s="444" t="s">
        <v>439</v>
      </c>
      <c r="C20" s="445" t="s">
        <v>445</v>
      </c>
      <c r="D20" s="446" t="s">
        <v>446</v>
      </c>
      <c r="E20" s="445" t="s">
        <v>440</v>
      </c>
      <c r="F20" s="446" t="s">
        <v>441</v>
      </c>
      <c r="G20" s="445" t="s">
        <v>453</v>
      </c>
      <c r="H20" s="445" t="s">
        <v>495</v>
      </c>
      <c r="I20" s="445" t="s">
        <v>197</v>
      </c>
      <c r="J20" s="445" t="s">
        <v>496</v>
      </c>
      <c r="K20" s="445"/>
      <c r="L20" s="447">
        <v>233.817224716917</v>
      </c>
      <c r="M20" s="447">
        <v>1</v>
      </c>
      <c r="N20" s="448">
        <v>233.817224716917</v>
      </c>
    </row>
    <row r="21" spans="1:14" ht="14.4" customHeight="1" x14ac:dyDescent="0.3">
      <c r="A21" s="443" t="s">
        <v>437</v>
      </c>
      <c r="B21" s="444" t="s">
        <v>439</v>
      </c>
      <c r="C21" s="445" t="s">
        <v>445</v>
      </c>
      <c r="D21" s="446" t="s">
        <v>446</v>
      </c>
      <c r="E21" s="445" t="s">
        <v>442</v>
      </c>
      <c r="F21" s="446" t="s">
        <v>443</v>
      </c>
      <c r="G21" s="445" t="s">
        <v>453</v>
      </c>
      <c r="H21" s="445" t="s">
        <v>497</v>
      </c>
      <c r="I21" s="445" t="s">
        <v>498</v>
      </c>
      <c r="J21" s="445" t="s">
        <v>499</v>
      </c>
      <c r="K21" s="445" t="s">
        <v>500</v>
      </c>
      <c r="L21" s="447">
        <v>39.381999999999991</v>
      </c>
      <c r="M21" s="447">
        <v>10</v>
      </c>
      <c r="N21" s="448">
        <v>393.81999999999994</v>
      </c>
    </row>
    <row r="22" spans="1:14" ht="14.4" customHeight="1" x14ac:dyDescent="0.3">
      <c r="A22" s="443" t="s">
        <v>437</v>
      </c>
      <c r="B22" s="444" t="s">
        <v>439</v>
      </c>
      <c r="C22" s="445" t="s">
        <v>445</v>
      </c>
      <c r="D22" s="446" t="s">
        <v>446</v>
      </c>
      <c r="E22" s="445" t="s">
        <v>442</v>
      </c>
      <c r="F22" s="446" t="s">
        <v>443</v>
      </c>
      <c r="G22" s="445" t="s">
        <v>453</v>
      </c>
      <c r="H22" s="445" t="s">
        <v>501</v>
      </c>
      <c r="I22" s="445" t="s">
        <v>502</v>
      </c>
      <c r="J22" s="445" t="s">
        <v>503</v>
      </c>
      <c r="K22" s="445" t="s">
        <v>504</v>
      </c>
      <c r="L22" s="447">
        <v>66.249999999999986</v>
      </c>
      <c r="M22" s="447">
        <v>6</v>
      </c>
      <c r="N22" s="448">
        <v>397.49999999999989</v>
      </c>
    </row>
    <row r="23" spans="1:14" ht="14.4" customHeight="1" x14ac:dyDescent="0.3">
      <c r="A23" s="443" t="s">
        <v>437</v>
      </c>
      <c r="B23" s="444" t="s">
        <v>439</v>
      </c>
      <c r="C23" s="445" t="s">
        <v>445</v>
      </c>
      <c r="D23" s="446" t="s">
        <v>446</v>
      </c>
      <c r="E23" s="445" t="s">
        <v>442</v>
      </c>
      <c r="F23" s="446" t="s">
        <v>443</v>
      </c>
      <c r="G23" s="445" t="s">
        <v>453</v>
      </c>
      <c r="H23" s="445" t="s">
        <v>505</v>
      </c>
      <c r="I23" s="445" t="s">
        <v>506</v>
      </c>
      <c r="J23" s="445" t="s">
        <v>507</v>
      </c>
      <c r="K23" s="445" t="s">
        <v>508</v>
      </c>
      <c r="L23" s="447">
        <v>86.612140468215074</v>
      </c>
      <c r="M23" s="447">
        <v>4</v>
      </c>
      <c r="N23" s="448">
        <v>346.4485618728603</v>
      </c>
    </row>
    <row r="24" spans="1:14" ht="14.4" customHeight="1" x14ac:dyDescent="0.3">
      <c r="A24" s="443" t="s">
        <v>437</v>
      </c>
      <c r="B24" s="444" t="s">
        <v>439</v>
      </c>
      <c r="C24" s="445" t="s">
        <v>445</v>
      </c>
      <c r="D24" s="446" t="s">
        <v>446</v>
      </c>
      <c r="E24" s="445" t="s">
        <v>442</v>
      </c>
      <c r="F24" s="446" t="s">
        <v>443</v>
      </c>
      <c r="G24" s="445" t="s">
        <v>453</v>
      </c>
      <c r="H24" s="445" t="s">
        <v>509</v>
      </c>
      <c r="I24" s="445" t="s">
        <v>510</v>
      </c>
      <c r="J24" s="445" t="s">
        <v>511</v>
      </c>
      <c r="K24" s="445" t="s">
        <v>512</v>
      </c>
      <c r="L24" s="447">
        <v>257.6033333333333</v>
      </c>
      <c r="M24" s="447">
        <v>6</v>
      </c>
      <c r="N24" s="448">
        <v>1545.62</v>
      </c>
    </row>
    <row r="25" spans="1:14" ht="14.4" customHeight="1" x14ac:dyDescent="0.3">
      <c r="A25" s="443" t="s">
        <v>437</v>
      </c>
      <c r="B25" s="444" t="s">
        <v>439</v>
      </c>
      <c r="C25" s="445" t="s">
        <v>445</v>
      </c>
      <c r="D25" s="446" t="s">
        <v>446</v>
      </c>
      <c r="E25" s="445" t="s">
        <v>442</v>
      </c>
      <c r="F25" s="446" t="s">
        <v>443</v>
      </c>
      <c r="G25" s="445" t="s">
        <v>453</v>
      </c>
      <c r="H25" s="445" t="s">
        <v>513</v>
      </c>
      <c r="I25" s="445" t="s">
        <v>514</v>
      </c>
      <c r="J25" s="445" t="s">
        <v>515</v>
      </c>
      <c r="K25" s="445" t="s">
        <v>504</v>
      </c>
      <c r="L25" s="447">
        <v>58.57967260535559</v>
      </c>
      <c r="M25" s="447">
        <v>8</v>
      </c>
      <c r="N25" s="448">
        <v>468.63738084284472</v>
      </c>
    </row>
    <row r="26" spans="1:14" ht="14.4" customHeight="1" x14ac:dyDescent="0.3">
      <c r="A26" s="443" t="s">
        <v>437</v>
      </c>
      <c r="B26" s="444" t="s">
        <v>439</v>
      </c>
      <c r="C26" s="445" t="s">
        <v>449</v>
      </c>
      <c r="D26" s="446" t="s">
        <v>450</v>
      </c>
      <c r="E26" s="445" t="s">
        <v>440</v>
      </c>
      <c r="F26" s="446" t="s">
        <v>441</v>
      </c>
      <c r="G26" s="445" t="s">
        <v>453</v>
      </c>
      <c r="H26" s="445" t="s">
        <v>516</v>
      </c>
      <c r="I26" s="445" t="s">
        <v>517</v>
      </c>
      <c r="J26" s="445" t="s">
        <v>518</v>
      </c>
      <c r="K26" s="445" t="s">
        <v>519</v>
      </c>
      <c r="L26" s="447">
        <v>84.57</v>
      </c>
      <c r="M26" s="447">
        <v>10</v>
      </c>
      <c r="N26" s="448">
        <v>845.69999999999993</v>
      </c>
    </row>
    <row r="27" spans="1:14" ht="14.4" customHeight="1" x14ac:dyDescent="0.3">
      <c r="A27" s="443" t="s">
        <v>437</v>
      </c>
      <c r="B27" s="444" t="s">
        <v>439</v>
      </c>
      <c r="C27" s="445" t="s">
        <v>449</v>
      </c>
      <c r="D27" s="446" t="s">
        <v>450</v>
      </c>
      <c r="E27" s="445" t="s">
        <v>440</v>
      </c>
      <c r="F27" s="446" t="s">
        <v>441</v>
      </c>
      <c r="G27" s="445" t="s">
        <v>453</v>
      </c>
      <c r="H27" s="445" t="s">
        <v>520</v>
      </c>
      <c r="I27" s="445" t="s">
        <v>521</v>
      </c>
      <c r="J27" s="445" t="s">
        <v>522</v>
      </c>
      <c r="K27" s="445" t="s">
        <v>523</v>
      </c>
      <c r="L27" s="447">
        <v>170.34</v>
      </c>
      <c r="M27" s="447">
        <v>30</v>
      </c>
      <c r="N27" s="448">
        <v>5110.2</v>
      </c>
    </row>
    <row r="28" spans="1:14" ht="14.4" customHeight="1" x14ac:dyDescent="0.3">
      <c r="A28" s="443" t="s">
        <v>437</v>
      </c>
      <c r="B28" s="444" t="s">
        <v>439</v>
      </c>
      <c r="C28" s="445" t="s">
        <v>449</v>
      </c>
      <c r="D28" s="446" t="s">
        <v>450</v>
      </c>
      <c r="E28" s="445" t="s">
        <v>440</v>
      </c>
      <c r="F28" s="446" t="s">
        <v>441</v>
      </c>
      <c r="G28" s="445" t="s">
        <v>453</v>
      </c>
      <c r="H28" s="445" t="s">
        <v>524</v>
      </c>
      <c r="I28" s="445" t="s">
        <v>525</v>
      </c>
      <c r="J28" s="445" t="s">
        <v>526</v>
      </c>
      <c r="K28" s="445" t="s">
        <v>527</v>
      </c>
      <c r="L28" s="447">
        <v>60.84</v>
      </c>
      <c r="M28" s="447">
        <v>1</v>
      </c>
      <c r="N28" s="448">
        <v>60.84</v>
      </c>
    </row>
    <row r="29" spans="1:14" ht="14.4" customHeight="1" x14ac:dyDescent="0.3">
      <c r="A29" s="443" t="s">
        <v>437</v>
      </c>
      <c r="B29" s="444" t="s">
        <v>439</v>
      </c>
      <c r="C29" s="445" t="s">
        <v>449</v>
      </c>
      <c r="D29" s="446" t="s">
        <v>450</v>
      </c>
      <c r="E29" s="445" t="s">
        <v>440</v>
      </c>
      <c r="F29" s="446" t="s">
        <v>441</v>
      </c>
      <c r="G29" s="445" t="s">
        <v>453</v>
      </c>
      <c r="H29" s="445" t="s">
        <v>528</v>
      </c>
      <c r="I29" s="445" t="s">
        <v>529</v>
      </c>
      <c r="J29" s="445" t="s">
        <v>530</v>
      </c>
      <c r="K29" s="445" t="s">
        <v>531</v>
      </c>
      <c r="L29" s="447">
        <v>54.650148330054101</v>
      </c>
      <c r="M29" s="447">
        <v>1</v>
      </c>
      <c r="N29" s="448">
        <v>54.650148330054101</v>
      </c>
    </row>
    <row r="30" spans="1:14" ht="14.4" customHeight="1" x14ac:dyDescent="0.3">
      <c r="A30" s="443" t="s">
        <v>437</v>
      </c>
      <c r="B30" s="444" t="s">
        <v>439</v>
      </c>
      <c r="C30" s="445" t="s">
        <v>449</v>
      </c>
      <c r="D30" s="446" t="s">
        <v>450</v>
      </c>
      <c r="E30" s="445" t="s">
        <v>440</v>
      </c>
      <c r="F30" s="446" t="s">
        <v>441</v>
      </c>
      <c r="G30" s="445" t="s">
        <v>453</v>
      </c>
      <c r="H30" s="445" t="s">
        <v>532</v>
      </c>
      <c r="I30" s="445" t="s">
        <v>533</v>
      </c>
      <c r="J30" s="445" t="s">
        <v>534</v>
      </c>
      <c r="K30" s="445" t="s">
        <v>535</v>
      </c>
      <c r="L30" s="447">
        <v>107.53</v>
      </c>
      <c r="M30" s="447">
        <v>1</v>
      </c>
      <c r="N30" s="448">
        <v>107.53</v>
      </c>
    </row>
    <row r="31" spans="1:14" ht="14.4" customHeight="1" x14ac:dyDescent="0.3">
      <c r="A31" s="443" t="s">
        <v>437</v>
      </c>
      <c r="B31" s="444" t="s">
        <v>439</v>
      </c>
      <c r="C31" s="445" t="s">
        <v>449</v>
      </c>
      <c r="D31" s="446" t="s">
        <v>450</v>
      </c>
      <c r="E31" s="445" t="s">
        <v>440</v>
      </c>
      <c r="F31" s="446" t="s">
        <v>441</v>
      </c>
      <c r="G31" s="445" t="s">
        <v>453</v>
      </c>
      <c r="H31" s="445" t="s">
        <v>536</v>
      </c>
      <c r="I31" s="445" t="s">
        <v>537</v>
      </c>
      <c r="J31" s="445" t="s">
        <v>538</v>
      </c>
      <c r="K31" s="445" t="s">
        <v>539</v>
      </c>
      <c r="L31" s="447">
        <v>592.29873398452276</v>
      </c>
      <c r="M31" s="447">
        <v>2</v>
      </c>
      <c r="N31" s="448">
        <v>1184.5974679690455</v>
      </c>
    </row>
    <row r="32" spans="1:14" ht="14.4" customHeight="1" x14ac:dyDescent="0.3">
      <c r="A32" s="443" t="s">
        <v>437</v>
      </c>
      <c r="B32" s="444" t="s">
        <v>439</v>
      </c>
      <c r="C32" s="445" t="s">
        <v>449</v>
      </c>
      <c r="D32" s="446" t="s">
        <v>450</v>
      </c>
      <c r="E32" s="445" t="s">
        <v>440</v>
      </c>
      <c r="F32" s="446" t="s">
        <v>441</v>
      </c>
      <c r="G32" s="445" t="s">
        <v>453</v>
      </c>
      <c r="H32" s="445" t="s">
        <v>540</v>
      </c>
      <c r="I32" s="445" t="s">
        <v>541</v>
      </c>
      <c r="J32" s="445" t="s">
        <v>542</v>
      </c>
      <c r="K32" s="445" t="s">
        <v>543</v>
      </c>
      <c r="L32" s="447">
        <v>210.44999999999996</v>
      </c>
      <c r="M32" s="447">
        <v>3</v>
      </c>
      <c r="N32" s="448">
        <v>631.34999999999991</v>
      </c>
    </row>
    <row r="33" spans="1:14" ht="14.4" customHeight="1" x14ac:dyDescent="0.3">
      <c r="A33" s="443" t="s">
        <v>437</v>
      </c>
      <c r="B33" s="444" t="s">
        <v>439</v>
      </c>
      <c r="C33" s="445" t="s">
        <v>449</v>
      </c>
      <c r="D33" s="446" t="s">
        <v>450</v>
      </c>
      <c r="E33" s="445" t="s">
        <v>440</v>
      </c>
      <c r="F33" s="446" t="s">
        <v>441</v>
      </c>
      <c r="G33" s="445" t="s">
        <v>453</v>
      </c>
      <c r="H33" s="445" t="s">
        <v>544</v>
      </c>
      <c r="I33" s="445" t="s">
        <v>197</v>
      </c>
      <c r="J33" s="445" t="s">
        <v>545</v>
      </c>
      <c r="K33" s="445"/>
      <c r="L33" s="447">
        <v>79.054011264061373</v>
      </c>
      <c r="M33" s="447">
        <v>6</v>
      </c>
      <c r="N33" s="448">
        <v>474.32406758436827</v>
      </c>
    </row>
    <row r="34" spans="1:14" ht="14.4" customHeight="1" x14ac:dyDescent="0.3">
      <c r="A34" s="443" t="s">
        <v>437</v>
      </c>
      <c r="B34" s="444" t="s">
        <v>439</v>
      </c>
      <c r="C34" s="445" t="s">
        <v>449</v>
      </c>
      <c r="D34" s="446" t="s">
        <v>450</v>
      </c>
      <c r="E34" s="445" t="s">
        <v>440</v>
      </c>
      <c r="F34" s="446" t="s">
        <v>441</v>
      </c>
      <c r="G34" s="445" t="s">
        <v>453</v>
      </c>
      <c r="H34" s="445" t="s">
        <v>488</v>
      </c>
      <c r="I34" s="445" t="s">
        <v>197</v>
      </c>
      <c r="J34" s="445" t="s">
        <v>489</v>
      </c>
      <c r="K34" s="445"/>
      <c r="L34" s="447">
        <v>143.54910148838383</v>
      </c>
      <c r="M34" s="447">
        <v>2</v>
      </c>
      <c r="N34" s="448">
        <v>287.09820297676765</v>
      </c>
    </row>
    <row r="35" spans="1:14" ht="14.4" customHeight="1" x14ac:dyDescent="0.3">
      <c r="A35" s="443" t="s">
        <v>437</v>
      </c>
      <c r="B35" s="444" t="s">
        <v>439</v>
      </c>
      <c r="C35" s="445" t="s">
        <v>449</v>
      </c>
      <c r="D35" s="446" t="s">
        <v>450</v>
      </c>
      <c r="E35" s="445" t="s">
        <v>440</v>
      </c>
      <c r="F35" s="446" t="s">
        <v>441</v>
      </c>
      <c r="G35" s="445" t="s">
        <v>453</v>
      </c>
      <c r="H35" s="445" t="s">
        <v>546</v>
      </c>
      <c r="I35" s="445" t="s">
        <v>197</v>
      </c>
      <c r="J35" s="445" t="s">
        <v>547</v>
      </c>
      <c r="K35" s="445"/>
      <c r="L35" s="447">
        <v>101.413127714707</v>
      </c>
      <c r="M35" s="447">
        <v>2</v>
      </c>
      <c r="N35" s="448">
        <v>202.826255429414</v>
      </c>
    </row>
    <row r="36" spans="1:14" ht="14.4" customHeight="1" x14ac:dyDescent="0.3">
      <c r="A36" s="443" t="s">
        <v>437</v>
      </c>
      <c r="B36" s="444" t="s">
        <v>439</v>
      </c>
      <c r="C36" s="445" t="s">
        <v>449</v>
      </c>
      <c r="D36" s="446" t="s">
        <v>450</v>
      </c>
      <c r="E36" s="445" t="s">
        <v>440</v>
      </c>
      <c r="F36" s="446" t="s">
        <v>441</v>
      </c>
      <c r="G36" s="445" t="s">
        <v>453</v>
      </c>
      <c r="H36" s="445" t="s">
        <v>548</v>
      </c>
      <c r="I36" s="445" t="s">
        <v>197</v>
      </c>
      <c r="J36" s="445" t="s">
        <v>549</v>
      </c>
      <c r="K36" s="445"/>
      <c r="L36" s="447">
        <v>46.248003629100303</v>
      </c>
      <c r="M36" s="447">
        <v>3</v>
      </c>
      <c r="N36" s="448">
        <v>138.7440108873009</v>
      </c>
    </row>
    <row r="37" spans="1:14" ht="14.4" customHeight="1" x14ac:dyDescent="0.3">
      <c r="A37" s="443" t="s">
        <v>437</v>
      </c>
      <c r="B37" s="444" t="s">
        <v>439</v>
      </c>
      <c r="C37" s="445" t="s">
        <v>449</v>
      </c>
      <c r="D37" s="446" t="s">
        <v>450</v>
      </c>
      <c r="E37" s="445" t="s">
        <v>442</v>
      </c>
      <c r="F37" s="446" t="s">
        <v>443</v>
      </c>
      <c r="G37" s="445" t="s">
        <v>453</v>
      </c>
      <c r="H37" s="445" t="s">
        <v>497</v>
      </c>
      <c r="I37" s="445" t="s">
        <v>498</v>
      </c>
      <c r="J37" s="445" t="s">
        <v>499</v>
      </c>
      <c r="K37" s="445" t="s">
        <v>500</v>
      </c>
      <c r="L37" s="447">
        <v>39.35</v>
      </c>
      <c r="M37" s="447">
        <v>2</v>
      </c>
      <c r="N37" s="448">
        <v>78.7</v>
      </c>
    </row>
    <row r="38" spans="1:14" ht="14.4" customHeight="1" x14ac:dyDescent="0.3">
      <c r="A38" s="443" t="s">
        <v>437</v>
      </c>
      <c r="B38" s="444" t="s">
        <v>439</v>
      </c>
      <c r="C38" s="445" t="s">
        <v>449</v>
      </c>
      <c r="D38" s="446" t="s">
        <v>450</v>
      </c>
      <c r="E38" s="445" t="s">
        <v>442</v>
      </c>
      <c r="F38" s="446" t="s">
        <v>443</v>
      </c>
      <c r="G38" s="445" t="s">
        <v>453</v>
      </c>
      <c r="H38" s="445" t="s">
        <v>501</v>
      </c>
      <c r="I38" s="445" t="s">
        <v>502</v>
      </c>
      <c r="J38" s="445" t="s">
        <v>503</v>
      </c>
      <c r="K38" s="445" t="s">
        <v>504</v>
      </c>
      <c r="L38" s="447">
        <v>66.13</v>
      </c>
      <c r="M38" s="447">
        <v>2</v>
      </c>
      <c r="N38" s="448">
        <v>132.26</v>
      </c>
    </row>
    <row r="39" spans="1:14" ht="14.4" customHeight="1" x14ac:dyDescent="0.3">
      <c r="A39" s="443" t="s">
        <v>437</v>
      </c>
      <c r="B39" s="444" t="s">
        <v>439</v>
      </c>
      <c r="C39" s="445" t="s">
        <v>451</v>
      </c>
      <c r="D39" s="446" t="s">
        <v>452</v>
      </c>
      <c r="E39" s="445" t="s">
        <v>440</v>
      </c>
      <c r="F39" s="446" t="s">
        <v>441</v>
      </c>
      <c r="G39" s="445" t="s">
        <v>453</v>
      </c>
      <c r="H39" s="445" t="s">
        <v>550</v>
      </c>
      <c r="I39" s="445" t="s">
        <v>551</v>
      </c>
      <c r="J39" s="445" t="s">
        <v>552</v>
      </c>
      <c r="K39" s="445" t="s">
        <v>553</v>
      </c>
      <c r="L39" s="447">
        <v>111.19000000000001</v>
      </c>
      <c r="M39" s="447">
        <v>5</v>
      </c>
      <c r="N39" s="448">
        <v>555.95000000000005</v>
      </c>
    </row>
    <row r="40" spans="1:14" ht="14.4" customHeight="1" x14ac:dyDescent="0.3">
      <c r="A40" s="443" t="s">
        <v>437</v>
      </c>
      <c r="B40" s="444" t="s">
        <v>439</v>
      </c>
      <c r="C40" s="445" t="s">
        <v>451</v>
      </c>
      <c r="D40" s="446" t="s">
        <v>452</v>
      </c>
      <c r="E40" s="445" t="s">
        <v>440</v>
      </c>
      <c r="F40" s="446" t="s">
        <v>441</v>
      </c>
      <c r="G40" s="445" t="s">
        <v>453</v>
      </c>
      <c r="H40" s="445" t="s">
        <v>554</v>
      </c>
      <c r="I40" s="445" t="s">
        <v>555</v>
      </c>
      <c r="J40" s="445" t="s">
        <v>556</v>
      </c>
      <c r="K40" s="445" t="s">
        <v>557</v>
      </c>
      <c r="L40" s="447">
        <v>524.75</v>
      </c>
      <c r="M40" s="447">
        <v>2</v>
      </c>
      <c r="N40" s="448">
        <v>1049.5</v>
      </c>
    </row>
    <row r="41" spans="1:14" ht="14.4" customHeight="1" thickBot="1" x14ac:dyDescent="0.35">
      <c r="A41" s="449" t="s">
        <v>437</v>
      </c>
      <c r="B41" s="450" t="s">
        <v>439</v>
      </c>
      <c r="C41" s="451" t="s">
        <v>451</v>
      </c>
      <c r="D41" s="452" t="s">
        <v>452</v>
      </c>
      <c r="E41" s="451" t="s">
        <v>442</v>
      </c>
      <c r="F41" s="452" t="s">
        <v>443</v>
      </c>
      <c r="G41" s="451" t="s">
        <v>453</v>
      </c>
      <c r="H41" s="451" t="s">
        <v>501</v>
      </c>
      <c r="I41" s="451" t="s">
        <v>502</v>
      </c>
      <c r="J41" s="451" t="s">
        <v>503</v>
      </c>
      <c r="K41" s="451" t="s">
        <v>504</v>
      </c>
      <c r="L41" s="453">
        <v>66.13</v>
      </c>
      <c r="M41" s="453">
        <v>2</v>
      </c>
      <c r="N41" s="454">
        <v>132.26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6" customWidth="1"/>
    <col min="2" max="2" width="34.21875" style="136" customWidth="1"/>
    <col min="3" max="3" width="11.109375" style="136" bestFit="1" customWidth="1"/>
    <col min="4" max="4" width="7.33203125" style="136" bestFit="1" customWidth="1"/>
    <col min="5" max="5" width="11.109375" style="136" bestFit="1" customWidth="1"/>
    <col min="6" max="6" width="5.33203125" style="136" customWidth="1"/>
    <col min="7" max="7" width="7.33203125" style="136" bestFit="1" customWidth="1"/>
    <col min="8" max="8" width="5.33203125" style="136" customWidth="1"/>
    <col min="9" max="9" width="11.109375" style="136" customWidth="1"/>
    <col min="10" max="10" width="5.33203125" style="136" customWidth="1"/>
    <col min="11" max="11" width="7.33203125" style="136" customWidth="1"/>
    <col min="12" max="12" width="5.33203125" style="136" customWidth="1"/>
    <col min="13" max="13" width="0" style="136" hidden="1" customWidth="1"/>
    <col min="14" max="16384" width="8.88671875" style="136"/>
  </cols>
  <sheetData>
    <row r="1" spans="1:14" ht="18.600000000000001" customHeight="1" thickBot="1" x14ac:dyDescent="0.4">
      <c r="A1" s="350" t="s">
        <v>146</v>
      </c>
      <c r="B1" s="350"/>
      <c r="C1" s="350"/>
      <c r="D1" s="350"/>
      <c r="E1" s="350"/>
      <c r="F1" s="350"/>
      <c r="G1" s="350"/>
      <c r="H1" s="350"/>
      <c r="I1" s="319"/>
      <c r="J1" s="319"/>
      <c r="K1" s="319"/>
      <c r="L1" s="319"/>
    </row>
    <row r="2" spans="1:14" ht="14.4" customHeight="1" thickBot="1" x14ac:dyDescent="0.35">
      <c r="A2" s="243" t="s">
        <v>249</v>
      </c>
      <c r="B2" s="214"/>
      <c r="C2" s="214"/>
      <c r="D2" s="214"/>
      <c r="E2" s="214"/>
      <c r="F2" s="214"/>
      <c r="G2" s="214"/>
      <c r="H2" s="214"/>
    </row>
    <row r="3" spans="1:14" ht="14.4" customHeight="1" thickBot="1" x14ac:dyDescent="0.35">
      <c r="A3" s="150"/>
      <c r="B3" s="150"/>
      <c r="C3" s="361" t="s">
        <v>18</v>
      </c>
      <c r="D3" s="360"/>
      <c r="E3" s="360" t="s">
        <v>19</v>
      </c>
      <c r="F3" s="360"/>
      <c r="G3" s="360"/>
      <c r="H3" s="360"/>
      <c r="I3" s="360" t="s">
        <v>154</v>
      </c>
      <c r="J3" s="360"/>
      <c r="K3" s="360"/>
      <c r="L3" s="362"/>
    </row>
    <row r="4" spans="1:14" ht="14.4" customHeight="1" thickBot="1" x14ac:dyDescent="0.35">
      <c r="A4" s="81" t="s">
        <v>20</v>
      </c>
      <c r="B4" s="82" t="s">
        <v>21</v>
      </c>
      <c r="C4" s="83" t="s">
        <v>22</v>
      </c>
      <c r="D4" s="83" t="s">
        <v>23</v>
      </c>
      <c r="E4" s="83" t="s">
        <v>22</v>
      </c>
      <c r="F4" s="83" t="s">
        <v>5</v>
      </c>
      <c r="G4" s="83" t="s">
        <v>23</v>
      </c>
      <c r="H4" s="83" t="s">
        <v>5</v>
      </c>
      <c r="I4" s="83" t="s">
        <v>22</v>
      </c>
      <c r="J4" s="83" t="s">
        <v>5</v>
      </c>
      <c r="K4" s="83" t="s">
        <v>23</v>
      </c>
      <c r="L4" s="84" t="s">
        <v>5</v>
      </c>
    </row>
    <row r="5" spans="1:14" ht="14.4" customHeight="1" x14ac:dyDescent="0.3">
      <c r="A5" s="428">
        <v>29</v>
      </c>
      <c r="B5" s="429" t="s">
        <v>439</v>
      </c>
      <c r="C5" s="430">
        <v>106686.95999999999</v>
      </c>
      <c r="D5" s="430">
        <v>303</v>
      </c>
      <c r="E5" s="430">
        <v>66515.070000000007</v>
      </c>
      <c r="F5" s="431">
        <v>0.62346016795304704</v>
      </c>
      <c r="G5" s="430">
        <v>171</v>
      </c>
      <c r="H5" s="431">
        <v>0.5643564356435643</v>
      </c>
      <c r="I5" s="430">
        <v>40171.89</v>
      </c>
      <c r="J5" s="431">
        <v>0.37653983204695307</v>
      </c>
      <c r="K5" s="430">
        <v>132</v>
      </c>
      <c r="L5" s="431">
        <v>0.43564356435643564</v>
      </c>
      <c r="M5" s="430" t="s">
        <v>72</v>
      </c>
      <c r="N5" s="157"/>
    </row>
    <row r="6" spans="1:14" ht="14.4" customHeight="1" x14ac:dyDescent="0.3">
      <c r="A6" s="428">
        <v>29</v>
      </c>
      <c r="B6" s="429" t="s">
        <v>558</v>
      </c>
      <c r="C6" s="430">
        <v>34534.169999999984</v>
      </c>
      <c r="D6" s="430">
        <v>181</v>
      </c>
      <c r="E6" s="430">
        <v>16958.819999999992</v>
      </c>
      <c r="F6" s="431">
        <v>0.49107362360236256</v>
      </c>
      <c r="G6" s="430">
        <v>91</v>
      </c>
      <c r="H6" s="431">
        <v>0.50276243093922657</v>
      </c>
      <c r="I6" s="430">
        <v>17575.349999999995</v>
      </c>
      <c r="J6" s="431">
        <v>0.5089263763976376</v>
      </c>
      <c r="K6" s="430">
        <v>90</v>
      </c>
      <c r="L6" s="431">
        <v>0.49723756906077349</v>
      </c>
      <c r="M6" s="430" t="s">
        <v>2</v>
      </c>
      <c r="N6" s="157"/>
    </row>
    <row r="7" spans="1:14" ht="14.4" customHeight="1" x14ac:dyDescent="0.3">
      <c r="A7" s="428">
        <v>29</v>
      </c>
      <c r="B7" s="429" t="s">
        <v>559</v>
      </c>
      <c r="C7" s="430">
        <v>72152.790000000008</v>
      </c>
      <c r="D7" s="430">
        <v>122</v>
      </c>
      <c r="E7" s="430">
        <v>49556.250000000007</v>
      </c>
      <c r="F7" s="431">
        <v>0.68682375276132779</v>
      </c>
      <c r="G7" s="430">
        <v>80</v>
      </c>
      <c r="H7" s="431">
        <v>0.65573770491803274</v>
      </c>
      <c r="I7" s="430">
        <v>22596.54</v>
      </c>
      <c r="J7" s="431">
        <v>0.31317624723867227</v>
      </c>
      <c r="K7" s="430">
        <v>42</v>
      </c>
      <c r="L7" s="431">
        <v>0.34426229508196721</v>
      </c>
      <c r="M7" s="430" t="s">
        <v>2</v>
      </c>
      <c r="N7" s="157"/>
    </row>
    <row r="8" spans="1:14" ht="14.4" customHeight="1" x14ac:dyDescent="0.3">
      <c r="A8" s="428" t="s">
        <v>437</v>
      </c>
      <c r="B8" s="429" t="s">
        <v>6</v>
      </c>
      <c r="C8" s="430">
        <v>106686.95999999999</v>
      </c>
      <c r="D8" s="430">
        <v>303</v>
      </c>
      <c r="E8" s="430">
        <v>66515.070000000007</v>
      </c>
      <c r="F8" s="431">
        <v>0.62346016795304704</v>
      </c>
      <c r="G8" s="430">
        <v>171</v>
      </c>
      <c r="H8" s="431">
        <v>0.5643564356435643</v>
      </c>
      <c r="I8" s="430">
        <v>40171.89</v>
      </c>
      <c r="J8" s="431">
        <v>0.37653983204695307</v>
      </c>
      <c r="K8" s="430">
        <v>132</v>
      </c>
      <c r="L8" s="431">
        <v>0.43564356435643564</v>
      </c>
      <c r="M8" s="430" t="s">
        <v>444</v>
      </c>
      <c r="N8" s="157"/>
    </row>
    <row r="10" spans="1:14" ht="14.4" customHeight="1" x14ac:dyDescent="0.3">
      <c r="A10" s="428">
        <v>29</v>
      </c>
      <c r="B10" s="429" t="s">
        <v>439</v>
      </c>
      <c r="C10" s="430" t="s">
        <v>438</v>
      </c>
      <c r="D10" s="430" t="s">
        <v>438</v>
      </c>
      <c r="E10" s="430" t="s">
        <v>438</v>
      </c>
      <c r="F10" s="431" t="s">
        <v>438</v>
      </c>
      <c r="G10" s="430" t="s">
        <v>438</v>
      </c>
      <c r="H10" s="431" t="s">
        <v>438</v>
      </c>
      <c r="I10" s="430" t="s">
        <v>438</v>
      </c>
      <c r="J10" s="431" t="s">
        <v>438</v>
      </c>
      <c r="K10" s="430" t="s">
        <v>438</v>
      </c>
      <c r="L10" s="431" t="s">
        <v>438</v>
      </c>
      <c r="M10" s="430" t="s">
        <v>72</v>
      </c>
      <c r="N10" s="157"/>
    </row>
    <row r="11" spans="1:14" ht="14.4" customHeight="1" x14ac:dyDescent="0.3">
      <c r="A11" s="428">
        <v>89301292</v>
      </c>
      <c r="B11" s="429" t="s">
        <v>558</v>
      </c>
      <c r="C11" s="430">
        <v>34534.169999999984</v>
      </c>
      <c r="D11" s="430">
        <v>181</v>
      </c>
      <c r="E11" s="430">
        <v>16958.819999999992</v>
      </c>
      <c r="F11" s="431">
        <v>0.49107362360236256</v>
      </c>
      <c r="G11" s="430">
        <v>91</v>
      </c>
      <c r="H11" s="431">
        <v>0.50276243093922657</v>
      </c>
      <c r="I11" s="430">
        <v>17575.349999999995</v>
      </c>
      <c r="J11" s="431">
        <v>0.5089263763976376</v>
      </c>
      <c r="K11" s="430">
        <v>90</v>
      </c>
      <c r="L11" s="431">
        <v>0.49723756906077349</v>
      </c>
      <c r="M11" s="430" t="s">
        <v>2</v>
      </c>
      <c r="N11" s="157"/>
    </row>
    <row r="12" spans="1:14" ht="14.4" customHeight="1" x14ac:dyDescent="0.3">
      <c r="A12" s="428">
        <v>89301292</v>
      </c>
      <c r="B12" s="429" t="s">
        <v>559</v>
      </c>
      <c r="C12" s="430">
        <v>72152.790000000008</v>
      </c>
      <c r="D12" s="430">
        <v>122</v>
      </c>
      <c r="E12" s="430">
        <v>49556.250000000007</v>
      </c>
      <c r="F12" s="431">
        <v>0.68682375276132779</v>
      </c>
      <c r="G12" s="430">
        <v>80</v>
      </c>
      <c r="H12" s="431">
        <v>0.65573770491803274</v>
      </c>
      <c r="I12" s="430">
        <v>22596.54</v>
      </c>
      <c r="J12" s="431">
        <v>0.31317624723867227</v>
      </c>
      <c r="K12" s="430">
        <v>42</v>
      </c>
      <c r="L12" s="431">
        <v>0.34426229508196721</v>
      </c>
      <c r="M12" s="430" t="s">
        <v>2</v>
      </c>
      <c r="N12" s="157"/>
    </row>
    <row r="13" spans="1:14" ht="14.4" customHeight="1" x14ac:dyDescent="0.3">
      <c r="A13" s="428" t="s">
        <v>560</v>
      </c>
      <c r="B13" s="429" t="s">
        <v>561</v>
      </c>
      <c r="C13" s="430">
        <v>106686.95999999999</v>
      </c>
      <c r="D13" s="430">
        <v>303</v>
      </c>
      <c r="E13" s="430">
        <v>66515.070000000007</v>
      </c>
      <c r="F13" s="431">
        <v>0.62346016795304704</v>
      </c>
      <c r="G13" s="430">
        <v>171</v>
      </c>
      <c r="H13" s="431">
        <v>0.5643564356435643</v>
      </c>
      <c r="I13" s="430">
        <v>40171.89</v>
      </c>
      <c r="J13" s="431">
        <v>0.37653983204695307</v>
      </c>
      <c r="K13" s="430">
        <v>132</v>
      </c>
      <c r="L13" s="431">
        <v>0.43564356435643564</v>
      </c>
      <c r="M13" s="430" t="s">
        <v>447</v>
      </c>
      <c r="N13" s="157"/>
    </row>
    <row r="14" spans="1:14" ht="14.4" customHeight="1" x14ac:dyDescent="0.3">
      <c r="A14" s="428" t="s">
        <v>438</v>
      </c>
      <c r="B14" s="429" t="s">
        <v>438</v>
      </c>
      <c r="C14" s="430" t="s">
        <v>438</v>
      </c>
      <c r="D14" s="430" t="s">
        <v>438</v>
      </c>
      <c r="E14" s="430" t="s">
        <v>438</v>
      </c>
      <c r="F14" s="431" t="s">
        <v>438</v>
      </c>
      <c r="G14" s="430" t="s">
        <v>438</v>
      </c>
      <c r="H14" s="431" t="s">
        <v>438</v>
      </c>
      <c r="I14" s="430" t="s">
        <v>438</v>
      </c>
      <c r="J14" s="431" t="s">
        <v>438</v>
      </c>
      <c r="K14" s="430" t="s">
        <v>438</v>
      </c>
      <c r="L14" s="431" t="s">
        <v>438</v>
      </c>
      <c r="M14" s="430" t="s">
        <v>448</v>
      </c>
      <c r="N14" s="157"/>
    </row>
    <row r="15" spans="1:14" ht="14.4" customHeight="1" x14ac:dyDescent="0.3">
      <c r="A15" s="428" t="s">
        <v>437</v>
      </c>
      <c r="B15" s="429" t="s">
        <v>562</v>
      </c>
      <c r="C15" s="430">
        <v>106686.95999999999</v>
      </c>
      <c r="D15" s="430">
        <v>303</v>
      </c>
      <c r="E15" s="430">
        <v>66515.070000000007</v>
      </c>
      <c r="F15" s="431">
        <v>0.62346016795304704</v>
      </c>
      <c r="G15" s="430">
        <v>171</v>
      </c>
      <c r="H15" s="431">
        <v>0.5643564356435643</v>
      </c>
      <c r="I15" s="430">
        <v>40171.89</v>
      </c>
      <c r="J15" s="431">
        <v>0.37653983204695307</v>
      </c>
      <c r="K15" s="430">
        <v>132</v>
      </c>
      <c r="L15" s="431">
        <v>0.43564356435643564</v>
      </c>
      <c r="M15" s="430" t="s">
        <v>444</v>
      </c>
      <c r="N15" s="157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31" priority="15" stopIfTrue="1" operator="lessThan">
      <formula>0.6</formula>
    </cfRule>
  </conditionalFormatting>
  <conditionalFormatting sqref="B5:B8">
    <cfRule type="expression" dxfId="30" priority="10">
      <formula>AND(LEFT(M5,6)&lt;&gt;"mezera",M5&lt;&gt;"")</formula>
    </cfRule>
  </conditionalFormatting>
  <conditionalFormatting sqref="A5:A8">
    <cfRule type="expression" dxfId="29" priority="8">
      <formula>AND(M5&lt;&gt;"",M5&lt;&gt;"mezeraKL")</formula>
    </cfRule>
  </conditionalFormatting>
  <conditionalFormatting sqref="F5:F8">
    <cfRule type="cellIs" dxfId="28" priority="7" operator="lessThan">
      <formula>0.6</formula>
    </cfRule>
  </conditionalFormatting>
  <conditionalFormatting sqref="B5:L8">
    <cfRule type="expression" dxfId="27" priority="9">
      <formula>OR($M5="KL",$M5="SumaKL")</formula>
    </cfRule>
    <cfRule type="expression" dxfId="26" priority="11">
      <formula>$M5="SumaNS"</formula>
    </cfRule>
  </conditionalFormatting>
  <conditionalFormatting sqref="A5:L8">
    <cfRule type="expression" dxfId="25" priority="12">
      <formula>$M5&lt;&gt;""</formula>
    </cfRule>
  </conditionalFormatting>
  <conditionalFormatting sqref="B10:B15">
    <cfRule type="expression" dxfId="24" priority="4">
      <formula>AND(LEFT(M10,6)&lt;&gt;"mezera",M10&lt;&gt;"")</formula>
    </cfRule>
  </conditionalFormatting>
  <conditionalFormatting sqref="A10:A15">
    <cfRule type="expression" dxfId="23" priority="2">
      <formula>AND(M10&lt;&gt;"",M10&lt;&gt;"mezeraKL")</formula>
    </cfRule>
  </conditionalFormatting>
  <conditionalFormatting sqref="F10:F15">
    <cfRule type="cellIs" dxfId="22" priority="1" operator="lessThan">
      <formula>0.6</formula>
    </cfRule>
  </conditionalFormatting>
  <conditionalFormatting sqref="B10:L15">
    <cfRule type="expression" dxfId="21" priority="3">
      <formula>OR($M10="KL",$M10="SumaKL")</formula>
    </cfRule>
    <cfRule type="expression" dxfId="20" priority="5">
      <formula>$M10="SumaNS"</formula>
    </cfRule>
  </conditionalFormatting>
  <conditionalFormatting sqref="A10:L15">
    <cfRule type="expression" dxfId="1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2014-03-27T10:27:32Z</dcterms:modified>
</cp:coreProperties>
</file>