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  <sheet name="ZV Vyžád." sheetId="342" r:id="rId24"/>
    <sheet name="ZV Vyžád. Detail" sheetId="343" r:id="rId25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Detail'!$A$5:$P$5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_xlnm._FilterDatabase" localSheetId="23" hidden="1">'ZV Vyžád.'!$A$5:$M$5</definedName>
    <definedName name="_xlnm._FilterDatabase" localSheetId="24" hidden="1">'ZV Vyžád.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M23" i="419" l="1"/>
  <c r="U23" i="419"/>
  <c r="J23" i="419"/>
  <c r="N23" i="419"/>
  <c r="R23" i="419"/>
  <c r="Z23" i="419"/>
  <c r="AD23" i="419"/>
  <c r="AC23" i="419"/>
  <c r="N22" i="419"/>
  <c r="AD22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E18" i="419" s="1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23" i="419" l="1"/>
  <c r="D18" i="419"/>
  <c r="G18" i="419"/>
  <c r="C18" i="419"/>
  <c r="F18" i="419"/>
  <c r="C23" i="419"/>
  <c r="F23" i="419"/>
  <c r="E22" i="419"/>
  <c r="D23" i="419"/>
  <c r="G23" i="419"/>
  <c r="B21" i="419"/>
  <c r="B22" i="419" l="1"/>
  <c r="A25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D6" i="419"/>
  <c r="R6" i="419"/>
  <c r="AF6" i="419"/>
  <c r="AB6" i="419"/>
  <c r="X6" i="419"/>
  <c r="T6" i="419"/>
  <c r="P6" i="419"/>
  <c r="L6" i="419"/>
  <c r="H6" i="419"/>
  <c r="K6" i="419"/>
  <c r="V6" i="419"/>
  <c r="J6" i="419"/>
  <c r="AH6" i="419"/>
  <c r="AE6" i="419"/>
  <c r="AA6" i="419"/>
  <c r="W6" i="419"/>
  <c r="S6" i="419"/>
  <c r="O6" i="419"/>
  <c r="Z6" i="419"/>
  <c r="N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22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2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7" i="414"/>
  <c r="A15" i="414"/>
  <c r="A4" i="414"/>
  <c r="A6" i="339" l="1"/>
  <c r="A5" i="339"/>
  <c r="D4" i="414"/>
  <c r="D15" i="414"/>
  <c r="C15" i="414"/>
  <c r="C18" i="414"/>
  <c r="D18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N3" i="220"/>
  <c r="L3" i="220" s="1"/>
  <c r="C21" i="414"/>
  <c r="D21" i="414"/>
  <c r="H3" i="390" l="1"/>
  <c r="U3" i="347"/>
  <c r="Q3" i="347"/>
  <c r="C22" i="414"/>
  <c r="E22" i="414" s="1"/>
  <c r="F13" i="339"/>
  <c r="E13" i="339"/>
  <c r="E15" i="339" s="1"/>
  <c r="H12" i="339"/>
  <c r="G12" i="339"/>
  <c r="K3" i="390"/>
  <c r="A4" i="383"/>
  <c r="A30" i="383"/>
  <c r="A29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D17" i="414"/>
  <c r="C4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<sst xmlns="http://schemas.openxmlformats.org/spreadsheetml/2006/main" count="6214" uniqueCount="1577">
  <si>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</si>
  <si>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</si>
  <si>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</si>
  <si>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</si>
  <si>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</si>
  <si>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</si>
  <si>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</si>
  <si>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</si>
  <si>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</si>
  <si>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</si>
  <si>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</si>
  <si>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</si>
  <si>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</si>
  <si>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</si>
  <si>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</si>
  <si>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</si>
  <si>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</si>
  <si>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</si>
  <si>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</si>
  <si>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</si>
  <si>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</si>
  <si>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</si>
  <si>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</si>
  <si>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</si>
  <si>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</si>
  <si>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</si>
  <si>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</si>
  <si>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</si>
  <si>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</si>
  <si>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</si>
  <si>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</si>
  <si>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</si>
  <si>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</si>
  <si>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</si>
  <si>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</si>
  <si>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</si>
  <si>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</si>
  <si>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</si>
  <si>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</si>
  <si>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</si>
  <si>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</si>
  <si>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</si>
  <si>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</si>
  <si>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</si>
  <si>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</si>
  <si>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</si>
  <si>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</si>
  <si>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</si>
  <si>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</si>
  <si>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</si>
  <si>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</si>
  <si>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</si>
  <si>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</si>
  <si>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</si>
  <si>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</si>
  <si>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</si>
  <si>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</si>
  <si>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</si>
  <si>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</si>
  <si>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</si>
  <si>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</si>
  <si>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</si>
  <si>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</si>
  <si>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</si>
  <si>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</si>
  <si>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</si>
  <si>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</si>
  <si>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</si>
  <si>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</si>
  <si>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</si>
  <si>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</si>
  <si>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</si>
  <si>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</si>
  <si>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</si>
  <si>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</si>
  <si>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</si>
  <si>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</si>
  <si>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</si>
  <si>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</si>
  <si>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</si>
  <si>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</si>
  <si>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</si>
  <si>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</si>
  <si>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</si>
  <si>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</si>
  <si>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</si>
  <si>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</si>
  <si>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</si>
  <si>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</si>
  <si>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</si>
  <si>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</si>
  <si>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</si>
  <si>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</si>
  <si>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</si>
  <si>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</si>
  <si>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</si>
  <si>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</si>
  <si>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</si>
  <si>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</si>
  <si>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</si>
  <si>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</si>
  <si>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</si>
  <si>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</si>
  <si>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</si>
  <si>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</si>
  <si>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</si>
  <si>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</si>
  <si>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</si>
  <si>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</si>
  <si>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</si>
  <si>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</si>
  <si>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</si>
  <si>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</si>
  <si>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</si>
  <si>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</si>
  <si>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</si>
  <si>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</si>
  <si>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</si>
  <si>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</si>
  <si>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</si>
  <si>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</si>
  <si>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</si>
  <si>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</si>
  <si>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</si>
  <si>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</si>
  <si>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</si>
  <si>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</si>
  <si>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</si>
  <si>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</si>
  <si>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</si>
  <si>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</si>
  <si>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</si>
  <si>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</si>
  <si>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</si>
  <si>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</si>
  <si>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</si>
  <si>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</si>
  <si>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</si>
  <si>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</si>
  <si>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</si>
  <si>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</si>
  <si>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</si>
  <si>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</si>
  <si>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</si>
  <si>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</si>
  <si>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</si>
  <si>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</si>
  <si>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</si>
  <si>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</si>
  <si>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</si>
  <si>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</si>
  <si>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</si>
  <si>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</si>
  <si>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</si>
  <si>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</si>
  <si>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</si>
  <si>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</si>
  <si>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</si>
  <si>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</si>
  <si>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</si>
  <si>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</si>
  <si>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</si>
  <si>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</si>
  <si>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</si>
  <si>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</si>
  <si>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</si>
  <si>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</si>
  <si>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</si>
  <si>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</si>
  <si>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</si>
  <si>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</si>
  <si>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</si>
  <si>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</si>
  <si>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</si>
  <si>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</si>
  <si>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</si>
  <si>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</si>
  <si>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</si>
  <si>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</si>
  <si>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</si>
  <si>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</si>
  <si>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</si>
  <si>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</si>
  <si>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</si>
  <si>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</si>
  <si>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</si>
  <si>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</si>
  <si>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</si>
  <si>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</si>
  <si>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</si>
  <si>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</si>
  <si>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</si>
  <si>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</si>
  <si>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</si>
  <si>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</si>
  <si>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</si>
  <si>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</si>
  <si>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</si>
  <si>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</si>
  <si>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</si>
  <si>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</si>
  <si>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</si>
  <si>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</si>
  <si>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</si>
  <si>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</si>
  <si>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</si>
  <si>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</si>
  <si>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</si>
  <si>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</si>
  <si>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</si>
  <si>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</si>
  <si>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</si>
  <si>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</si>
  <si>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</si>
  <si>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</si>
  <si>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</si>
  <si>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</si>
  <si>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</si>
  <si>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</si>
  <si>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</si>
  <si>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</si>
  <si>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</si>
  <si>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</si>
  <si>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</si>
  <si>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</si>
  <si>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</si>
  <si>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</si>
  <si>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</si>
  <si>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</si>
  <si>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</si>
  <si>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</si>
  <si>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</si>
  <si>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</si>
  <si>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</si>
  <si>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</si>
  <si>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</si>
  <si>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</si>
  <si>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</si>
  <si>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</si>
  <si>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</si>
  <si>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</si>
  <si>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</si>
  <si>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</si>
  <si>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</si>
  <si>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</si>
  <si>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</si>
  <si>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</si>
  <si>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</si>
  <si>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</si>
  <si>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</si>
  <si>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</si>
  <si>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</si>
  <si>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</si>
  <si>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</si>
  <si>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</si>
  <si>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</si>
  <si>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</si>
  <si>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</si>
  <si>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</si>
  <si>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</si>
  <si>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</si>
  <si>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</si>
  <si>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</si>
  <si>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</si>
  <si>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</si>
  <si>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</si>
  <si>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</si>
  <si>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</si>
  <si>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</si>
  <si>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</si>
  <si>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</si>
  <si>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</si>
  <si>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</si>
  <si>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</si>
  <si>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</si>
  <si>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</si>
  <si>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</si>
  <si>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</si>
  <si>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</si>
  <si>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</si>
  <si>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</si>
  <si>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</si>
  <si>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</si>
  <si>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</si>
  <si>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</si>
  <si>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</si>
  <si>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</si>
  <si>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</si>
  <si>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</si>
  <si>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</si>
  <si>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</si>
  <si>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</si>
  <si>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</si>
  <si>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50115004     implant.umělé těl.náhr.-kovové (s.Z_506)</t>
  </si>
  <si>
    <t>50115008     implant.-plastická, estetická chirurgie (sk.Z_521)</t>
  </si>
  <si>
    <t>50115011     implant.umělé těl.náhr.-ostat.nákl.PZT(s.Z_515)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</si>
  <si>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</si>
  <si>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</si>
  <si>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</si>
  <si>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</si>
  <si>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</si>
  <si>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</si>
  <si>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</si>
  <si>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50115080     ostatní ZPr - staplery, extraktory (sk.Z_523)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</si>
  <si>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</si>
  <si>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</si>
  <si>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</si>
  <si>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</si>
  <si>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</si>
  <si>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</si>
  <si>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</si>
  <si>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</si>
  <si>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--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</si>
  <si>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</si>
  <si>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</si>
  <si>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</si>
  <si>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</si>
  <si>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</si>
  <si>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</si>
  <si>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</si>
  <si>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</si>
  <si>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</si>
  <si>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</si>
  <si>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</si>
  <si>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</si>
  <si>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</si>
  <si>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</si>
  <si>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</si>
  <si>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</si>
  <si>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</si>
  <si>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</si>
  <si>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</si>
  <si>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</si>
  <si>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</si>
  <si>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</si>
  <si>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</si>
  <si>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</si>
  <si>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</si>
  <si>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</si>
  <si>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</si>
  <si>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</si>
  <si>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</si>
  <si>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</si>
  <si>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</si>
  <si>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</si>
  <si>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</si>
  <si>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</si>
  <si>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</si>
  <si>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</si>
  <si>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</si>
  <si>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</si>
  <si>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</si>
  <si>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</si>
  <si>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</si>
  <si>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</si>
  <si>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</si>
  <si>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</si>
  <si>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</si>
  <si>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</si>
  <si>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</si>
  <si>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</si>
  <si>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</si>
  <si>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</si>
  <si>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</si>
  <si>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</si>
  <si>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</si>
  <si>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</si>
  <si>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</si>
  <si>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</si>
  <si>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</si>
  <si>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</si>
  <si>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</si>
  <si>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</si>
  <si>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</si>
  <si>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</si>
  <si>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</si>
  <si>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</si>
  <si>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</si>
  <si>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</si>
  <si>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</si>
  <si>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</si>
  <si>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</si>
  <si>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</si>
  <si>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</si>
  <si>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</si>
  <si>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</si>
  <si>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</si>
  <si>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</si>
  <si>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</si>
  <si>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</si>
  <si>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</si>
  <si>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</si>
  <si>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</si>
  <si>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</si>
  <si>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</si>
  <si>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</si>
  <si>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</si>
  <si>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</si>
  <si>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</si>
  <si>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</si>
  <si>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</si>
  <si>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</si>
  <si>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</si>
  <si>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</si>
  <si>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</si>
  <si>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</si>
  <si>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</si>
  <si>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</si>
  <si>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</si>
  <si>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</si>
  <si>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</si>
  <si>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</si>
  <si>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</si>
  <si>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</si>
  <si>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</si>
  <si>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</si>
  <si>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</si>
  <si>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</si>
  <si>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</si>
  <si>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</si>
  <si>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</si>
  <si>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</si>
  <si>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</si>
  <si>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</si>
  <si>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</si>
  <si>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</si>
  <si>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</si>
  <si>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</si>
  <si>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</si>
  <si>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</si>
  <si>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</si>
  <si>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</si>
  <si>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</si>
  <si>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</si>
  <si>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</si>
  <si>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</si>
  <si>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</si>
  <si>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</si>
  <si>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</si>
  <si>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</si>
  <si>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</si>
  <si>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</si>
  <si>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</si>
  <si>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</si>
  <si>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</si>
  <si>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</si>
  <si>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</si>
  <si>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</si>
  <si>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</si>
  <si>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</si>
  <si>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</si>
  <si>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</si>
  <si>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</si>
  <si>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</si>
  <si>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</si>
  <si>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</si>
  <si>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</si>
  <si>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</si>
  <si>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</si>
  <si>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</si>
  <si>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</si>
  <si>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</si>
  <si>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Oddělení plastické a estetické chirurgie</t>
  </si>
  <si>
    <t/>
  </si>
  <si>
    <t>50113190     medicinální plyny</t>
  </si>
  <si>
    <t>Oddělení plastické a estetické chirurgie Celkem</t>
  </si>
  <si>
    <t>SumaKL</t>
  </si>
  <si>
    <t>2921</t>
  </si>
  <si>
    <t>ambulance</t>
  </si>
  <si>
    <t>ambulance Celkem</t>
  </si>
  <si>
    <t>SumaNS</t>
  </si>
  <si>
    <t>mezeraNS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</si>
  <si>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</si>
  <si>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</si>
  <si>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</si>
  <si>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</si>
  <si>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</si>
  <si>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</si>
  <si>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</si>
  <si>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</si>
  <si>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100502</t>
  </si>
  <si>
    <t>502</t>
  </si>
  <si>
    <t>MESOCAIN</t>
  </si>
  <si>
    <t>INJ 10X10ML 1%</t>
  </si>
  <si>
    <t>162316</t>
  </si>
  <si>
    <t>62316</t>
  </si>
  <si>
    <t>BETADINE - zelená</t>
  </si>
  <si>
    <t>LIQ 1X120ML</t>
  </si>
  <si>
    <t>395997</t>
  </si>
  <si>
    <t>DZ SOFTASEPT N BEZBARVÝ 250 ml</t>
  </si>
  <si>
    <t>905098</t>
  </si>
  <si>
    <t>23989</t>
  </si>
  <si>
    <t>DZ OCTENISEPT 1 l</t>
  </si>
  <si>
    <t>930065</t>
  </si>
  <si>
    <t>DZ PRONTOSAN ROZTOK 350ml</t>
  </si>
  <si>
    <t>905022</t>
  </si>
  <si>
    <t>DZ Prontosan wound gel 30ml</t>
  </si>
  <si>
    <t>162317</t>
  </si>
  <si>
    <t>62317</t>
  </si>
  <si>
    <t>LIQ 1X1000ML</t>
  </si>
  <si>
    <t>900321</t>
  </si>
  <si>
    <t>KL PRIPRAVEK</t>
  </si>
  <si>
    <t>16321</t>
  </si>
  <si>
    <t>BRAUNOVIDON MAST</t>
  </si>
  <si>
    <t>DRM UNG 1X250GM</t>
  </si>
  <si>
    <t>116320</t>
  </si>
  <si>
    <t>16320</t>
  </si>
  <si>
    <t>UNG 1X100GM-TUBA</t>
  </si>
  <si>
    <t>900511</t>
  </si>
  <si>
    <t>KL SOL.ACIDI BORICI 3%,200G</t>
  </si>
  <si>
    <t>921184</t>
  </si>
  <si>
    <t>KL UNGUENTUM</t>
  </si>
  <si>
    <t>102439</t>
  </si>
  <si>
    <t>2439</t>
  </si>
  <si>
    <t>MARCAINE 0.5%</t>
  </si>
  <si>
    <t>INJ SOL5X20ML/100MG</t>
  </si>
  <si>
    <t>900552</t>
  </si>
  <si>
    <t>KL SOL.ACIDI BORICI 3%,250G</t>
  </si>
  <si>
    <t>920060</t>
  </si>
  <si>
    <t>KL SOL.ARG.NITR.20% 10G</t>
  </si>
  <si>
    <t>930043</t>
  </si>
  <si>
    <t>DZ TRIXO LIND 100 ml</t>
  </si>
  <si>
    <t>900012</t>
  </si>
  <si>
    <t>KL SOL.HYD.PEROX.3% 200G</t>
  </si>
  <si>
    <t>500326</t>
  </si>
  <si>
    <t>1000</t>
  </si>
  <si>
    <t>KL BENZINUM 500 ml/333g HVLP</t>
  </si>
  <si>
    <t>920376</t>
  </si>
  <si>
    <t>KL SOL.HYD.PEROX.3% 200G v sirokohrdle lahvi</t>
  </si>
  <si>
    <t>849533</t>
  </si>
  <si>
    <t>Cicatridina mast 30g</t>
  </si>
  <si>
    <t>382090</t>
  </si>
  <si>
    <t>82090</t>
  </si>
  <si>
    <t>KRYTÍ S HYALURONANEM  BIONECT KRÉM</t>
  </si>
  <si>
    <t>30G, 1KS</t>
  </si>
  <si>
    <t>20033</t>
  </si>
  <si>
    <t>AETHOXYSKLEROL 1%</t>
  </si>
  <si>
    <t>INJ SOL 5X2ML</t>
  </si>
  <si>
    <t>395712</t>
  </si>
  <si>
    <t>HBF Calcium panthotenát mast 30g</t>
  </si>
  <si>
    <t>380716</t>
  </si>
  <si>
    <t>717702</t>
  </si>
  <si>
    <t>FLAMIGEL  50 ML     FLAM50 HYDR</t>
  </si>
  <si>
    <t>OKOLOIDNI GEL PRO L</t>
  </si>
  <si>
    <t>921057</t>
  </si>
  <si>
    <t>KL CREMOR UREA,NEOAQ.,HEL.OL.,AQ.,100G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</si>
  <si>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</si>
  <si>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</si>
  <si>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</si>
  <si>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</si>
  <si>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</si>
  <si>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</si>
  <si>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</si>
  <si>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</si>
  <si>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</si>
  <si>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190778</t>
  </si>
  <si>
    <t>90778</t>
  </si>
  <si>
    <t>BACTROBAN</t>
  </si>
  <si>
    <t>DRM UNG 1X15GM</t>
  </si>
  <si>
    <t>114877</t>
  </si>
  <si>
    <t>14877</t>
  </si>
  <si>
    <t>IALUGEN PLUS</t>
  </si>
  <si>
    <t>CRM 1X60GM</t>
  </si>
  <si>
    <t>100362</t>
  </si>
  <si>
    <t>362</t>
  </si>
  <si>
    <t>ADRENALIN LECIVA</t>
  </si>
  <si>
    <t>INJ 5X1ML/1MG</t>
  </si>
  <si>
    <t>193109</t>
  </si>
  <si>
    <t>93109</t>
  </si>
  <si>
    <t>SUPRACAIN 4%</t>
  </si>
  <si>
    <t>INJ 10X2ML</t>
  </si>
  <si>
    <t>198864</t>
  </si>
  <si>
    <t>98864</t>
  </si>
  <si>
    <t>FYZIOLOGICKÝ ROZTOK VIAFLO</t>
  </si>
  <si>
    <t>INF SOL 50X100ML</t>
  </si>
  <si>
    <t>920200</t>
  </si>
  <si>
    <t>15877</t>
  </si>
  <si>
    <t>DZ BRAUNOL 1 L</t>
  </si>
  <si>
    <t>920120</t>
  </si>
  <si>
    <t>KL SOL.FORMALDEHYDI 10% 5 KG</t>
  </si>
  <si>
    <t>UN 2209</t>
  </si>
  <si>
    <t>500194</t>
  </si>
  <si>
    <t>KL ZLUTA (FLAVINOVA) VATA, 1000G</t>
  </si>
  <si>
    <t>2x500g v litrových lahvích</t>
  </si>
  <si>
    <t>397339</t>
  </si>
  <si>
    <t>Menalind mycí žínky</t>
  </si>
  <si>
    <t>8ks</t>
  </si>
  <si>
    <t>114875</t>
  </si>
  <si>
    <t>14875</t>
  </si>
  <si>
    <t>CRM 1X20GM</t>
  </si>
  <si>
    <t>850152</t>
  </si>
  <si>
    <t>153349</t>
  </si>
  <si>
    <t>Tisseel Lyo 2 ml</t>
  </si>
  <si>
    <t>PCHIR - ambulance</t>
  </si>
  <si>
    <t>PCHIR - operační sál lokální</t>
  </si>
  <si>
    <t>PCHIR, pracoviště COS</t>
  </si>
  <si>
    <t>Lékárna - léčiva</t>
  </si>
  <si>
    <t>Lékárna - antibiotika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</si>
  <si>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</si>
  <si>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</si>
  <si>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</si>
  <si>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</si>
  <si>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</si>
  <si>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IPLP</t>
  </si>
  <si>
    <t>PZT</t>
  </si>
  <si>
    <t>89301292</t>
  </si>
  <si>
    <t>Všeobecná ambulance Celkem</t>
  </si>
  <si>
    <t>Christodoulou Petros</t>
  </si>
  <si>
    <t>Lysák Radek</t>
  </si>
  <si>
    <t>Stehlík Daniel</t>
  </si>
  <si>
    <t>Šilhánková Jiřina</t>
  </si>
  <si>
    <t>Zálešák Bohumil</t>
  </si>
  <si>
    <t>Vaněčková Lucie</t>
  </si>
  <si>
    <t>Podkalská Sommerová Kamila</t>
  </si>
  <si>
    <t>Amoxicilin a enzymový inhibitor</t>
  </si>
  <si>
    <t>5951</t>
  </si>
  <si>
    <t>AMOKSIKLAV 1 G</t>
  </si>
  <si>
    <t>POR TBL FLM 14</t>
  </si>
  <si>
    <t>Betamethason</t>
  </si>
  <si>
    <t>89870</t>
  </si>
  <si>
    <t>DIPROPHOS</t>
  </si>
  <si>
    <t>INJ SUS 1X1ML/7MG</t>
  </si>
  <si>
    <t>Hořčík (různé sole v kombinaci)</t>
  </si>
  <si>
    <t>66555</t>
  </si>
  <si>
    <t>MAGNOSOLV</t>
  </si>
  <si>
    <t>POR GRA SOL SCC 30X365MG</t>
  </si>
  <si>
    <t>Jiná</t>
  </si>
  <si>
    <t>78047</t>
  </si>
  <si>
    <t>Jiný</t>
  </si>
  <si>
    <t>Jiná antibiotika pro lokální aplikaci</t>
  </si>
  <si>
    <t>DRM UNG 10GM</t>
  </si>
  <si>
    <t>Jiná antiinfektiva</t>
  </si>
  <si>
    <t>802</t>
  </si>
  <si>
    <t>OPHTHALMO-SEPTONEX</t>
  </si>
  <si>
    <t>OPH GTT SOL 1X10ML SKLO</t>
  </si>
  <si>
    <t>Jodovaný povidon</t>
  </si>
  <si>
    <t>16319</t>
  </si>
  <si>
    <t>DRM UNG 1X20GM</t>
  </si>
  <si>
    <t>Klindamycin</t>
  </si>
  <si>
    <t>100339</t>
  </si>
  <si>
    <t>DALACIN C 300 MG</t>
  </si>
  <si>
    <t>POR CPS DUR 16X300MG</t>
  </si>
  <si>
    <t>Kombinace různých antibiotik</t>
  </si>
  <si>
    <t>OPH UNG 1X5GM</t>
  </si>
  <si>
    <t>Mupirocin</t>
  </si>
  <si>
    <t>Nadroparin</t>
  </si>
  <si>
    <t>32058</t>
  </si>
  <si>
    <t>FRAXIPARINE</t>
  </si>
  <si>
    <t>INJ SOL 10X0.3ML</t>
  </si>
  <si>
    <t>32059</t>
  </si>
  <si>
    <t>INJ SOL 10X0.4ML</t>
  </si>
  <si>
    <t>Naftidrofuryl</t>
  </si>
  <si>
    <t>66015</t>
  </si>
  <si>
    <t>ENELBIN 100 RETARD</t>
  </si>
  <si>
    <t>POR TBL PRO 100X100MG</t>
  </si>
  <si>
    <t>Nimesulid</t>
  </si>
  <si>
    <t>12892</t>
  </si>
  <si>
    <t>AULIN</t>
  </si>
  <si>
    <t>POR TBL NOB 30X100MG</t>
  </si>
  <si>
    <t>12893</t>
  </si>
  <si>
    <t>POR TBL NOB 60X100MG</t>
  </si>
  <si>
    <t>Pentoxifylin</t>
  </si>
  <si>
    <t>53479</t>
  </si>
  <si>
    <t>TRENTAL 400</t>
  </si>
  <si>
    <t>POR TBL RET 20X400MG</t>
  </si>
  <si>
    <t>Progesteron</t>
  </si>
  <si>
    <t>132648</t>
  </si>
  <si>
    <t>UTROGESTAN</t>
  </si>
  <si>
    <t>POR CPS MOL 30X100MG</t>
  </si>
  <si>
    <t>Sodná sůl metamizolu</t>
  </si>
  <si>
    <t>55823</t>
  </si>
  <si>
    <t>NOVALGIN TABLETY</t>
  </si>
  <si>
    <t>POR TBL FLM 20X500MG</t>
  </si>
  <si>
    <t>Sulfadiazin, stříbrná sůl, kombinace</t>
  </si>
  <si>
    <t>DRM CRM 1X20GM</t>
  </si>
  <si>
    <t>DRM CRM 1X60GM</t>
  </si>
  <si>
    <t>Tramadol, kombinace</t>
  </si>
  <si>
    <t>17925</t>
  </si>
  <si>
    <t>ZALDIAR</t>
  </si>
  <si>
    <t>POR TBL FLM 20</t>
  </si>
  <si>
    <t>17926</t>
  </si>
  <si>
    <t>POR TBL FLM 30</t>
  </si>
  <si>
    <t>Zolpidem</t>
  </si>
  <si>
    <t>16286</t>
  </si>
  <si>
    <t>STILNOX</t>
  </si>
  <si>
    <t>POR TBL FLM 20X10MG</t>
  </si>
  <si>
    <t>Obvazový materiál, náplasti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</si>
  <si>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</si>
  <si>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</si>
  <si>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</si>
  <si>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</si>
  <si>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</si>
  <si>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</si>
  <si>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</si>
  <si>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80576</t>
  </si>
  <si>
    <t>NÁPLAST HYPOALERGENNÍ CURAPOR STERILNÍ</t>
  </si>
  <si>
    <t>5X7CM,SAMOLEPÍCÍ,S POLŠTÁŘKEM,1KS</t>
  </si>
  <si>
    <t>80987</t>
  </si>
  <si>
    <t>OBINADLO ELASTICKÉ FIXA CREP</t>
  </si>
  <si>
    <t>10CMX4M,TAŽNOST 160%,20KS</t>
  </si>
  <si>
    <t>81100</t>
  </si>
  <si>
    <t>KRYTÍ TENDERWET 24 ACTIVE</t>
  </si>
  <si>
    <t>5,5CM PRŮMĚR PŘEDAKTIVOVANÉ KRYTÍ 10KS</t>
  </si>
  <si>
    <t>81104</t>
  </si>
  <si>
    <t>10X10CM PŘEDAKTIVOVANÉ KRYTÍ 10KS</t>
  </si>
  <si>
    <t>81102</t>
  </si>
  <si>
    <t>7,5X7,5CM PŘEDAKTIVOVANÉ KRYTÍ 10KS</t>
  </si>
  <si>
    <t>21073</t>
  </si>
  <si>
    <t>GÁZA SKLÁDANÁ KOMPRESY STERILNÍ STERILUX ES</t>
  </si>
  <si>
    <t>10X10CM,8 VRSTEV,2KS</t>
  </si>
  <si>
    <t>21072</t>
  </si>
  <si>
    <t>7,5X7,5CM,8 VRSTEV,2KS</t>
  </si>
  <si>
    <t>80417</t>
  </si>
  <si>
    <t>KOMPRESY EYCOPAD OČNÍ STERILNÍ</t>
  </si>
  <si>
    <t>7X8,5CM,PRO DOSPĚLÉ,25KS</t>
  </si>
  <si>
    <t>80549</t>
  </si>
  <si>
    <t>NÁPLAST HYPOALERGENNÍ COSMOPOR STERILNÍ</t>
  </si>
  <si>
    <t>7,2X5CM,S POLŠTÁŘKEM,S HYDROFÓBNÍ MIKROSÍŤKOU,10KS</t>
  </si>
  <si>
    <t>80994</t>
  </si>
  <si>
    <t>OBINADLO ELASTICKÉ UNIVERSAL</t>
  </si>
  <si>
    <t>8CMX5M,TAŽNOST 130%,10KS</t>
  </si>
  <si>
    <t>81538</t>
  </si>
  <si>
    <t>NÁPLAST HYPOALERGENNÍ CURAPOR TRANSPARENT STERILNÍ</t>
  </si>
  <si>
    <t>5X7CM,VODĚODOLNÁ,S POLŠTÁŘKEM,5KS</t>
  </si>
  <si>
    <t>170301</t>
  </si>
  <si>
    <t>KRYTÍ HYDROCLEAN</t>
  </si>
  <si>
    <t>4CM PRŮMĚR,10KS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</si>
  <si>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</si>
  <si>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</si>
  <si>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</si>
  <si>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</si>
  <si>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</si>
  <si>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</si>
  <si>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</si>
  <si>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45486</t>
  </si>
  <si>
    <t>PUNČOCHA KOMPRESNÍ S ÚCHYTEM V PASE II.K.T.</t>
  </si>
  <si>
    <t>MAXIS MICRO A-GM</t>
  </si>
  <si>
    <t>Ortopedicko protetické pomůcky sériově vyráběné</t>
  </si>
  <si>
    <t>5114</t>
  </si>
  <si>
    <t>PÁS BŘIŠNÍ VERBA 932 519 8</t>
  </si>
  <si>
    <t>OBDVOD TRUPU 85-95CM,VEL.3</t>
  </si>
  <si>
    <t>93108</t>
  </si>
  <si>
    <t>ORTÉZA ZÁPĚSTÍ LIGAFLEX CLASSIC 2435 P/L</t>
  </si>
  <si>
    <t>PEVNÁ ORTÉZA, ODSTRANITELNÉ DLAHY PROSTUPNÉ RTG</t>
  </si>
  <si>
    <t>78807</t>
  </si>
  <si>
    <t>ORTÉZA PALCE ORTEX 020</t>
  </si>
  <si>
    <t>FIXACE KLOUBU PALCE</t>
  </si>
  <si>
    <t>11857</t>
  </si>
  <si>
    <t>ORTÉZA PRSTU RUKY DIGITA</t>
  </si>
  <si>
    <t>793136965011-012,021-022,VYZTUŽ.PLANž. VEL.1-V 22CM,VEL.2-V 25CM,OBOUSTR.</t>
  </si>
  <si>
    <t>11822</t>
  </si>
  <si>
    <t>ORTÉZA PALCE POLEX</t>
  </si>
  <si>
    <t>893136960110-120,210-220 2 VEL.(13-17,17-21CM) OBV.ZÁPĚSTÍ</t>
  </si>
  <si>
    <t>11783</t>
  </si>
  <si>
    <t>PÁS BŘIŠNÍ KÝLNÍ S PELOTOU ABDOMEN II</t>
  </si>
  <si>
    <t>8931362170010-060,6 VEL.80-140CM,VÝŠKA BŘ.ČÁSTI 24-34CM,ZPEVN.PLANŽ.</t>
  </si>
  <si>
    <t>63774</t>
  </si>
  <si>
    <t>ORTÉZA ZÁPĚSTÍ A PALCE RUKY ORTEX 028</t>
  </si>
  <si>
    <t>FIXAČNÍ S DLAHOU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</si>
  <si>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</si>
  <si>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</si>
  <si>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</si>
  <si>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</si>
  <si>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Cefuroxim</t>
  </si>
  <si>
    <t>47727</t>
  </si>
  <si>
    <t>ZINNAT 500 MG</t>
  </si>
  <si>
    <t>POR TBL FLM 10X500MG</t>
  </si>
  <si>
    <t>Diosmin, kombinace</t>
  </si>
  <si>
    <t>14075</t>
  </si>
  <si>
    <t>DETRALEX</t>
  </si>
  <si>
    <t>POR TBL FLM 60X500MG</t>
  </si>
  <si>
    <t>Fenoxymethylpenicilin</t>
  </si>
  <si>
    <t>45998</t>
  </si>
  <si>
    <t>OSPEN 1500</t>
  </si>
  <si>
    <t>POR TBL FLM 30X1500KU</t>
  </si>
  <si>
    <t>DRM UNG 1X100GM</t>
  </si>
  <si>
    <t>59808</t>
  </si>
  <si>
    <t>FRAXIPARINE FORTE</t>
  </si>
  <si>
    <t>INJ SOL 10X0.8ML</t>
  </si>
  <si>
    <t>80986</t>
  </si>
  <si>
    <t>8CMX4M,TAŽNOST 160%,20KS</t>
  </si>
  <si>
    <t>80988</t>
  </si>
  <si>
    <t>12CMX4M,TAŽNOST 160%,20KS</t>
  </si>
  <si>
    <t>140717</t>
  </si>
  <si>
    <t>PÁS BŘIŠNÍ ELASTICKÝ</t>
  </si>
  <si>
    <t>ORTEX 031A</t>
  </si>
  <si>
    <t>39963</t>
  </si>
  <si>
    <t>ORTÉZA PRSTOVÁ</t>
  </si>
  <si>
    <t>TYP 012C</t>
  </si>
  <si>
    <t>140637</t>
  </si>
  <si>
    <t>ORTÉZA HLEZENNÍHO KLOUBU RIGIDNÍ ORTEX 06F</t>
  </si>
  <si>
    <t>TYP WALKER</t>
  </si>
  <si>
    <t>140721</t>
  </si>
  <si>
    <t>ORTÉZA PRSTOVÁ DYNAMICKÁ FLEKČNÍ (PIP)</t>
  </si>
  <si>
    <t>UNIVERZÁLNÍ PROVEDENÍ PRO PRSTY PRAVÉ A LEVÉ RUKY, VELIKOST 1-5</t>
  </si>
  <si>
    <t>63693</t>
  </si>
  <si>
    <t>ORTÉZA KOLENNÍ ROZEPÍNACÍ TYP 01</t>
  </si>
  <si>
    <t>893115517001-006 S DVOUOSÝM KLOUBEM A UPÍNACÍMI PÁSKY, PŘEDNÍ ZAPÍNÁNÍ</t>
  </si>
  <si>
    <t>6582</t>
  </si>
  <si>
    <t>ORTÉZA FIXAČNÍ ZÁPĚSTÍ ORTEX 07B</t>
  </si>
  <si>
    <t>MALÁ,PRAVÁ</t>
  </si>
  <si>
    <t>Ortopedicko protetické pomůcky individuálně zhotovené</t>
  </si>
  <si>
    <t>328</t>
  </si>
  <si>
    <t>EPITÉZA INDIVIDUÁLNĚ ZHOTOVENÁ</t>
  </si>
  <si>
    <t>74991</t>
  </si>
  <si>
    <t>AMOKSIKLAV 156,25 MG/5 ML SUSPENZE</t>
  </si>
  <si>
    <t>POR PLV SUS 100 ML</t>
  </si>
  <si>
    <t>Antibiotika v kombinaci s ostatními léčivy</t>
  </si>
  <si>
    <t>1077</t>
  </si>
  <si>
    <t>OPHTHALMO-FRAMYKOIN COMP.</t>
  </si>
  <si>
    <t>192144</t>
  </si>
  <si>
    <t>192354</t>
  </si>
  <si>
    <t>Ciklopirox</t>
  </si>
  <si>
    <t>76150</t>
  </si>
  <si>
    <t>BATRAFEN KRÉM</t>
  </si>
  <si>
    <t>DRM CRM 1X20GM/200MG</t>
  </si>
  <si>
    <t>Ciprofloxacin</t>
  </si>
  <si>
    <t>53202</t>
  </si>
  <si>
    <t>CIPHIN 500</t>
  </si>
  <si>
    <t>Diazepam</t>
  </si>
  <si>
    <t>69417</t>
  </si>
  <si>
    <t>DIAZEPAM DESITIN RECTAL TUBE 5 MG</t>
  </si>
  <si>
    <t>RCT SOL 5X2.5ML/5MG</t>
  </si>
  <si>
    <t>Flukonazol</t>
  </si>
  <si>
    <t>66039</t>
  </si>
  <si>
    <t>MYCOMAX 150</t>
  </si>
  <si>
    <t>POR CPS DUR 1X150MG</t>
  </si>
  <si>
    <t>Jiná kapiláry stabilizující látky</t>
  </si>
  <si>
    <t>107806</t>
  </si>
  <si>
    <t>AESCIN-TEVA</t>
  </si>
  <si>
    <t>POR TBL ENT 30X20MG</t>
  </si>
  <si>
    <t>57352</t>
  </si>
  <si>
    <t>REPARIL- DRAGÉES</t>
  </si>
  <si>
    <t>POR TBL OBD 40X20MG</t>
  </si>
  <si>
    <t>Klarithromycin</t>
  </si>
  <si>
    <t>83615</t>
  </si>
  <si>
    <t>KLACID 250</t>
  </si>
  <si>
    <t>POR TBL FLM 10X250MG</t>
  </si>
  <si>
    <t>202905</t>
  </si>
  <si>
    <t>POR TBL FLM 14X250MG</t>
  </si>
  <si>
    <t>Kyselina acetylsalicylová</t>
  </si>
  <si>
    <t>151142</t>
  </si>
  <si>
    <t>ANOPYRIN 100 MG</t>
  </si>
  <si>
    <t>66046</t>
  </si>
  <si>
    <t>AULIN GEL</t>
  </si>
  <si>
    <t>DRM GEL 1X100GM/3GM</t>
  </si>
  <si>
    <t>66044</t>
  </si>
  <si>
    <t>DRM GEL 1X30GM/900MG</t>
  </si>
  <si>
    <t>Pantoprazol</t>
  </si>
  <si>
    <t>49113</t>
  </si>
  <si>
    <t>CONTROLOC 20 MG</t>
  </si>
  <si>
    <t>POR TBL ENT 28X20MG I</t>
  </si>
  <si>
    <t>138841</t>
  </si>
  <si>
    <t>DORETA 37,5 MG/325 MG</t>
  </si>
  <si>
    <t>POR TBL FLM 3X10</t>
  </si>
  <si>
    <t>45800</t>
  </si>
  <si>
    <t>MAXIS COMFORT COTTON A-G SE SAMODRŽÍCÍM LEMEM</t>
  </si>
  <si>
    <t>5112</t>
  </si>
  <si>
    <t>PÁS BŘIŠNÍ VERBA 932 521 4</t>
  </si>
  <si>
    <t>OBDVOD TRUPU 105-115CM,VEL.5</t>
  </si>
  <si>
    <t>39709</t>
  </si>
  <si>
    <t>DLAHA PRO FIXACI PRSTŮ RUKY TYP A</t>
  </si>
  <si>
    <t>VELIKOST A2</t>
  </si>
  <si>
    <t>140563</t>
  </si>
  <si>
    <t>ORTÉZA HLEZNA TALUSTAB</t>
  </si>
  <si>
    <t>3 VEL DLE DÉLKY CHODIDLA, 3 PE PLANŽETY,OSMIČKOVÝ TAH,OBJEMOVĚ STAVITELNÁ</t>
  </si>
  <si>
    <t>63719</t>
  </si>
  <si>
    <t>ORTÉZA HLEZENNÍ SE DVĚMA PLANŽETAMI MALEOFIX</t>
  </si>
  <si>
    <t>S TEJPOVACÍM PÁSKEM, 3 VEL. ROZSAH 20-30CM</t>
  </si>
  <si>
    <t>140561</t>
  </si>
  <si>
    <t>ORTÉZA ZÁPĚSTÍ FIXAČNÍ UNIVERZÁLNÍ</t>
  </si>
  <si>
    <t>ORTEX 07H, S PEVNÝMI DLAHAMI, STRANOVĚ UNIVERZÁLNÍ</t>
  </si>
  <si>
    <t>140714</t>
  </si>
  <si>
    <t>ORTÉZA HLEZENNÍHO KLOUBU FIXAČNÍ S TŘEMI DLAHAMI</t>
  </si>
  <si>
    <t>ORTEX 06A</t>
  </si>
  <si>
    <t>63726</t>
  </si>
  <si>
    <t>DLAHA PRO FIXACI PRSTŮ RUKY TYP F</t>
  </si>
  <si>
    <t>VELIKOST F1</t>
  </si>
  <si>
    <t>63775</t>
  </si>
  <si>
    <t>ORTÉZA PRO DYNAMICKÉ DLAHOVANÍ ORTEX 029</t>
  </si>
  <si>
    <t>PO SUTUŘE ŠLACH FLEXORŮ RUKY</t>
  </si>
  <si>
    <t>12494</t>
  </si>
  <si>
    <t>AUGMENTIN 1 G</t>
  </si>
  <si>
    <t>POR TBL FLM 14 I</t>
  </si>
  <si>
    <t>Bromazepam</t>
  </si>
  <si>
    <t>88219</t>
  </si>
  <si>
    <t>LEXAURIN 3</t>
  </si>
  <si>
    <t>POR TBL NOB 30X3MG</t>
  </si>
  <si>
    <t>Kolagenáza, kombinace</t>
  </si>
  <si>
    <t>4270</t>
  </si>
  <si>
    <t>IRUXOL MONO</t>
  </si>
  <si>
    <t>DRM UNG 1X30GM</t>
  </si>
  <si>
    <t>4269</t>
  </si>
  <si>
    <t>DRM UNG 1X10GM</t>
  </si>
  <si>
    <t>Methylprednisolon</t>
  </si>
  <si>
    <t>90044</t>
  </si>
  <si>
    <t>DEPO-MEDROL 40 MG/ML</t>
  </si>
  <si>
    <t>INJ SUS 1X1ML/40MG</t>
  </si>
  <si>
    <t>17924</t>
  </si>
  <si>
    <t>POR TBL FLM 10</t>
  </si>
  <si>
    <t>201609</t>
  </si>
  <si>
    <t>5115</t>
  </si>
  <si>
    <t>PÁS BŘIŠNÍ VERBA 932 518 9</t>
  </si>
  <si>
    <t>OBDVOD TRUPU 75-85CM,VEL.2</t>
  </si>
  <si>
    <t>16322</t>
  </si>
  <si>
    <t>Moxifloxacin</t>
  </si>
  <si>
    <t>154167</t>
  </si>
  <si>
    <t>AVELOX</t>
  </si>
  <si>
    <t>POR TBL FLM 10X400MG</t>
  </si>
  <si>
    <t>Opiové deriváty a mukolytika</t>
  </si>
  <si>
    <t>725</t>
  </si>
  <si>
    <t>PLEUMOLYSIN</t>
  </si>
  <si>
    <t>POR GTT SOL 1X10ML</t>
  </si>
  <si>
    <t>Perindopril a diuretika</t>
  </si>
  <si>
    <t>122690</t>
  </si>
  <si>
    <t>PRESTARIUM NEO COMBI 5 MG/1,25 MG</t>
  </si>
  <si>
    <t>POR TBL FLM 90</t>
  </si>
  <si>
    <t>Prednison</t>
  </si>
  <si>
    <t>269</t>
  </si>
  <si>
    <t>PREDNISON 5 LÉČIVA</t>
  </si>
  <si>
    <t>POR TBL NOB 20X5MG</t>
  </si>
  <si>
    <t>Sulfamethoxazol a trimethoprim</t>
  </si>
  <si>
    <t>3377</t>
  </si>
  <si>
    <t>BISEPTOL 480</t>
  </si>
  <si>
    <t>POR TBL NOB 20X480MG</t>
  </si>
  <si>
    <t>*2008</t>
  </si>
  <si>
    <t>Pomůcky pro diabetiky</t>
  </si>
  <si>
    <t>85088</t>
  </si>
  <si>
    <t>JEHLA INJEKČNÍ NEOLUS,NN-2525R</t>
  </si>
  <si>
    <t>25GX1 0,50X25MM,100KS</t>
  </si>
  <si>
    <t>85181</t>
  </si>
  <si>
    <t>JEHLA INJEKČNÍ LUER ŽLUTÁ</t>
  </si>
  <si>
    <t>0,9X40,100KS</t>
  </si>
  <si>
    <t>85146</t>
  </si>
  <si>
    <t>JEHLA INJEKČNÍ LUER ORANŽOVÁ</t>
  </si>
  <si>
    <t>0,5X20,100KS</t>
  </si>
  <si>
    <t>21071</t>
  </si>
  <si>
    <t>5X5CM,8 VRSTEV,2KS</t>
  </si>
  <si>
    <t>140361</t>
  </si>
  <si>
    <t>BERLE FRANCOUZSKÁ DURALOVÁ VERA</t>
  </si>
  <si>
    <t>VYMĚKČENÁ RUKOJEŤ, NOSNOST 150 KG</t>
  </si>
  <si>
    <t>11616</t>
  </si>
  <si>
    <t>SEDAČKA NA VANU 4100</t>
  </si>
  <si>
    <t>ZESÍLENÁ KONSTRUKCE S PLASTOVÝM POVRCHEM, Š. 33 CM, NASTAVITELNÁ, PODPŮRNÉ MADLO</t>
  </si>
  <si>
    <t>85524</t>
  </si>
  <si>
    <t>AMOKSIKLAV 375 MG</t>
  </si>
  <si>
    <t>POR TBL FLM 21</t>
  </si>
  <si>
    <t>85525</t>
  </si>
  <si>
    <t>AMOKSIKLAV 625 MG</t>
  </si>
  <si>
    <t>132632</t>
  </si>
  <si>
    <t>Hydrogenované námelové alkaloidy</t>
  </si>
  <si>
    <t>91032</t>
  </si>
  <si>
    <t>SECATOXIN FORTE</t>
  </si>
  <si>
    <t>POR GTT SOL 1X25ML</t>
  </si>
  <si>
    <t>Chlorid draselný</t>
  </si>
  <si>
    <t>17188</t>
  </si>
  <si>
    <t>KALIUM CHLORATUM BIOMEDICA</t>
  </si>
  <si>
    <t>POR TBL ENT 50X500MG</t>
  </si>
  <si>
    <t>202700</t>
  </si>
  <si>
    <t>POR TBL ENT 60X20MG</t>
  </si>
  <si>
    <t>62315</t>
  </si>
  <si>
    <t>BETADINE</t>
  </si>
  <si>
    <t>DRM SOL 1X30ML</t>
  </si>
  <si>
    <t>62320</t>
  </si>
  <si>
    <t>DRM UNG 1X20GM 10%</t>
  </si>
  <si>
    <t>32057</t>
  </si>
  <si>
    <t>INJ SOL 2X0.3ML</t>
  </si>
  <si>
    <t>32061</t>
  </si>
  <si>
    <t>INJ SOL 10X0.6ML</t>
  </si>
  <si>
    <t>32063</t>
  </si>
  <si>
    <t>Ramipril</t>
  </si>
  <si>
    <t>56973</t>
  </si>
  <si>
    <t>TRITACE 1,25 MG</t>
  </si>
  <si>
    <t>POR TBL NOB 30X1.25MG</t>
  </si>
  <si>
    <t>14876</t>
  </si>
  <si>
    <t>DRM CRM 1X25GM</t>
  </si>
  <si>
    <t>80407</t>
  </si>
  <si>
    <t>KRYTÍ TENDERWET 24</t>
  </si>
  <si>
    <t>7,5X7,5CM 10KS</t>
  </si>
  <si>
    <t>80409</t>
  </si>
  <si>
    <t>10X10CM 10KS</t>
  </si>
  <si>
    <t>81082</t>
  </si>
  <si>
    <t>KRYTÍ AQUACEL AG - HYDROFIBER</t>
  </si>
  <si>
    <t>10X10CM TECHNOLOGIE HYDROFIBER 10KS</t>
  </si>
  <si>
    <t>81960</t>
  </si>
  <si>
    <t>KRYTÍ ALGINÁTOVÉ MELGISORB AG</t>
  </si>
  <si>
    <t>10X10CM,10KS</t>
  </si>
  <si>
    <t>80240</t>
  </si>
  <si>
    <t>OBINADLO ELASTICKÉ FIXAČNÍ PEHA CREPP</t>
  </si>
  <si>
    <t>8CMX4M,V NAPN.STAVU,20KS</t>
  </si>
  <si>
    <t>81543</t>
  </si>
  <si>
    <t>KRYTÍ HYDROGELOVÉ SUPRASORB G</t>
  </si>
  <si>
    <t>6G V APLIKÁTORU,10KS</t>
  </si>
  <si>
    <t>80454</t>
  </si>
  <si>
    <t>FIXACE HYPOALERGENNÍ PRO STOMIKY OMNIFIX ELASTIC</t>
  </si>
  <si>
    <t>15CMX10M,1KS</t>
  </si>
  <si>
    <t>80403</t>
  </si>
  <si>
    <t>4CM PRŮMĚR 10KS</t>
  </si>
  <si>
    <t>81453</t>
  </si>
  <si>
    <t>KRYTÍ HYDROKOLOIDNÍ SUPRASORB H DUNN-TENKÝ</t>
  </si>
  <si>
    <t>10X10CM,SAMOLEPÍCÍ,10KS</t>
  </si>
  <si>
    <t>45367</t>
  </si>
  <si>
    <t>MEDIVAN ACTIVE-UZAVŘENÁ ŠPIČKA A-D PÁNSKÉ</t>
  </si>
  <si>
    <t>45133</t>
  </si>
  <si>
    <t>LASTOFA S BAVLNOU-OTEVŘENÁ ŠPIČKA A-G</t>
  </si>
  <si>
    <t>39960</t>
  </si>
  <si>
    <t>ORTÉZA ZÁPĚSTÍ PEVNÁ</t>
  </si>
  <si>
    <t>TYP 011B</t>
  </si>
  <si>
    <t>78914</t>
  </si>
  <si>
    <t>ORTÉZA PALCE S VÝZTUHOU - TYP 305</t>
  </si>
  <si>
    <t>PRODYŠNÝ MATERIÁL,VÝZTUHA,ZAPÍNÁNÍ NA VELCRO</t>
  </si>
  <si>
    <t>78952</t>
  </si>
  <si>
    <t>ORTÉZA PRSTOVÁ - TYP 309</t>
  </si>
  <si>
    <t>11870</t>
  </si>
  <si>
    <t>ORTÉZA ZÁPĚSTÍ MODEL 410</t>
  </si>
  <si>
    <t>DVĚ HLINÍKOVÉ DLAHY</t>
  </si>
  <si>
    <t>11872</t>
  </si>
  <si>
    <t>ORTÉZA ZÁPĚSTÍ KRÁTKÁ MODEL 430</t>
  </si>
  <si>
    <t>S JEDNOU HLINÍKOVOU DLAHOU</t>
  </si>
  <si>
    <t>140259</t>
  </si>
  <si>
    <t>DLAHA PRO KONZERVATIVNÍ LÉČBU RUPTURY DORZÁLNÍ APO</t>
  </si>
  <si>
    <t>TŘÍČLÁNKOVÝCH PRSTŮ RUKY</t>
  </si>
  <si>
    <t>22891</t>
  </si>
  <si>
    <t>TAH PERONEÁLNÍ PT 96</t>
  </si>
  <si>
    <t>793137148000,2 VEL. PODLE OBVODU POD KOLENEM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</si>
  <si>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</si>
  <si>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</si>
  <si>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</si>
  <si>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</si>
  <si>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J01CR02 - Amoxicilin a enzymový inhibitor</t>
  </si>
  <si>
    <t>J01FF01 - Klindamycin</t>
  </si>
  <si>
    <t>J01DC02 - Cefuroxim</t>
  </si>
  <si>
    <t>M01AX17 - Nimesulid</t>
  </si>
  <si>
    <t>C09AA05 - Ramipril</t>
  </si>
  <si>
    <t>J01FA09 - Klarithromycin</t>
  </si>
  <si>
    <t>C09BA04 - Perindopril a diuretika</t>
  </si>
  <si>
    <t>J01MA02 - Ciprofloxacin</t>
  </si>
  <si>
    <t>H02AB04 - Methylprednisolon</t>
  </si>
  <si>
    <t>B01AB06 - Nadroparin</t>
  </si>
  <si>
    <t>A02BC02 - Pantoprazol</t>
  </si>
  <si>
    <t>B01AB06</t>
  </si>
  <si>
    <t>J01CR02</t>
  </si>
  <si>
    <t>J01FF01</t>
  </si>
  <si>
    <t>M01AX17</t>
  </si>
  <si>
    <t>J01DC02</t>
  </si>
  <si>
    <t>A02BC02</t>
  </si>
  <si>
    <t>J01FA09</t>
  </si>
  <si>
    <t>J01MA02</t>
  </si>
  <si>
    <t>H02AB04</t>
  </si>
  <si>
    <t>C09AA05</t>
  </si>
  <si>
    <t>C09BA04</t>
  </si>
  <si>
    <t>Přehled plnění PL - Preskripce léčivých přípravků - orientační přehled</t>
  </si>
  <si>
    <t>50115070     ostatní ZPr - katetry (sk.Z_513)</t>
  </si>
  <si>
    <t>2966</t>
  </si>
  <si>
    <t>pracoviště DK COS</t>
  </si>
  <si>
    <t>pracoviště DK COS Celkem</t>
  </si>
  <si>
    <t>ZA444</t>
  </si>
  <si>
    <t>Tampon nesterilní stáčený 20 x 19 cm bez RTG nití bal. á 100 ks 1320300404</t>
  </si>
  <si>
    <t>ZA539</t>
  </si>
  <si>
    <t>Kompresa NT 10 x 10 cm nesterilní 06103</t>
  </si>
  <si>
    <t>ZA540</t>
  </si>
  <si>
    <t>Náplast omnifix E 15 cm x 10 m 9006513</t>
  </si>
  <si>
    <t>ZD111</t>
  </si>
  <si>
    <t>Náplast omnifix E 5 cm x 10 m 9006493</t>
  </si>
  <si>
    <t>ZI558</t>
  </si>
  <si>
    <t>Náplast curapor   7 x   5 cm 22120 ( náhrada za cosmopor )</t>
  </si>
  <si>
    <t>ZI599</t>
  </si>
  <si>
    <t>Náplast curapor 10 x   8 cm 22121 ( náhrada za cosmopor )</t>
  </si>
  <si>
    <t>ZA556</t>
  </si>
  <si>
    <t>Obvaz sádrový safix plus 10 cm x 3 m á 2 ks 3327410</t>
  </si>
  <si>
    <t>ZA486</t>
  </si>
  <si>
    <t>Krytí mastný tyl jelonet   5 x 5 cm á 50 ks 7403</t>
  </si>
  <si>
    <t>ZL854</t>
  </si>
  <si>
    <t>Krytí mastný tyl jelonet 10 x 10 cm á 36 ks 66007478</t>
  </si>
  <si>
    <t>ZA599</t>
  </si>
  <si>
    <t>Steh náplasťový Steri-strip 6 x 75 mm bal. á 50 ks elast. E4541</t>
  </si>
  <si>
    <t>ZA789</t>
  </si>
  <si>
    <t>Stříkačka injekční 2-dílná 2 ml L Inject Solo 4606027V</t>
  </si>
  <si>
    <t>ZA790</t>
  </si>
  <si>
    <t>Stříkačka injekční 2-dílná 5 ml L Inject Solo4606051V</t>
  </si>
  <si>
    <t>ZC752</t>
  </si>
  <si>
    <t>Čepelka skalpelová 15 BB515</t>
  </si>
  <si>
    <t>ZC768</t>
  </si>
  <si>
    <t>Zkumavka 10 ml sterilní bal. á 1250 ks 1009/TE/SG</t>
  </si>
  <si>
    <t>ZC840</t>
  </si>
  <si>
    <t>Elektroda neutrální zpětná MF3.05.5005</t>
  </si>
  <si>
    <t>ZD903</t>
  </si>
  <si>
    <t>Kontejner+lopatka 30 ml nesterilní 331690251330</t>
  </si>
  <si>
    <t>ZE159</t>
  </si>
  <si>
    <t>Nádoba na kontaminovaný odpad 2 l 15-0003</t>
  </si>
  <si>
    <t>ZA783</t>
  </si>
  <si>
    <t>Drén Easy Flow 40 mm/30 cm, á 10 ks, 97.816.92.224</t>
  </si>
  <si>
    <t>ZD423</t>
  </si>
  <si>
    <t>Šití silon monofil 4/0 EP 1,5 blue bal. á 24 ks SM 2061</t>
  </si>
  <si>
    <t>ZB060</t>
  </si>
  <si>
    <t>Šití prolen bl 6-0 bal. á 24 ks W8005T</t>
  </si>
  <si>
    <t>ZB181</t>
  </si>
  <si>
    <t>Šití prolen bl 5-0 bal. á 36 ks EH7176H</t>
  </si>
  <si>
    <t>ZB185</t>
  </si>
  <si>
    <t>Šití vicryl un 4-0 bal. á 12 ks W9951</t>
  </si>
  <si>
    <t>ZC876</t>
  </si>
  <si>
    <t>Šití vicryl rapide un 5-0 bal. á 36 ks V4930H</t>
  </si>
  <si>
    <t>ZC992</t>
  </si>
  <si>
    <t>Šití dafilon modrý 4/0 (1,5) bal. á 36 ks C0932132</t>
  </si>
  <si>
    <t>ZD188</t>
  </si>
  <si>
    <t>Šití monocryl un 5-0 bal. á 12 ks W3221</t>
  </si>
  <si>
    <t>ZG561</t>
  </si>
  <si>
    <t>Šití monofil chiralen bl EP 0,7- USP 6/0 bal. á 24 ks PP 5001-2</t>
  </si>
  <si>
    <t>ZA975</t>
  </si>
  <si>
    <t>Šití safil fialový 4/0 bal. á 36 ks C1048220</t>
  </si>
  <si>
    <t>ZB201</t>
  </si>
  <si>
    <t>Šití etlon bk 8-0 bal. á 12 ks W2812</t>
  </si>
  <si>
    <t>ZB184</t>
  </si>
  <si>
    <t>Šití vicryl un 3-0 bal. á 12 ks W9890</t>
  </si>
  <si>
    <t>ZF256</t>
  </si>
  <si>
    <t>Šití vicryl vi 5-0 bal. á 12 ks W9442</t>
  </si>
  <si>
    <t>ZB094</t>
  </si>
  <si>
    <t>Šití maxon 5/0 1EP bal. á 36 ks SMM5526 (náhrada za pův.6535-21)</t>
  </si>
  <si>
    <t>ZA360</t>
  </si>
  <si>
    <t>Jehla sterican 0,5 x 25 mm oranžová 9186158</t>
  </si>
  <si>
    <t>ZA832</t>
  </si>
  <si>
    <t>Jehla injekční 0,9 x 40 mm žlutá 4657519</t>
  </si>
  <si>
    <t>ZB556</t>
  </si>
  <si>
    <t>Jehla injekční 1,2 x 40 mm růžová 4665120</t>
  </si>
  <si>
    <t>ZH201</t>
  </si>
  <si>
    <t>Jehla injekční 0,8 x 120 mm zelená 4665643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</si>
  <si>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</si>
  <si>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</si>
  <si>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</si>
  <si>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</si>
  <si>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ZF441</t>
  </si>
  <si>
    <t>Rukavice nitril dermagrip sterilní L bal. á 50 párů D1403-43</t>
  </si>
  <si>
    <t>ZJ636</t>
  </si>
  <si>
    <t>Expander tkáňový mentor 250 cc oválný 350-5303M</t>
  </si>
  <si>
    <t>ZJ174</t>
  </si>
  <si>
    <t>Implantát mammární anatomický 350cc kulatý 20735-350</t>
  </si>
  <si>
    <t>ZM936</t>
  </si>
  <si>
    <t>Expander tkáňový mentor 200cc crescent 350-4314M</t>
  </si>
  <si>
    <t>ZI314</t>
  </si>
  <si>
    <t>Expander tkáňový mentor 150cc oválný 350-5304M</t>
  </si>
  <si>
    <t>ZN088</t>
  </si>
  <si>
    <t>Implantát mammární kulatý 450cc 20726-450</t>
  </si>
  <si>
    <t>ZI014</t>
  </si>
  <si>
    <t>Expander tkáňový mentor 250cc oválný 350-5305M</t>
  </si>
  <si>
    <t>ZN087</t>
  </si>
  <si>
    <t>Implantát mammární anatomický 315cc 20736-315</t>
  </si>
  <si>
    <t>ZM745</t>
  </si>
  <si>
    <t>Implantát mammární anatomický CUI-CFM-500cc</t>
  </si>
  <si>
    <t>ZA432</t>
  </si>
  <si>
    <t>Obvaz sádrový safix plus 14 cm x 3 m 3327430</t>
  </si>
  <si>
    <t>ZA431</t>
  </si>
  <si>
    <t>Obvaz sádrový safix plus 12 cm x 3 m 3327420</t>
  </si>
  <si>
    <t>ZL464</t>
  </si>
  <si>
    <t>Popisovač sterilní se dvěma hroty Sandel 4-in-1Marker, bal. á 25 ks, S1041F</t>
  </si>
  <si>
    <t>KH905</t>
  </si>
  <si>
    <t>extraktor kožních svorek PSX-X</t>
  </si>
  <si>
    <t>ZA017</t>
  </si>
  <si>
    <t>Šroub kortikální 1.5 mm 200.816</t>
  </si>
  <si>
    <t>ZC145</t>
  </si>
  <si>
    <t>Šroub kortikální 2.0 mm 201.814</t>
  </si>
  <si>
    <t>ZG063</t>
  </si>
  <si>
    <t>Drát K-Wire 1.25 mm á 10 ks 292.120.10</t>
  </si>
  <si>
    <t>ZA039</t>
  </si>
  <si>
    <t>Šroub kortikální 2.0 mm 201.808</t>
  </si>
  <si>
    <t>ZA491</t>
  </si>
  <si>
    <t>Drát K-Wire 1.00 mm L150 á 10 ks 292.100.10</t>
  </si>
  <si>
    <t>ZH022</t>
  </si>
  <si>
    <t>Šroub kortikální 2.0 mm 201.806</t>
  </si>
  <si>
    <t>ZC274</t>
  </si>
  <si>
    <t>Šroub kortikální 1.5 mm 200.820</t>
  </si>
  <si>
    <t>ZK659</t>
  </si>
  <si>
    <t>Dlaha adaptační T 4.0 mm 8 otv. 243.241</t>
  </si>
  <si>
    <t>KH904</t>
  </si>
  <si>
    <t>stapler kožní PMR35-X</t>
  </si>
  <si>
    <t>KI081</t>
  </si>
  <si>
    <t>stapler kožní, široké svorky PMW35-X</t>
  </si>
  <si>
    <t>KC541</t>
  </si>
  <si>
    <t>surgipro mesh 14 x 9 SPM149W</t>
  </si>
  <si>
    <t>ZC679</t>
  </si>
  <si>
    <t>Šití vicryl plus vi 2-0 bal. á 36 ks VCP9900H</t>
  </si>
  <si>
    <t>ZA917</t>
  </si>
  <si>
    <t>Šití silon braided white bal. á 20 ks SB2056</t>
  </si>
  <si>
    <t>ZC060</t>
  </si>
  <si>
    <t>Šití etlon bk 11-0 bal. á 12 ks W2881</t>
  </si>
  <si>
    <t>ZB061</t>
  </si>
  <si>
    <t>Šití prolen bl 4-0 bal. á 24 ks W8011T</t>
  </si>
  <si>
    <t>ZD243</t>
  </si>
  <si>
    <t>Šítí prolen 2-0 bal. á 36 ks EH7697H</t>
  </si>
  <si>
    <t>ZA004</t>
  </si>
  <si>
    <t>Obvaz elastický síťový  pruban č. 5 427305</t>
  </si>
  <si>
    <t>ZA008</t>
  </si>
  <si>
    <t>Obvaz elastický síťový  pruban č. 10 427310</t>
  </si>
  <si>
    <t>ZA315</t>
  </si>
  <si>
    <t>Kompresa NT 5 x 5 cm / 2 ks sterilní 26501</t>
  </si>
  <si>
    <t>ZA329</t>
  </si>
  <si>
    <t>Obinadlo fixa crep   6 cm x 4 m 1323100102</t>
  </si>
  <si>
    <t>ZA330</t>
  </si>
  <si>
    <t>Obinadlo fixa crep   8 cm x 4 m 1323100103</t>
  </si>
  <si>
    <t>ZA463</t>
  </si>
  <si>
    <t>Kompresa NT 10 x 20 cm / 2 ks sterilní 26620</t>
  </si>
  <si>
    <t>ZA464</t>
  </si>
  <si>
    <t>Kompresa NT 10 x 10 cm / 2 ks sterilní 26520</t>
  </si>
  <si>
    <t>ZA589</t>
  </si>
  <si>
    <t>Tampon sterilní stáčený 30 x 30 cm / 5 ks karton á 1500 ks 28007</t>
  </si>
  <si>
    <t>ZA664</t>
  </si>
  <si>
    <t>Flamigel 250 ml FLAM250</t>
  </si>
  <si>
    <t>ZC854</t>
  </si>
  <si>
    <t>Kompresa NT 7,5 x 7,5 cm / 2 ks sterilní 26510</t>
  </si>
  <si>
    <t>ZD934</t>
  </si>
  <si>
    <t>Obinadlo elastické idealflex krátkotažné 12 cm x 5 m bal. á 10 ks 931324</t>
  </si>
  <si>
    <t>ZI600</t>
  </si>
  <si>
    <t>Náplast curapor 10 x 15 cm 22122 ( náhrada za cosmopor )</t>
  </si>
  <si>
    <t>ZA437</t>
  </si>
  <si>
    <t>Obvaz elastický síťový  pruban č. 14 427314</t>
  </si>
  <si>
    <t>ZA471</t>
  </si>
  <si>
    <t>Náplast curaplast poinjekční bal. á 250 ks 30625</t>
  </si>
  <si>
    <t>ZI522</t>
  </si>
  <si>
    <t>Krytí askina 10 x 12 cm derm - sterilní folie bal. á 10 ks F72035</t>
  </si>
  <si>
    <t>ZK920</t>
  </si>
  <si>
    <t>Kanystr Info V.A.C. M8275063</t>
  </si>
  <si>
    <t>ZA003</t>
  </si>
  <si>
    <t>Obvaz elastický síťový  pruban č. 2 4273020</t>
  </si>
  <si>
    <t>ZA458</t>
  </si>
  <si>
    <t>Kompresa vliwazel 20 x 40 / 50 ks nesterilní 30436</t>
  </si>
  <si>
    <t>ZL853</t>
  </si>
  <si>
    <t>Krytí mastný tyl jelonet 10 x 40 cm á 10 ks 7459</t>
  </si>
  <si>
    <t>ZF715</t>
  </si>
  <si>
    <t>Obinadlo fixační peha-haft 4cm á 4m 932411</t>
  </si>
  <si>
    <t>ZF714</t>
  </si>
  <si>
    <t>Náplast derma plast sensitive spots pr.22 mm bal. á 200 ks 535382</t>
  </si>
  <si>
    <t>ZL801</t>
  </si>
  <si>
    <t>Houba V.A.C. Veraflo Dressing small ULTVFL05SM</t>
  </si>
  <si>
    <t>ZH913</t>
  </si>
  <si>
    <t>Krytí askina 15 x 20 cm derm - sterilní folie bal. á 10 ks F72038</t>
  </si>
  <si>
    <t>ZC096</t>
  </si>
  <si>
    <t>Polštářek vatový 10 x 10 sterilní á 2 ks karton á 600 ks 28500</t>
  </si>
  <si>
    <t>ZE140</t>
  </si>
  <si>
    <t>Komprese oční Eycopad sterilní 4155407</t>
  </si>
  <si>
    <t>ZG701</t>
  </si>
  <si>
    <t>Pěna V.A.C GranuFoam velikost XL M8275065</t>
  </si>
  <si>
    <t>ZB048</t>
  </si>
  <si>
    <t>Krytí cellistyp F (fibrilar) 2,5 x 5 cm bal. á 10 ks (náhrada za okcel) 2082025</t>
  </si>
  <si>
    <t>ZL802</t>
  </si>
  <si>
    <t>Kazeta V.A.C. Veralink Cassette ULTLNK0500</t>
  </si>
  <si>
    <t>ZN032</t>
  </si>
  <si>
    <t>Krytí askina mřížka silikonová silnet 10 x 18 cm bal. á 10 ks 5191810</t>
  </si>
  <si>
    <t>ZJ635</t>
  </si>
  <si>
    <t>Krytí burn shield 10 x 10 cm / 4 x 4 steriní burnand wound dressing M1650009</t>
  </si>
  <si>
    <t>ZG078</t>
  </si>
  <si>
    <t>Krytí xeroform 10,2 x 10,2 cm bal. á 25 ks 8884433500</t>
  </si>
  <si>
    <t>ZA787</t>
  </si>
  <si>
    <t>Stříkačka injekční 2-dílná 10 ml L Inject Solo 4606108V</t>
  </si>
  <si>
    <t>ZA965</t>
  </si>
  <si>
    <t>Stříkačka inzulínová omnican 1 ml 100j bal. á 100 ks 9151141S</t>
  </si>
  <si>
    <t>ZB771</t>
  </si>
  <si>
    <t>Držák jehly základní 450201</t>
  </si>
  <si>
    <t>ZF159</t>
  </si>
  <si>
    <t>Nádoba na kontaminovaný odpad 1 l 15-0002</t>
  </si>
  <si>
    <t>ZH491</t>
  </si>
  <si>
    <t>Stříkačka injekční 3-dílná 50 - 60 ml LL MRG00711</t>
  </si>
  <si>
    <t>ZI179</t>
  </si>
  <si>
    <t>Zkumavka s mediem+ flovakovaný tampon eSwab růžový 490CE.A</t>
  </si>
  <si>
    <t>ZI913</t>
  </si>
  <si>
    <t>Čepel pro nůž transplantační 158 mm 397112120130</t>
  </si>
  <si>
    <t>ZA876</t>
  </si>
  <si>
    <t>Zkumavka čistá 13 x 75 4 ml 454001</t>
  </si>
  <si>
    <t>ZM625</t>
  </si>
  <si>
    <t>Lopatka lékařská sterilizovaná dřevěná ústní bal. á 100 ks 922600</t>
  </si>
  <si>
    <t>ZK569</t>
  </si>
  <si>
    <t>Stojan na zkumavky univerzální bílý 190 x 60 x 80 mm 331850000560</t>
  </si>
  <si>
    <t>ZA833</t>
  </si>
  <si>
    <t>Jehla injekční 0,8 x 40 mm zelená 4657527</t>
  </si>
  <si>
    <t>ZC063</t>
  </si>
  <si>
    <t>Rukavice latex bez p. M 9421615 - povoleno pouze pro ÚČOCH a KZL</t>
  </si>
  <si>
    <t>50115050</t>
  </si>
  <si>
    <t>502 SZM obvazový (112 02 040)</t>
  </si>
  <si>
    <t>50115060</t>
  </si>
  <si>
    <t>503 SZM ostatní zdravotnický (112 02 100)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</si>
  <si>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</si>
  <si>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</si>
  <si>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</si>
  <si>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</si>
  <si>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</si>
  <si>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</si>
  <si>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</si>
  <si>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</si>
  <si>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</si>
  <si>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</si>
  <si>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</si>
  <si>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</si>
  <si>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Spotřeba zdravotnického materiálu - orientační přehled</t>
  </si>
  <si>
    <t>ON Data</t>
  </si>
  <si>
    <t>601 - Pracoviště plastické chirurgie</t>
  </si>
  <si>
    <t>606 - Pracoviště ortopedie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</si>
  <si>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</si>
  <si>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</si>
  <si>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</si>
  <si>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</si>
  <si>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</si>
  <si>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Menšík Ivo</t>
  </si>
  <si>
    <t>PodkalskáSommerová Kamila</t>
  </si>
  <si>
    <t>Zdravotní výkony vykázané na pracovišti v rámci ambulantní péče dle lékařů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</si>
  <si>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</si>
  <si>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</si>
  <si>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</si>
  <si>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</si>
  <si>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</si>
  <si>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</si>
  <si>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</si>
  <si>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</si>
  <si>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</si>
  <si>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</si>
  <si>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0058092</t>
  </si>
  <si>
    <t>CEFAZOLIN SANDOZ 1 G</t>
  </si>
  <si>
    <t>0084090</t>
  </si>
  <si>
    <t>DEXAMED</t>
  </si>
  <si>
    <t>0090021</t>
  </si>
  <si>
    <t>MARCAINE SPINAL 0,5%</t>
  </si>
  <si>
    <t>0093109</t>
  </si>
  <si>
    <t>0154815</t>
  </si>
  <si>
    <t>TETANOL PUR</t>
  </si>
  <si>
    <t>0002684</t>
  </si>
  <si>
    <t>3</t>
  </si>
  <si>
    <t>0017751</t>
  </si>
  <si>
    <t>DRÁT KIRSCHNERŮV OCEL</t>
  </si>
  <si>
    <t>0082077</t>
  </si>
  <si>
    <t>KRYTÍ COM 30 OBVAZOVÁ TEXTÍLIE KOMBINOVANÁ</t>
  </si>
  <si>
    <t>0111047</t>
  </si>
  <si>
    <t>DRÁT KIRSCHNER., DÉL.15,5 CM, PR. 0,8-4 MM</t>
  </si>
  <si>
    <t>0110499</t>
  </si>
  <si>
    <t>DRÁT KIRSCHNER, LANCETA</t>
  </si>
  <si>
    <t>V</t>
  </si>
  <si>
    <t>04400</t>
  </si>
  <si>
    <t>SVODNÁ ANESTEZIE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</si>
  <si>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</si>
  <si>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</si>
  <si>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</si>
  <si>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</si>
  <si>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</si>
  <si>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</si>
  <si>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</si>
  <si>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</si>
  <si>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</si>
  <si>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</si>
  <si>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</si>
  <si>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</si>
  <si>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</si>
  <si>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</si>
  <si>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</si>
  <si>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</si>
  <si>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44225</t>
  </si>
  <si>
    <t>SKLEROTERAPIE METLIČKOVITÝCH A RETIKULÁRNÍCH VARIX</t>
  </si>
  <si>
    <t>44229</t>
  </si>
  <si>
    <t>INFILTRACE KOŽNÍCH LÉZÍ (1-5)</t>
  </si>
  <si>
    <t>51818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</si>
  <si>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</si>
  <si>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</si>
  <si>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</si>
  <si>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</si>
  <si>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</si>
  <si>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</si>
  <si>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</si>
  <si>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</si>
  <si>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</si>
  <si>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</si>
  <si>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</si>
  <si>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</si>
  <si>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</si>
  <si>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</si>
  <si>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</si>
  <si>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</si>
  <si>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</si>
  <si>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</si>
  <si>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</si>
  <si>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</si>
  <si>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</si>
  <si>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</si>
  <si>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</si>
  <si>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</si>
  <si>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</si>
  <si>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</si>
  <si>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</si>
  <si>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</si>
  <si>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66413</t>
  </si>
  <si>
    <t>AMPUTACE PRSTU RUKY NEBO ČLÁNKU PRSTU - ZA KAŽDÝ D</t>
  </si>
  <si>
    <t>66823</t>
  </si>
  <si>
    <t>ODSTRANĚNÍ ZEVNÍHO FIXATÉRU</t>
  </si>
  <si>
    <t>66949</t>
  </si>
  <si>
    <t>PUNKCE KLOUBNÍ S APLIKACÍ LÉČIVA</t>
  </si>
  <si>
    <t>09547</t>
  </si>
  <si>
    <t>REGULAČNÍ POPLATEK -- POJIŠTĚNEC OD ÚHRADY POPLATK</t>
  </si>
  <si>
    <t>61021</t>
  </si>
  <si>
    <t>KOMPLEXNÍ VYŠETŘENÍ PLASTICKÝM CHIRURGEM</t>
  </si>
  <si>
    <t>09543</t>
  </si>
  <si>
    <t>SIGNÁLNÍ VÝKON KLINICKÉHO VYŠETŘENÍ / DO 31.12.201</t>
  </si>
  <si>
    <t>09544</t>
  </si>
  <si>
    <t>SIGNÁLNÍ VÝKON POBYTU V ZAŘÍZENÍ LŮŽKOVÉ PÉČE / DO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</si>
  <si>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</si>
  <si>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</si>
  <si>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</si>
  <si>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</si>
  <si>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</si>
  <si>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</si>
  <si>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</si>
  <si>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</si>
  <si>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</si>
  <si>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</si>
  <si>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</si>
  <si>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</si>
  <si>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09513</t>
  </si>
  <si>
    <t>TELEFONICKÁ KONZULTACE OŠETŘUJÍCÍHO LÉKAŘE PACIENT</t>
  </si>
  <si>
    <t>61115</t>
  </si>
  <si>
    <t>51851</t>
  </si>
  <si>
    <t>FIXAČNÍ SÁDROVÁ DLAHA - RUKA, PŘEDLOKTÍ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</si>
  <si>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</si>
  <si>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</si>
  <si>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</si>
  <si>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</si>
  <si>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</si>
  <si>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</si>
  <si>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</si>
  <si>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</si>
  <si>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</si>
  <si>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</si>
  <si>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</si>
  <si>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</si>
  <si>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61411</t>
  </si>
  <si>
    <t>XANTHELASMA - XANTOMY VÍČKA, EXCIZE XANTOMU VÍČKA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</si>
  <si>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</si>
  <si>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</si>
  <si>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</si>
  <si>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</si>
  <si>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</si>
  <si>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</si>
  <si>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</si>
  <si>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</si>
  <si>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</si>
  <si>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</si>
  <si>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66837</t>
  </si>
  <si>
    <t>EXSTIRPACE BURZY NEBO GANGLIA - POVRCHOVÁ</t>
  </si>
  <si>
    <t>62410</t>
  </si>
  <si>
    <t>ŠTĚP PŘI POPÁLENÍ - DLAŇ, DORSUM RUKY, NOHY NEBO D</t>
  </si>
  <si>
    <t>61225</t>
  </si>
  <si>
    <t>NEUROLÝZA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</si>
  <si>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</si>
  <si>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</si>
  <si>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</si>
  <si>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</si>
  <si>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</si>
  <si>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</si>
  <si>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</si>
  <si>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</si>
  <si>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61165</t>
  </si>
  <si>
    <t>ROZPROSTŘENÍ NEBO MODELACE LALOKU</t>
  </si>
  <si>
    <t>53515</t>
  </si>
  <si>
    <t>SUTURA ŠLACHY EXTENSORU RUKY A ZÁPĚSTÍ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</si>
  <si>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</si>
  <si>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</si>
  <si>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</si>
  <si>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</si>
  <si>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</si>
  <si>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</si>
  <si>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</si>
  <si>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</si>
  <si>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</si>
  <si>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</si>
  <si>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61131</t>
  </si>
  <si>
    <t>EXCIZE KOŽNÍ LÉZE, SUTURA VÍCE NEŽ 10 CM</t>
  </si>
  <si>
    <t>62440</t>
  </si>
  <si>
    <t>ŠTĚP PŘI POPÁLENÍ (A OSTATNÍCH KOŽNÍCH ZTRÁTÁCH) D</t>
  </si>
  <si>
    <t>75399</t>
  </si>
  <si>
    <t>DERMATOPLASTIKA JEDNOHO VÍČKA NEBO BLEPHAROCHALASI</t>
  </si>
  <si>
    <t>62130</t>
  </si>
  <si>
    <t>POPÁLENINY - OŠETŘENÍ A PŘEVAZ PRSTU RUKY, NOHY NE</t>
  </si>
  <si>
    <t>62420</t>
  </si>
  <si>
    <t>ŠTĚP PŘI POPÁLENÍ (A OSTATNÍCH KOŽNÍCH ZTRÁTÁCH) -</t>
  </si>
  <si>
    <t>62160</t>
  </si>
  <si>
    <t>POPÁLENI - OŠETŘENÍ A PŘEVAZ, 5 - 10 % POVRCHU</t>
  </si>
  <si>
    <t>66425</t>
  </si>
  <si>
    <t xml:space="preserve">SYNOVEKTOMIE KLOUBU PRSTU RUKY ČI NOHY - ZA PRVNÍ </t>
  </si>
  <si>
    <t>61401</t>
  </si>
  <si>
    <t>KOREKCE MALÉ VROZENÉ ANOMÁLIE BOLTCE A OKOLÍ (VÝRŮ</t>
  </si>
  <si>
    <t>61391</t>
  </si>
  <si>
    <t>VYTVOŘENÍ NOVÉ PRSNÍ BRADAVKY A PRSNÍHO DVORCE</t>
  </si>
  <si>
    <t>61425</t>
  </si>
  <si>
    <t>OPERACE RINOFYMY</t>
  </si>
  <si>
    <t>51875</t>
  </si>
  <si>
    <t>PŘILOŽENÍ MĚKKÉHO OBVAZU (ZINKOKLIH, ŠKROBOVÝ OBVA</t>
  </si>
  <si>
    <t>606</t>
  </si>
  <si>
    <t>66839</t>
  </si>
  <si>
    <t>EXSTIRPACE NÁDORU MĚKKÝCH TKÁNÍ - POVRCHOVĚ ULOŽEN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</si>
  <si>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</si>
  <si>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</si>
  <si>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</si>
  <si>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</si>
  <si>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</si>
  <si>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</si>
  <si>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</si>
  <si>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</si>
  <si>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09 - Novorozenecké oddělení</t>
  </si>
  <si>
    <t>10 - Dětská klinika</t>
  </si>
  <si>
    <t>11 - Ortopedická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</si>
  <si>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</si>
  <si>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</si>
  <si>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</si>
  <si>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</si>
  <si>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</si>
  <si>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</si>
  <si>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</si>
  <si>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</si>
  <si>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</si>
  <si>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</si>
  <si>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</si>
  <si>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</si>
  <si>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</si>
  <si>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</si>
  <si>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</si>
  <si>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</si>
  <si>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</si>
  <si>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0092207</t>
  </si>
  <si>
    <t>05</t>
  </si>
  <si>
    <t>06</t>
  </si>
  <si>
    <t>07</t>
  </si>
  <si>
    <t>09</t>
  </si>
  <si>
    <t>10</t>
  </si>
  <si>
    <t>66679</t>
  </si>
  <si>
    <t>EXARTIKULACE (AMPUTACE METATARZÁLNÍ) FALANGEÁLNÍ -</t>
  </si>
  <si>
    <t>6F1</t>
  </si>
  <si>
    <t>61473</t>
  </si>
  <si>
    <t>IMPLANTACE TKÁŇOVÉHO EXPANDERU</t>
  </si>
  <si>
    <t>11</t>
  </si>
  <si>
    <t>13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</si>
  <si>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</si>
  <si>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</si>
  <si>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</si>
  <si>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</si>
  <si>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</si>
  <si>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</si>
  <si>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</si>
  <si>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</si>
  <si>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</si>
  <si>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50</t>
  </si>
  <si>
    <t>59</t>
  </si>
  <si>
    <t>Zdravotní výkony vykázané na pracovišti pro pacienty hospitalizované ve FNOL - orientační přehled</t>
  </si>
  <si>
    <t>32 - Hemato-onkologická klinika</t>
  </si>
  <si>
    <t>37 - Ústav klinické a molekulární patologie</t>
  </si>
  <si>
    <t>32</t>
  </si>
  <si>
    <t>818</t>
  </si>
  <si>
    <t>96167</t>
  </si>
  <si>
    <t>KREVNÍ OBRAZ S PĚTI POPULAČNÍM DIFERENCIÁLNÍM POČT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</si>
  <si>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</si>
  <si>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</si>
  <si>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</si>
  <si>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</si>
  <si>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</si>
  <si>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</si>
  <si>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</si>
  <si>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</si>
  <si>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</si>
  <si>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</si>
  <si>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</si>
  <si>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</si>
  <si>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</si>
  <si>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</si>
  <si>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</si>
  <si>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</si>
  <si>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</si>
  <si>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</si>
  <si>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</si>
  <si>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</si>
  <si>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</si>
  <si>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</si>
  <si>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</si>
  <si>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</si>
  <si>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87011</t>
  </si>
  <si>
    <t>KONZULTACE NÁLEZU PATOLOGEM CÍLENÁ NA ŽÁDOST OŠETŘ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</si>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</sst>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9" fontId="3" fillId="0" borderId="68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3" fillId="8" borderId="76" xfId="0" applyNumberFormat="1" applyFont="1" applyFill="1" applyBorder="1"/>
    <xf numFmtId="3" fontId="53" fillId="8" borderId="75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9" xfId="0" applyNumberFormat="1" applyFont="1" applyFill="1" applyBorder="1" applyAlignment="1">
      <alignment horizontal="center" vertical="center"/>
    </xf>
    <xf numFmtId="0" fontId="40" fillId="2" borderId="80" xfId="0" applyFont="1" applyFill="1" applyBorder="1" applyAlignment="1">
      <alignment horizontal="center" vertical="center"/>
    </xf>
    <xf numFmtId="3" fontId="55" fillId="2" borderId="82" xfId="0" applyNumberFormat="1" applyFont="1" applyFill="1" applyBorder="1" applyAlignment="1">
      <alignment horizontal="center" vertical="center" wrapText="1"/>
    </xf>
    <xf numFmtId="0" fontId="55" fillId="2" borderId="83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5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0" borderId="88" xfId="0" applyNumberFormat="1" applyFont="1" applyBorder="1"/>
    <xf numFmtId="173" fontId="33" fillId="0" borderId="92" xfId="0" applyNumberFormat="1" applyFont="1" applyBorder="1"/>
    <xf numFmtId="173" fontId="33" fillId="0" borderId="90" xfId="0" applyNumberFormat="1" applyFont="1" applyBorder="1"/>
    <xf numFmtId="173" fontId="40" fillId="0" borderId="99" xfId="0" applyNumberFormat="1" applyFont="1" applyBorder="1"/>
    <xf numFmtId="173" fontId="33" fillId="0" borderId="100" xfId="0" applyNumberFormat="1" applyFont="1" applyBorder="1"/>
    <xf numFmtId="173" fontId="33" fillId="0" borderId="83" xfId="0" applyNumberFormat="1" applyFont="1" applyBorder="1"/>
    <xf numFmtId="173" fontId="40" fillId="2" borderId="101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0" borderId="94" xfId="0" applyNumberFormat="1" applyFont="1" applyBorder="1"/>
    <xf numFmtId="173" fontId="33" fillId="0" borderId="95" xfId="0" applyNumberFormat="1" applyFont="1" applyBorder="1"/>
    <xf numFmtId="173" fontId="33" fillId="0" borderId="96" xfId="0" applyNumberFormat="1" applyFont="1" applyBorder="1"/>
    <xf numFmtId="173" fontId="40" fillId="0" borderId="86" xfId="0" applyNumberFormat="1" applyFont="1" applyBorder="1"/>
    <xf numFmtId="173" fontId="33" fillId="0" borderId="102" xfId="0" applyNumberFormat="1" applyFont="1" applyBorder="1"/>
    <xf numFmtId="173" fontId="33" fillId="0" borderId="80" xfId="0" applyNumberFormat="1" applyFont="1" applyBorder="1"/>
    <xf numFmtId="174" fontId="40" fillId="2" borderId="86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89" xfId="0" applyNumberFormat="1" applyFont="1" applyBorder="1"/>
    <xf numFmtId="174" fontId="33" fillId="0" borderId="90" xfId="0" applyNumberFormat="1" applyFont="1" applyBorder="1"/>
    <xf numFmtId="174" fontId="33" fillId="0" borderId="92" xfId="0" applyNumberFormat="1" applyFont="1" applyBorder="1"/>
    <xf numFmtId="174" fontId="40" fillId="0" borderId="94" xfId="0" applyNumberFormat="1" applyFont="1" applyBorder="1"/>
    <xf numFmtId="174" fontId="33" fillId="0" borderId="95" xfId="0" applyNumberFormat="1" applyFont="1" applyBorder="1"/>
    <xf numFmtId="174" fontId="33" fillId="0" borderId="96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10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3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8" xfId="0" applyNumberFormat="1" applyFont="1" applyBorder="1"/>
    <xf numFmtId="9" fontId="33" fillId="0" borderId="92" xfId="0" applyNumberFormat="1" applyFont="1" applyBorder="1"/>
    <xf numFmtId="9" fontId="33" fillId="0" borderId="90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0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10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5" xfId="0" applyNumberFormat="1" applyFont="1" applyFill="1" applyBorder="1" applyAlignment="1">
      <alignment horizontal="right" vertical="top"/>
    </xf>
    <xf numFmtId="3" fontId="34" fillId="9" borderId="116" xfId="0" applyNumberFormat="1" applyFont="1" applyFill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4" fillId="0" borderId="115" xfId="0" applyNumberFormat="1" applyFont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0" fontId="36" fillId="0" borderId="126" xfId="0" applyFont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0" fontId="38" fillId="10" borderId="114" xfId="0" applyFont="1" applyFill="1" applyBorder="1" applyAlignment="1">
      <alignment vertical="top"/>
    </xf>
    <xf numFmtId="0" fontId="38" fillId="10" borderId="114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6"/>
    </xf>
    <xf numFmtId="0" fontId="38" fillId="10" borderId="114" xfId="0" applyFont="1" applyFill="1" applyBorder="1" applyAlignment="1">
      <alignment vertical="top" indent="8"/>
    </xf>
    <xf numFmtId="0" fontId="39" fillId="10" borderId="119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6"/>
    </xf>
    <xf numFmtId="0" fontId="39" fillId="10" borderId="119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/>
    </xf>
    <xf numFmtId="0" fontId="33" fillId="10" borderId="114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8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28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10" xfId="0" applyFont="1" applyFill="1" applyBorder="1"/>
    <xf numFmtId="0" fontId="40" fillId="0" borderId="108" xfId="0" applyFont="1" applyFill="1" applyBorder="1" applyAlignment="1">
      <alignment horizontal="left" indent="1"/>
    </xf>
    <xf numFmtId="0" fontId="40" fillId="0" borderId="109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9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9" xfId="0" applyNumberFormat="1" applyFont="1" applyFill="1" applyBorder="1"/>
    <xf numFmtId="3" fontId="33" fillId="0" borderId="82" xfId="0" applyNumberFormat="1" applyFont="1" applyFill="1" applyBorder="1"/>
    <xf numFmtId="9" fontId="33" fillId="0" borderId="106" xfId="0" applyNumberFormat="1" applyFont="1" applyFill="1" applyBorder="1"/>
    <xf numFmtId="9" fontId="33" fillId="0" borderId="104" xfId="0" applyNumberFormat="1" applyFont="1" applyFill="1" applyBorder="1"/>
    <xf numFmtId="9" fontId="33" fillId="0" borderId="105" xfId="0" applyNumberFormat="1" applyFont="1" applyFill="1" applyBorder="1"/>
    <xf numFmtId="9" fontId="30" fillId="0" borderId="0" xfId="0" applyNumberFormat="1" applyFont="1" applyFill="1" applyBorder="1"/>
    <xf numFmtId="0" fontId="40" fillId="10" borderId="110" xfId="0" applyFont="1" applyFill="1" applyBorder="1"/>
    <xf numFmtId="0" fontId="40" fillId="10" borderId="108" xfId="0" applyFont="1" applyFill="1" applyBorder="1"/>
    <xf numFmtId="0" fontId="40" fillId="10" borderId="109" xfId="0" applyFont="1" applyFill="1" applyBorder="1"/>
    <xf numFmtId="0" fontId="3" fillId="2" borderId="96" xfId="80" applyFont="1" applyFill="1" applyBorder="1"/>
    <xf numFmtId="3" fontId="33" fillId="0" borderId="106" xfId="0" applyNumberFormat="1" applyFont="1" applyFill="1" applyBorder="1"/>
    <xf numFmtId="3" fontId="33" fillId="0" borderId="104" xfId="0" applyNumberFormat="1" applyFont="1" applyFill="1" applyBorder="1"/>
    <xf numFmtId="3" fontId="33" fillId="0" borderId="105" xfId="0" applyNumberFormat="1" applyFont="1" applyFill="1" applyBorder="1"/>
    <xf numFmtId="0" fontId="33" fillId="0" borderId="110" xfId="0" applyFont="1" applyFill="1" applyBorder="1"/>
    <xf numFmtId="0" fontId="33" fillId="0" borderId="108" xfId="0" applyFont="1" applyFill="1" applyBorder="1"/>
    <xf numFmtId="0" fontId="33" fillId="0" borderId="109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40" fillId="2" borderId="130" xfId="0" applyNumberFormat="1" applyFont="1" applyFill="1" applyBorder="1"/>
    <xf numFmtId="9" fontId="40" fillId="2" borderId="74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8" xfId="0" applyFont="1" applyFill="1" applyBorder="1"/>
    <xf numFmtId="0" fontId="40" fillId="0" borderId="141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0" fontId="40" fillId="2" borderId="129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106" xfId="0" applyFont="1" applyFill="1" applyBorder="1" applyAlignment="1">
      <alignment horizontal="center" vertical="center"/>
    </xf>
    <xf numFmtId="0" fontId="55" fillId="2" borderId="146" xfId="0" applyFont="1" applyFill="1" applyBorder="1" applyAlignment="1">
      <alignment horizontal="center" vertical="center" wrapText="1"/>
    </xf>
    <xf numFmtId="174" fontId="33" fillId="2" borderId="106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3" xfId="0" applyNumberFormat="1" applyFont="1" applyBorder="1"/>
    <xf numFmtId="173" fontId="40" fillId="4" borderId="106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106" xfId="0" applyNumberFormat="1" applyFont="1" applyFill="1" applyBorder="1" applyAlignment="1"/>
    <xf numFmtId="173" fontId="33" fillId="0" borderId="153" xfId="0" applyNumberFormat="1" applyFont="1" applyBorder="1"/>
    <xf numFmtId="173" fontId="33" fillId="0" borderId="106" xfId="0" applyNumberFormat="1" applyFont="1" applyBorder="1"/>
    <xf numFmtId="9" fontId="33" fillId="0" borderId="145" xfId="0" applyNumberFormat="1" applyFont="1" applyBorder="1"/>
    <xf numFmtId="173" fontId="40" fillId="4" borderId="154" xfId="0" applyNumberFormat="1" applyFont="1" applyFill="1" applyBorder="1" applyAlignment="1">
      <alignment horizontal="center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56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7" xfId="0" applyNumberFormat="1" applyFont="1" applyBorder="1" applyAlignment="1">
      <alignment horizontal="right"/>
    </xf>
    <xf numFmtId="175" fontId="33" fillId="0" borderId="157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80" xfId="0" applyNumberFormat="1" applyFont="1" applyFill="1" applyBorder="1"/>
    <xf numFmtId="169" fontId="33" fillId="0" borderId="136" xfId="0" applyNumberFormat="1" applyFont="1" applyFill="1" applyBorder="1"/>
    <xf numFmtId="0" fontId="40" fillId="0" borderId="135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9" xfId="0" applyNumberFormat="1" applyFont="1" applyFill="1" applyBorder="1"/>
    <xf numFmtId="169" fontId="33" fillId="0" borderId="140" xfId="0" applyNumberFormat="1" applyFont="1" applyFill="1" applyBorder="1"/>
    <xf numFmtId="169" fontId="33" fillId="0" borderId="137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7"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0.31846197911882501</c:v>
                </c:pt>
                <c:pt idx="1">
                  <c:v>0.31782445215507615</c:v>
                </c:pt>
                <c:pt idx="2">
                  <c:v>0.31697606149785773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905776"/>
        <c:axId val="11389069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0.25274635659914707</c:v>
                </c:pt>
                <c:pt idx="1">
                  <c:v>0.25274635659914707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908128"/>
        <c:axId val="1138906168"/>
      </c:scatterChart>
      <c:catAx>
        <c:axId val="113890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8906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906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8905776"/>
        <c:crosses val="autoZero"/>
        <c:crossBetween val="between"/>
      </c:valAx>
      <c:valAx>
        <c:axId val="11389081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38906168"/>
        <c:crosses val="max"/>
        <c:crossBetween val="midCat"/>
      </c:valAx>
      <c:valAx>
        <c:axId val="11389061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389081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30" t="s">
        <v>110</v>
      </c>
      <c r="B1" s="330"/>
    </row>
    <row r="2" spans="1:3" ht="14.4" customHeight="1" thickBot="1" x14ac:dyDescent="0.35">
      <c r="A2" s="240" t="s">
        <v>281</v>
      </c>
      <c r="B2" s="46"/>
    </row>
    <row r="3" spans="1:3" ht="14.4" customHeight="1" thickBot="1" x14ac:dyDescent="0.35">
      <c r="A3" s="326" t="s">
        <v>145</v>
      </c>
      <c r="B3" s="327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125</v>
      </c>
      <c r="C4" s="47" t="s">
        <v>126</v>
      </c>
    </row>
    <row r="5" spans="1:3" ht="14.4" customHeight="1" x14ac:dyDescent="0.3">
      <c r="A5" s="149" t="str">
        <f t="shared" si="0"/>
        <v>HI</v>
      </c>
      <c r="B5" s="90" t="s">
        <v>141</v>
      </c>
      <c r="C5" s="47" t="s">
        <v>113</v>
      </c>
    </row>
    <row r="6" spans="1:3" ht="14.4" customHeight="1" x14ac:dyDescent="0.3">
      <c r="A6" s="150" t="str">
        <f t="shared" si="0"/>
        <v>HI Graf</v>
      </c>
      <c r="B6" s="91" t="s">
        <v>106</v>
      </c>
      <c r="C6" s="47" t="s">
        <v>114</v>
      </c>
    </row>
    <row r="7" spans="1:3" ht="14.4" customHeight="1" x14ac:dyDescent="0.3">
      <c r="A7" s="150" t="str">
        <f t="shared" si="0"/>
        <v>Man Tab</v>
      </c>
      <c r="B7" s="91" t="s">
        <v>283</v>
      </c>
      <c r="C7" s="47" t="s">
        <v>115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28" t="s">
        <v>111</v>
      </c>
      <c r="B10" s="327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142</v>
      </c>
      <c r="C11" s="47" t="s">
        <v>116</v>
      </c>
    </row>
    <row r="12" spans="1:3" ht="14.4" customHeight="1" x14ac:dyDescent="0.3">
      <c r="A12" s="150" t="str">
        <f t="shared" ref="A12:A21" si="2">HYPERLINK("#'"&amp;C12&amp;"'!A1",C12)</f>
        <v>LŽ Detail</v>
      </c>
      <c r="B12" s="91" t="s">
        <v>166</v>
      </c>
      <c r="C12" s="47" t="s">
        <v>117</v>
      </c>
    </row>
    <row r="13" spans="1:3" ht="14.4" customHeight="1" x14ac:dyDescent="0.3">
      <c r="A13" s="150" t="str">
        <f t="shared" si="2"/>
        <v>LŽ Statim</v>
      </c>
      <c r="B13" s="314" t="s">
        <v>245</v>
      </c>
      <c r="C13" s="47" t="s">
        <v>255</v>
      </c>
    </row>
    <row r="14" spans="1:3" ht="14.4" customHeight="1" x14ac:dyDescent="0.3">
      <c r="A14" s="150" t="str">
        <f t="shared" si="2"/>
        <v>Léky Recepty</v>
      </c>
      <c r="B14" s="91" t="s">
        <v>143</v>
      </c>
      <c r="C14" s="47" t="s">
        <v>118</v>
      </c>
    </row>
    <row r="15" spans="1:3" ht="14.4" customHeight="1" x14ac:dyDescent="0.3">
      <c r="A15" s="150" t="str">
        <f t="shared" si="2"/>
        <v>LRp Lékaři</v>
      </c>
      <c r="B15" s="91" t="s">
        <v>151</v>
      </c>
      <c r="C15" s="47" t="s">
        <v>152</v>
      </c>
    </row>
    <row r="16" spans="1:3" ht="14.4" customHeight="1" x14ac:dyDescent="0.3">
      <c r="A16" s="150" t="str">
        <f t="shared" si="2"/>
        <v>LRp Detail</v>
      </c>
      <c r="B16" s="91" t="s">
        <v>1027</v>
      </c>
      <c r="C16" s="47" t="s">
        <v>119</v>
      </c>
    </row>
    <row r="17" spans="1:3" ht="28.8" customHeight="1" x14ac:dyDescent="0.3">
      <c r="A17" s="150" t="str">
        <f t="shared" si="2"/>
        <v>LRp PL</v>
      </c>
      <c r="B17" s="565" t="s">
        <v>1028</v>
      </c>
      <c r="C17" s="47" t="s">
        <v>148</v>
      </c>
    </row>
    <row r="18" spans="1:3" ht="14.4" customHeight="1" x14ac:dyDescent="0.3">
      <c r="A18" s="150" t="str">
        <f>HYPERLINK("#'"&amp;C18&amp;"'!A1",C18)</f>
        <v>LRp PL Detail</v>
      </c>
      <c r="B18" s="91" t="s">
        <v>1051</v>
      </c>
      <c r="C18" s="47" t="s">
        <v>149</v>
      </c>
    </row>
    <row r="19" spans="1:3" ht="14.4" customHeight="1" x14ac:dyDescent="0.3">
      <c r="A19" s="152" t="str">
        <f t="shared" ref="A19" si="3">HYPERLINK("#'"&amp;C19&amp;"'!A1",C19)</f>
        <v>Materiál Žádanky</v>
      </c>
      <c r="B19" s="91" t="s">
        <v>144</v>
      </c>
      <c r="C19" s="47" t="s">
        <v>120</v>
      </c>
    </row>
    <row r="20" spans="1:3" ht="14.4" customHeight="1" x14ac:dyDescent="0.3">
      <c r="A20" s="150" t="str">
        <f t="shared" si="2"/>
        <v>MŽ Detail</v>
      </c>
      <c r="B20" s="91" t="s">
        <v>1290</v>
      </c>
      <c r="C20" s="47" t="s">
        <v>121</v>
      </c>
    </row>
    <row r="21" spans="1:3" ht="14.4" customHeight="1" thickBot="1" x14ac:dyDescent="0.35">
      <c r="A21" s="152" t="str">
        <f t="shared" si="2"/>
        <v>Osobní náklady</v>
      </c>
      <c r="B21" s="91" t="s">
        <v>108</v>
      </c>
      <c r="C21" s="47" t="s">
        <v>122</v>
      </c>
    </row>
    <row r="22" spans="1:3" ht="14.4" customHeight="1" thickBot="1" x14ac:dyDescent="0.35">
      <c r="A22" s="94"/>
      <c r="B22" s="94"/>
    </row>
    <row r="23" spans="1:3" ht="14.4" customHeight="1" thickBot="1" x14ac:dyDescent="0.35">
      <c r="A23" s="329" t="s">
        <v>112</v>
      </c>
      <c r="B23" s="327"/>
    </row>
    <row r="24" spans="1:3" ht="14.4" customHeight="1" x14ac:dyDescent="0.3">
      <c r="A24" s="153" t="str">
        <f t="shared" ref="A24:A30" si="4">HYPERLINK("#'"&amp;C24&amp;"'!A1",C24)</f>
        <v>ZV Vykáz.-A</v>
      </c>
      <c r="B24" s="90" t="s">
        <v>1297</v>
      </c>
      <c r="C24" s="47" t="s">
        <v>127</v>
      </c>
    </row>
    <row r="25" spans="1:3" ht="14.4" customHeight="1" x14ac:dyDescent="0.3">
      <c r="A25" s="150" t="str">
        <f t="shared" ref="A25" si="5">HYPERLINK("#'"&amp;C25&amp;"'!A1",C25)</f>
        <v>ZV Vykáz.-A Lékaři</v>
      </c>
      <c r="B25" s="91" t="s">
        <v>1301</v>
      </c>
      <c r="C25" s="47" t="s">
        <v>258</v>
      </c>
    </row>
    <row r="26" spans="1:3" ht="14.4" customHeight="1" x14ac:dyDescent="0.3">
      <c r="A26" s="150" t="str">
        <f t="shared" si="4"/>
        <v>ZV Vykáz.-A Detail</v>
      </c>
      <c r="B26" s="91" t="s">
        <v>1491</v>
      </c>
      <c r="C26" s="47" t="s">
        <v>128</v>
      </c>
    </row>
    <row r="27" spans="1:3" ht="14.4" customHeight="1" x14ac:dyDescent="0.3">
      <c r="A27" s="150" t="str">
        <f t="shared" si="4"/>
        <v>ZV Vykáz.-H</v>
      </c>
      <c r="B27" s="91" t="s">
        <v>131</v>
      </c>
      <c r="C27" s="47" t="s">
        <v>129</v>
      </c>
    </row>
    <row r="28" spans="1:3" ht="14.4" customHeight="1" x14ac:dyDescent="0.3">
      <c r="A28" s="150" t="str">
        <f t="shared" si="4"/>
        <v>ZV Vykáz.-H Detail</v>
      </c>
      <c r="B28" s="91" t="s">
        <v>1543</v>
      </c>
      <c r="C28" s="47" t="s">
        <v>130</v>
      </c>
    </row>
    <row r="29" spans="1:3" ht="14.4" customHeight="1" x14ac:dyDescent="0.3">
      <c r="A29" s="150" t="str">
        <f t="shared" si="4"/>
        <v>ZV Vyžád.</v>
      </c>
      <c r="B29" s="91" t="s">
        <v>132</v>
      </c>
      <c r="C29" s="47" t="s">
        <v>124</v>
      </c>
    </row>
    <row r="30" spans="1:3" ht="14.4" customHeight="1" x14ac:dyDescent="0.3">
      <c r="A30" s="150" t="str">
        <f t="shared" si="4"/>
        <v>ZV Vyžád. Detail</v>
      </c>
      <c r="B30" s="91" t="s">
        <v>1576</v>
      </c>
      <c r="C30" s="47" t="s">
        <v>123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68" t="s">
        <v>143</v>
      </c>
      <c r="B1" s="368"/>
      <c r="C1" s="368"/>
      <c r="D1" s="368"/>
      <c r="E1" s="368"/>
      <c r="F1" s="368"/>
      <c r="G1" s="368"/>
      <c r="H1" s="368"/>
      <c r="I1" s="331"/>
      <c r="J1" s="331"/>
      <c r="K1" s="331"/>
      <c r="L1" s="331"/>
    </row>
    <row r="2" spans="1:14" ht="14.4" customHeight="1" thickBot="1" x14ac:dyDescent="0.35">
      <c r="A2" s="240" t="s">
        <v>281</v>
      </c>
      <c r="B2" s="211"/>
      <c r="C2" s="211"/>
      <c r="D2" s="211"/>
      <c r="E2" s="211"/>
      <c r="F2" s="211"/>
      <c r="G2" s="211"/>
      <c r="H2" s="211"/>
    </row>
    <row r="3" spans="1:14" ht="14.4" customHeight="1" thickBot="1" x14ac:dyDescent="0.35">
      <c r="A3" s="147"/>
      <c r="B3" s="147"/>
      <c r="C3" s="385" t="s">
        <v>15</v>
      </c>
      <c r="D3" s="384"/>
      <c r="E3" s="384" t="s">
        <v>16</v>
      </c>
      <c r="F3" s="384"/>
      <c r="G3" s="384"/>
      <c r="H3" s="384"/>
      <c r="I3" s="384" t="s">
        <v>150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52">
        <v>29</v>
      </c>
      <c r="B5" s="453" t="s">
        <v>462</v>
      </c>
      <c r="C5" s="456">
        <v>143017.20000000001</v>
      </c>
      <c r="D5" s="456">
        <v>494</v>
      </c>
      <c r="E5" s="456">
        <v>104249.77000000002</v>
      </c>
      <c r="F5" s="504">
        <v>0.72893169492900167</v>
      </c>
      <c r="G5" s="456">
        <v>331</v>
      </c>
      <c r="H5" s="504">
        <v>0.67004048582995956</v>
      </c>
      <c r="I5" s="456">
        <v>38767.430000000008</v>
      </c>
      <c r="J5" s="504">
        <v>0.27106830507099849</v>
      </c>
      <c r="K5" s="456">
        <v>163</v>
      </c>
      <c r="L5" s="504">
        <v>0.32995951417004049</v>
      </c>
      <c r="M5" s="456" t="s">
        <v>69</v>
      </c>
      <c r="N5" s="154"/>
    </row>
    <row r="6" spans="1:14" ht="14.4" customHeight="1" x14ac:dyDescent="0.3">
      <c r="A6" s="452">
        <v>29</v>
      </c>
      <c r="B6" s="453" t="s">
        <v>602</v>
      </c>
      <c r="C6" s="456">
        <v>33899.640000000014</v>
      </c>
      <c r="D6" s="456">
        <v>269</v>
      </c>
      <c r="E6" s="456">
        <v>20417.910000000011</v>
      </c>
      <c r="F6" s="504">
        <v>0.60230462624381864</v>
      </c>
      <c r="G6" s="456">
        <v>169</v>
      </c>
      <c r="H6" s="504">
        <v>0.62825278810408924</v>
      </c>
      <c r="I6" s="456">
        <v>13481.730000000003</v>
      </c>
      <c r="J6" s="504">
        <v>0.39769537375618141</v>
      </c>
      <c r="K6" s="456">
        <v>100</v>
      </c>
      <c r="L6" s="504">
        <v>0.37174721189591076</v>
      </c>
      <c r="M6" s="456" t="s">
        <v>1</v>
      </c>
      <c r="N6" s="154"/>
    </row>
    <row r="7" spans="1:14" ht="14.4" customHeight="1" x14ac:dyDescent="0.3">
      <c r="A7" s="452">
        <v>29</v>
      </c>
      <c r="B7" s="453" t="s">
        <v>603</v>
      </c>
      <c r="C7" s="456">
        <v>0</v>
      </c>
      <c r="D7" s="456">
        <v>1</v>
      </c>
      <c r="E7" s="456" t="s">
        <v>463</v>
      </c>
      <c r="F7" s="504" t="s">
        <v>463</v>
      </c>
      <c r="G7" s="456" t="s">
        <v>463</v>
      </c>
      <c r="H7" s="504">
        <v>0</v>
      </c>
      <c r="I7" s="456">
        <v>0</v>
      </c>
      <c r="J7" s="504" t="s">
        <v>463</v>
      </c>
      <c r="K7" s="456">
        <v>1</v>
      </c>
      <c r="L7" s="504">
        <v>1</v>
      </c>
      <c r="M7" s="456" t="s">
        <v>1</v>
      </c>
      <c r="N7" s="154"/>
    </row>
    <row r="8" spans="1:14" ht="14.4" customHeight="1" x14ac:dyDescent="0.3">
      <c r="A8" s="452">
        <v>29</v>
      </c>
      <c r="B8" s="453" t="s">
        <v>604</v>
      </c>
      <c r="C8" s="456">
        <v>109117.56000000001</v>
      </c>
      <c r="D8" s="456">
        <v>224</v>
      </c>
      <c r="E8" s="456">
        <v>83831.860000000015</v>
      </c>
      <c r="F8" s="504">
        <v>0.76827102805451297</v>
      </c>
      <c r="G8" s="456">
        <v>162</v>
      </c>
      <c r="H8" s="504">
        <v>0.7232142857142857</v>
      </c>
      <c r="I8" s="456">
        <v>25285.7</v>
      </c>
      <c r="J8" s="504">
        <v>0.23172897194548703</v>
      </c>
      <c r="K8" s="456">
        <v>62</v>
      </c>
      <c r="L8" s="504">
        <v>0.2767857142857143</v>
      </c>
      <c r="M8" s="456" t="s">
        <v>1</v>
      </c>
      <c r="N8" s="154"/>
    </row>
    <row r="9" spans="1:14" ht="14.4" customHeight="1" x14ac:dyDescent="0.3">
      <c r="A9" s="452" t="s">
        <v>461</v>
      </c>
      <c r="B9" s="453" t="s">
        <v>3</v>
      </c>
      <c r="C9" s="456">
        <v>143017.20000000001</v>
      </c>
      <c r="D9" s="456">
        <v>494</v>
      </c>
      <c r="E9" s="456">
        <v>104249.77000000002</v>
      </c>
      <c r="F9" s="504">
        <v>0.72893169492900167</v>
      </c>
      <c r="G9" s="456">
        <v>331</v>
      </c>
      <c r="H9" s="504">
        <v>0.67004048582995956</v>
      </c>
      <c r="I9" s="456">
        <v>38767.430000000008</v>
      </c>
      <c r="J9" s="504">
        <v>0.27106830507099849</v>
      </c>
      <c r="K9" s="456">
        <v>163</v>
      </c>
      <c r="L9" s="504">
        <v>0.32995951417004049</v>
      </c>
      <c r="M9" s="456" t="s">
        <v>466</v>
      </c>
      <c r="N9" s="154"/>
    </row>
    <row r="11" spans="1:14" ht="14.4" customHeight="1" x14ac:dyDescent="0.3">
      <c r="A11" s="452">
        <v>29</v>
      </c>
      <c r="B11" s="453" t="s">
        <v>462</v>
      </c>
      <c r="C11" s="456" t="s">
        <v>463</v>
      </c>
      <c r="D11" s="456" t="s">
        <v>463</v>
      </c>
      <c r="E11" s="456" t="s">
        <v>463</v>
      </c>
      <c r="F11" s="504" t="s">
        <v>463</v>
      </c>
      <c r="G11" s="456" t="s">
        <v>463</v>
      </c>
      <c r="H11" s="504" t="s">
        <v>463</v>
      </c>
      <c r="I11" s="456" t="s">
        <v>463</v>
      </c>
      <c r="J11" s="504" t="s">
        <v>463</v>
      </c>
      <c r="K11" s="456" t="s">
        <v>463</v>
      </c>
      <c r="L11" s="504" t="s">
        <v>463</v>
      </c>
      <c r="M11" s="456" t="s">
        <v>69</v>
      </c>
      <c r="N11" s="154"/>
    </row>
    <row r="12" spans="1:14" ht="14.4" customHeight="1" x14ac:dyDescent="0.3">
      <c r="A12" s="452">
        <v>89301292</v>
      </c>
      <c r="B12" s="453" t="s">
        <v>602</v>
      </c>
      <c r="C12" s="456">
        <v>33899.640000000014</v>
      </c>
      <c r="D12" s="456">
        <v>269</v>
      </c>
      <c r="E12" s="456">
        <v>20417.910000000011</v>
      </c>
      <c r="F12" s="504">
        <v>0.60230462624381864</v>
      </c>
      <c r="G12" s="456">
        <v>169</v>
      </c>
      <c r="H12" s="504">
        <v>0.62825278810408924</v>
      </c>
      <c r="I12" s="456">
        <v>13481.730000000003</v>
      </c>
      <c r="J12" s="504">
        <v>0.39769537375618141</v>
      </c>
      <c r="K12" s="456">
        <v>100</v>
      </c>
      <c r="L12" s="504">
        <v>0.37174721189591076</v>
      </c>
      <c r="M12" s="456" t="s">
        <v>1</v>
      </c>
      <c r="N12" s="154"/>
    </row>
    <row r="13" spans="1:14" ht="14.4" customHeight="1" x14ac:dyDescent="0.3">
      <c r="A13" s="452">
        <v>89301292</v>
      </c>
      <c r="B13" s="453" t="s">
        <v>603</v>
      </c>
      <c r="C13" s="456">
        <v>0</v>
      </c>
      <c r="D13" s="456">
        <v>1</v>
      </c>
      <c r="E13" s="456" t="s">
        <v>463</v>
      </c>
      <c r="F13" s="504" t="s">
        <v>463</v>
      </c>
      <c r="G13" s="456" t="s">
        <v>463</v>
      </c>
      <c r="H13" s="504">
        <v>0</v>
      </c>
      <c r="I13" s="456">
        <v>0</v>
      </c>
      <c r="J13" s="504" t="s">
        <v>463</v>
      </c>
      <c r="K13" s="456">
        <v>1</v>
      </c>
      <c r="L13" s="504">
        <v>1</v>
      </c>
      <c r="M13" s="456" t="s">
        <v>1</v>
      </c>
      <c r="N13" s="154"/>
    </row>
    <row r="14" spans="1:14" ht="14.4" customHeight="1" x14ac:dyDescent="0.3">
      <c r="A14" s="452">
        <v>89301292</v>
      </c>
      <c r="B14" s="453" t="s">
        <v>604</v>
      </c>
      <c r="C14" s="456">
        <v>109117.56000000001</v>
      </c>
      <c r="D14" s="456">
        <v>224</v>
      </c>
      <c r="E14" s="456">
        <v>83831.860000000015</v>
      </c>
      <c r="F14" s="504">
        <v>0.76827102805451297</v>
      </c>
      <c r="G14" s="456">
        <v>162</v>
      </c>
      <c r="H14" s="504">
        <v>0.7232142857142857</v>
      </c>
      <c r="I14" s="456">
        <v>25285.7</v>
      </c>
      <c r="J14" s="504">
        <v>0.23172897194548703</v>
      </c>
      <c r="K14" s="456">
        <v>62</v>
      </c>
      <c r="L14" s="504">
        <v>0.2767857142857143</v>
      </c>
      <c r="M14" s="456" t="s">
        <v>1</v>
      </c>
      <c r="N14" s="154"/>
    </row>
    <row r="15" spans="1:14" ht="14.4" customHeight="1" x14ac:dyDescent="0.3">
      <c r="A15" s="452" t="s">
        <v>605</v>
      </c>
      <c r="B15" s="453" t="s">
        <v>606</v>
      </c>
      <c r="C15" s="456">
        <v>143017.20000000001</v>
      </c>
      <c r="D15" s="456">
        <v>494</v>
      </c>
      <c r="E15" s="456">
        <v>104249.77000000002</v>
      </c>
      <c r="F15" s="504">
        <v>0.72893169492900167</v>
      </c>
      <c r="G15" s="456">
        <v>331</v>
      </c>
      <c r="H15" s="504">
        <v>0.67004048582995956</v>
      </c>
      <c r="I15" s="456">
        <v>38767.430000000008</v>
      </c>
      <c r="J15" s="504">
        <v>0.27106830507099849</v>
      </c>
      <c r="K15" s="456">
        <v>163</v>
      </c>
      <c r="L15" s="504">
        <v>0.32995951417004049</v>
      </c>
      <c r="M15" s="456" t="s">
        <v>470</v>
      </c>
      <c r="N15" s="154"/>
    </row>
    <row r="16" spans="1:14" ht="14.4" customHeight="1" x14ac:dyDescent="0.3">
      <c r="A16" s="452" t="s">
        <v>463</v>
      </c>
      <c r="B16" s="453" t="s">
        <v>463</v>
      </c>
      <c r="C16" s="456" t="s">
        <v>463</v>
      </c>
      <c r="D16" s="456" t="s">
        <v>463</v>
      </c>
      <c r="E16" s="456" t="s">
        <v>463</v>
      </c>
      <c r="F16" s="504" t="s">
        <v>463</v>
      </c>
      <c r="G16" s="456" t="s">
        <v>463</v>
      </c>
      <c r="H16" s="504" t="s">
        <v>463</v>
      </c>
      <c r="I16" s="456" t="s">
        <v>463</v>
      </c>
      <c r="J16" s="504" t="s">
        <v>463</v>
      </c>
      <c r="K16" s="456" t="s">
        <v>463</v>
      </c>
      <c r="L16" s="504" t="s">
        <v>463</v>
      </c>
      <c r="M16" s="456" t="s">
        <v>471</v>
      </c>
      <c r="N16" s="154"/>
    </row>
    <row r="17" spans="1:14" ht="14.4" customHeight="1" x14ac:dyDescent="0.3">
      <c r="A17" s="452" t="s">
        <v>461</v>
      </c>
      <c r="B17" s="453" t="s">
        <v>465</v>
      </c>
      <c r="C17" s="456">
        <v>143017.20000000001</v>
      </c>
      <c r="D17" s="456">
        <v>494</v>
      </c>
      <c r="E17" s="456">
        <v>104249.77000000002</v>
      </c>
      <c r="F17" s="504">
        <v>0.72893169492900167</v>
      </c>
      <c r="G17" s="456">
        <v>331</v>
      </c>
      <c r="H17" s="504">
        <v>0.67004048582995956</v>
      </c>
      <c r="I17" s="456">
        <v>38767.430000000008</v>
      </c>
      <c r="J17" s="504">
        <v>0.27106830507099849</v>
      </c>
      <c r="K17" s="456">
        <v>163</v>
      </c>
      <c r="L17" s="504">
        <v>0.32995951417004049</v>
      </c>
      <c r="M17" s="456" t="s">
        <v>466</v>
      </c>
      <c r="N17" s="154"/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6" priority="15" stopIfTrue="1" operator="lessThan">
      <formula>0.6</formula>
    </cfRule>
  </conditionalFormatting>
  <conditionalFormatting sqref="B5:B9">
    <cfRule type="expression" dxfId="35" priority="10">
      <formula>AND(LEFT(M5,6)&lt;&gt;"mezera",M5&lt;&gt;"")</formula>
    </cfRule>
  </conditionalFormatting>
  <conditionalFormatting sqref="A5:A9">
    <cfRule type="expression" dxfId="34" priority="8">
      <formula>AND(M5&lt;&gt;"",M5&lt;&gt;"mezeraKL")</formula>
    </cfRule>
  </conditionalFormatting>
  <conditionalFormatting sqref="F5:F9">
    <cfRule type="cellIs" dxfId="33" priority="7" operator="lessThan">
      <formula>0.6</formula>
    </cfRule>
  </conditionalFormatting>
  <conditionalFormatting sqref="B5:L9">
    <cfRule type="expression" dxfId="32" priority="9">
      <formula>OR($M5="KL",$M5="SumaKL")</formula>
    </cfRule>
    <cfRule type="expression" dxfId="31" priority="11">
      <formula>$M5="SumaNS"</formula>
    </cfRule>
  </conditionalFormatting>
  <conditionalFormatting sqref="A5:L9">
    <cfRule type="expression" dxfId="30" priority="12">
      <formula>$M5&lt;&gt;""</formula>
    </cfRule>
  </conditionalFormatting>
  <conditionalFormatting sqref="B11:B17">
    <cfRule type="expression" dxfId="29" priority="4">
      <formula>AND(LEFT(M11,6)&lt;&gt;"mezera",M11&lt;&gt;"")</formula>
    </cfRule>
  </conditionalFormatting>
  <conditionalFormatting sqref="A11:A17">
    <cfRule type="expression" dxfId="28" priority="2">
      <formula>AND(M11&lt;&gt;"",M11&lt;&gt;"mezeraKL")</formula>
    </cfRule>
  </conditionalFormatting>
  <conditionalFormatting sqref="F11:F17">
    <cfRule type="cellIs" dxfId="27" priority="1" operator="lessThan">
      <formula>0.6</formula>
    </cfRule>
  </conditionalFormatting>
  <conditionalFormatting sqref="B11:L17">
    <cfRule type="expression" dxfId="26" priority="3">
      <formula>OR($M11="KL",$M11="SumaKL")</formula>
    </cfRule>
    <cfRule type="expression" dxfId="25" priority="5">
      <formula>$M11="SumaNS"</formula>
    </cfRule>
  </conditionalFormatting>
  <conditionalFormatting sqref="A11:L17">
    <cfRule type="expression" dxfId="2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2" bestFit="1" customWidth="1"/>
    <col min="3" max="3" width="11.109375" style="133" hidden="1" customWidth="1"/>
    <col min="4" max="4" width="7.33203125" style="212" bestFit="1" customWidth="1"/>
    <col min="5" max="5" width="7.33203125" style="133" hidden="1" customWidth="1"/>
    <col min="6" max="6" width="11.109375" style="212" bestFit="1" customWidth="1"/>
    <col min="7" max="7" width="5.33203125" style="215" customWidth="1"/>
    <col min="8" max="8" width="7.33203125" style="212" bestFit="1" customWidth="1"/>
    <col min="9" max="9" width="5.33203125" style="215" customWidth="1"/>
    <col min="10" max="10" width="11.109375" style="212" customWidth="1"/>
    <col min="11" max="11" width="5.33203125" style="215" customWidth="1"/>
    <col min="12" max="12" width="7.33203125" style="212" customWidth="1"/>
    <col min="13" max="13" width="5.33203125" style="215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68" t="s">
        <v>151</v>
      </c>
      <c r="B1" s="368"/>
      <c r="C1" s="368"/>
      <c r="D1" s="368"/>
      <c r="E1" s="368"/>
      <c r="F1" s="368"/>
      <c r="G1" s="368"/>
      <c r="H1" s="368"/>
      <c r="I1" s="368"/>
      <c r="J1" s="331"/>
      <c r="K1" s="331"/>
      <c r="L1" s="331"/>
      <c r="M1" s="331"/>
    </row>
    <row r="2" spans="1:13" ht="14.4" customHeight="1" thickBot="1" x14ac:dyDescent="0.35">
      <c r="A2" s="240" t="s">
        <v>281</v>
      </c>
      <c r="B2" s="219"/>
      <c r="C2" s="211"/>
      <c r="D2" s="219"/>
      <c r="E2" s="211"/>
      <c r="F2" s="219"/>
      <c r="G2" s="220"/>
      <c r="H2" s="219"/>
      <c r="I2" s="220"/>
    </row>
    <row r="3" spans="1:13" ht="14.4" customHeight="1" thickBot="1" x14ac:dyDescent="0.35">
      <c r="A3" s="147"/>
      <c r="B3" s="385" t="s">
        <v>15</v>
      </c>
      <c r="C3" s="387"/>
      <c r="D3" s="384"/>
      <c r="E3" s="146"/>
      <c r="F3" s="384" t="s">
        <v>16</v>
      </c>
      <c r="G3" s="384"/>
      <c r="H3" s="384"/>
      <c r="I3" s="384"/>
      <c r="J3" s="384" t="s">
        <v>150</v>
      </c>
      <c r="K3" s="384"/>
      <c r="L3" s="384"/>
      <c r="M3" s="386"/>
    </row>
    <row r="4" spans="1:13" ht="14.4" customHeight="1" thickBot="1" x14ac:dyDescent="0.35">
      <c r="A4" s="480" t="s">
        <v>140</v>
      </c>
      <c r="B4" s="481" t="s">
        <v>19</v>
      </c>
      <c r="C4" s="508"/>
      <c r="D4" s="481" t="s">
        <v>20</v>
      </c>
      <c r="E4" s="508"/>
      <c r="F4" s="481" t="s">
        <v>19</v>
      </c>
      <c r="G4" s="484" t="s">
        <v>2</v>
      </c>
      <c r="H4" s="481" t="s">
        <v>20</v>
      </c>
      <c r="I4" s="484" t="s">
        <v>2</v>
      </c>
      <c r="J4" s="481" t="s">
        <v>19</v>
      </c>
      <c r="K4" s="484" t="s">
        <v>2</v>
      </c>
      <c r="L4" s="481" t="s">
        <v>20</v>
      </c>
      <c r="M4" s="485" t="s">
        <v>2</v>
      </c>
    </row>
    <row r="5" spans="1:13" ht="14.4" customHeight="1" x14ac:dyDescent="0.3">
      <c r="A5" s="505" t="s">
        <v>607</v>
      </c>
      <c r="B5" s="498">
        <v>44554.990000000005</v>
      </c>
      <c r="C5" s="463">
        <v>1</v>
      </c>
      <c r="D5" s="509">
        <v>133</v>
      </c>
      <c r="E5" s="512" t="s">
        <v>607</v>
      </c>
      <c r="F5" s="498">
        <v>32725.64</v>
      </c>
      <c r="G5" s="486">
        <v>0.73449999652115272</v>
      </c>
      <c r="H5" s="466">
        <v>91</v>
      </c>
      <c r="I5" s="487">
        <v>0.68421052631578949</v>
      </c>
      <c r="J5" s="515">
        <v>11829.350000000002</v>
      </c>
      <c r="K5" s="486">
        <v>0.26550000347884717</v>
      </c>
      <c r="L5" s="466">
        <v>42</v>
      </c>
      <c r="M5" s="487">
        <v>0.31578947368421051</v>
      </c>
    </row>
    <row r="6" spans="1:13" ht="14.4" customHeight="1" x14ac:dyDescent="0.3">
      <c r="A6" s="506" t="s">
        <v>608</v>
      </c>
      <c r="B6" s="499">
        <v>13089.17</v>
      </c>
      <c r="C6" s="469">
        <v>1</v>
      </c>
      <c r="D6" s="510">
        <v>40</v>
      </c>
      <c r="E6" s="513" t="s">
        <v>608</v>
      </c>
      <c r="F6" s="499">
        <v>8332</v>
      </c>
      <c r="G6" s="488">
        <v>0.63655678702316498</v>
      </c>
      <c r="H6" s="472">
        <v>25</v>
      </c>
      <c r="I6" s="489">
        <v>0.625</v>
      </c>
      <c r="J6" s="516">
        <v>4757.17</v>
      </c>
      <c r="K6" s="488">
        <v>0.36344321297683507</v>
      </c>
      <c r="L6" s="472">
        <v>15</v>
      </c>
      <c r="M6" s="489">
        <v>0.375</v>
      </c>
    </row>
    <row r="7" spans="1:13" ht="14.4" customHeight="1" x14ac:dyDescent="0.3">
      <c r="A7" s="506" t="s">
        <v>609</v>
      </c>
      <c r="B7" s="499">
        <v>16559.25</v>
      </c>
      <c r="C7" s="469">
        <v>1</v>
      </c>
      <c r="D7" s="510">
        <v>93</v>
      </c>
      <c r="E7" s="513" t="s">
        <v>609</v>
      </c>
      <c r="F7" s="499">
        <v>10240.68</v>
      </c>
      <c r="G7" s="488">
        <v>0.61842655917387568</v>
      </c>
      <c r="H7" s="472">
        <v>61</v>
      </c>
      <c r="I7" s="489">
        <v>0.65591397849462363</v>
      </c>
      <c r="J7" s="516">
        <v>6318.5700000000015</v>
      </c>
      <c r="K7" s="488">
        <v>0.38157344082612449</v>
      </c>
      <c r="L7" s="472">
        <v>32</v>
      </c>
      <c r="M7" s="489">
        <v>0.34408602150537637</v>
      </c>
    </row>
    <row r="8" spans="1:13" ht="14.4" customHeight="1" x14ac:dyDescent="0.3">
      <c r="A8" s="506" t="s">
        <v>610</v>
      </c>
      <c r="B8" s="499">
        <v>7455.1299999999992</v>
      </c>
      <c r="C8" s="469">
        <v>1</v>
      </c>
      <c r="D8" s="510">
        <v>27</v>
      </c>
      <c r="E8" s="513" t="s">
        <v>610</v>
      </c>
      <c r="F8" s="499">
        <v>5536.5499999999993</v>
      </c>
      <c r="G8" s="488">
        <v>0.74264969222535349</v>
      </c>
      <c r="H8" s="472">
        <v>19</v>
      </c>
      <c r="I8" s="489">
        <v>0.70370370370370372</v>
      </c>
      <c r="J8" s="516">
        <v>1918.58</v>
      </c>
      <c r="K8" s="488">
        <v>0.25735030777464646</v>
      </c>
      <c r="L8" s="472">
        <v>8</v>
      </c>
      <c r="M8" s="489">
        <v>0.29629629629629628</v>
      </c>
    </row>
    <row r="9" spans="1:13" ht="14.4" customHeight="1" x14ac:dyDescent="0.3">
      <c r="A9" s="506" t="s">
        <v>611</v>
      </c>
      <c r="B9" s="499">
        <v>4125.83</v>
      </c>
      <c r="C9" s="469">
        <v>1</v>
      </c>
      <c r="D9" s="510">
        <v>29</v>
      </c>
      <c r="E9" s="513" t="s">
        <v>611</v>
      </c>
      <c r="F9" s="499">
        <v>833.12</v>
      </c>
      <c r="G9" s="488">
        <v>0.20192785451654577</v>
      </c>
      <c r="H9" s="472">
        <v>12</v>
      </c>
      <c r="I9" s="489">
        <v>0.41379310344827586</v>
      </c>
      <c r="J9" s="516">
        <v>3292.7099999999996</v>
      </c>
      <c r="K9" s="488">
        <v>0.79807214548345418</v>
      </c>
      <c r="L9" s="472">
        <v>17</v>
      </c>
      <c r="M9" s="489">
        <v>0.58620689655172409</v>
      </c>
    </row>
    <row r="10" spans="1:13" ht="14.4" customHeight="1" x14ac:dyDescent="0.3">
      <c r="A10" s="506" t="s">
        <v>612</v>
      </c>
      <c r="B10" s="499">
        <v>54820.319999999992</v>
      </c>
      <c r="C10" s="469">
        <v>1</v>
      </c>
      <c r="D10" s="510">
        <v>164</v>
      </c>
      <c r="E10" s="513" t="s">
        <v>612</v>
      </c>
      <c r="F10" s="499">
        <v>46255.539999999994</v>
      </c>
      <c r="G10" s="488">
        <v>0.84376632606303648</v>
      </c>
      <c r="H10" s="472">
        <v>121</v>
      </c>
      <c r="I10" s="489">
        <v>0.73780487804878048</v>
      </c>
      <c r="J10" s="516">
        <v>8564.7799999999988</v>
      </c>
      <c r="K10" s="488">
        <v>0.15623367393696352</v>
      </c>
      <c r="L10" s="472">
        <v>43</v>
      </c>
      <c r="M10" s="489">
        <v>0.26219512195121952</v>
      </c>
    </row>
    <row r="11" spans="1:13" ht="14.4" customHeight="1" thickBot="1" x14ac:dyDescent="0.35">
      <c r="A11" s="507" t="s">
        <v>613</v>
      </c>
      <c r="B11" s="500">
        <v>2412.5099999999993</v>
      </c>
      <c r="C11" s="475">
        <v>1</v>
      </c>
      <c r="D11" s="511">
        <v>8</v>
      </c>
      <c r="E11" s="514" t="s">
        <v>613</v>
      </c>
      <c r="F11" s="500">
        <v>326.24</v>
      </c>
      <c r="G11" s="490">
        <v>0.13522845501158548</v>
      </c>
      <c r="H11" s="478">
        <v>2</v>
      </c>
      <c r="I11" s="491">
        <v>0.25</v>
      </c>
      <c r="J11" s="517">
        <v>2086.2699999999995</v>
      </c>
      <c r="K11" s="490">
        <v>0.86477154498841458</v>
      </c>
      <c r="L11" s="478">
        <v>6</v>
      </c>
      <c r="M11" s="491">
        <v>0.75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3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3" customWidth="1"/>
    <col min="5" max="5" width="13.5546875" style="213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4" customWidth="1"/>
    <col min="13" max="13" width="11.109375" style="214" customWidth="1"/>
    <col min="14" max="14" width="7.77734375" style="133" customWidth="1"/>
    <col min="15" max="15" width="7.77734375" style="224" customWidth="1"/>
    <col min="16" max="16" width="11.109375" style="214" customWidth="1"/>
    <col min="17" max="17" width="5.44140625" style="215" bestFit="1" customWidth="1"/>
    <col min="18" max="18" width="7.77734375" style="133" customWidth="1"/>
    <col min="19" max="19" width="5.44140625" style="215" bestFit="1" customWidth="1"/>
    <col min="20" max="20" width="7.77734375" style="224" customWidth="1"/>
    <col min="21" max="21" width="5.44140625" style="215" bestFit="1" customWidth="1"/>
    <col min="22" max="16384" width="8.88671875" style="133"/>
  </cols>
  <sheetData>
    <row r="1" spans="1:21" ht="18.600000000000001" customHeight="1" thickBot="1" x14ac:dyDescent="0.4">
      <c r="A1" s="359" t="s">
        <v>1027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4.4" customHeight="1" thickBot="1" x14ac:dyDescent="0.35">
      <c r="A2" s="240" t="s">
        <v>281</v>
      </c>
      <c r="B2" s="221"/>
      <c r="C2" s="211"/>
      <c r="D2" s="211"/>
      <c r="E2" s="222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133</v>
      </c>
      <c r="L3" s="394"/>
      <c r="M3" s="66">
        <f>SUBTOTAL(9,M7:M1048576)</f>
        <v>143017.20000000007</v>
      </c>
      <c r="N3" s="66">
        <f>SUBTOTAL(9,N7:N1048576)</f>
        <v>657</v>
      </c>
      <c r="O3" s="66">
        <f>SUBTOTAL(9,O7:O1048576)</f>
        <v>494</v>
      </c>
      <c r="P3" s="66">
        <f>SUBTOTAL(9,P7:P1048576)</f>
        <v>104249.77000000002</v>
      </c>
      <c r="Q3" s="67">
        <f>IF(M3=0,0,P3/M3)</f>
        <v>0.72893169492900134</v>
      </c>
      <c r="R3" s="66">
        <f>SUBTOTAL(9,R7:R1048576)</f>
        <v>442</v>
      </c>
      <c r="S3" s="67">
        <f>IF(N3=0,0,R3/N3)</f>
        <v>0.67275494672754943</v>
      </c>
      <c r="T3" s="66">
        <f>SUBTOTAL(9,T7:T1048576)</f>
        <v>331</v>
      </c>
      <c r="U3" s="68">
        <f>IF(O3=0,0,T3/O3)</f>
        <v>0.67004048582995956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13" customFormat="1" ht="14.4" customHeight="1" thickBot="1" x14ac:dyDescent="0.35">
      <c r="A6" s="518" t="s">
        <v>23</v>
      </c>
      <c r="B6" s="519" t="s">
        <v>5</v>
      </c>
      <c r="C6" s="518" t="s">
        <v>24</v>
      </c>
      <c r="D6" s="519" t="s">
        <v>6</v>
      </c>
      <c r="E6" s="519" t="s">
        <v>153</v>
      </c>
      <c r="F6" s="519" t="s">
        <v>25</v>
      </c>
      <c r="G6" s="519" t="s">
        <v>26</v>
      </c>
      <c r="H6" s="519" t="s">
        <v>8</v>
      </c>
      <c r="I6" s="519" t="s">
        <v>10</v>
      </c>
      <c r="J6" s="519" t="s">
        <v>11</v>
      </c>
      <c r="K6" s="519" t="s">
        <v>12</v>
      </c>
      <c r="L6" s="519" t="s">
        <v>27</v>
      </c>
      <c r="M6" s="520" t="s">
        <v>14</v>
      </c>
      <c r="N6" s="521" t="s">
        <v>28</v>
      </c>
      <c r="O6" s="521" t="s">
        <v>28</v>
      </c>
      <c r="P6" s="521" t="s">
        <v>14</v>
      </c>
      <c r="Q6" s="521" t="s">
        <v>2</v>
      </c>
      <c r="R6" s="521" t="s">
        <v>28</v>
      </c>
      <c r="S6" s="521" t="s">
        <v>2</v>
      </c>
      <c r="T6" s="521" t="s">
        <v>28</v>
      </c>
      <c r="U6" s="522" t="s">
        <v>2</v>
      </c>
    </row>
    <row r="7" spans="1:21" ht="14.4" customHeight="1" x14ac:dyDescent="0.3">
      <c r="A7" s="523">
        <v>29</v>
      </c>
      <c r="B7" s="524" t="s">
        <v>462</v>
      </c>
      <c r="C7" s="524">
        <v>89301292</v>
      </c>
      <c r="D7" s="525" t="s">
        <v>1025</v>
      </c>
      <c r="E7" s="526" t="s">
        <v>607</v>
      </c>
      <c r="F7" s="524" t="s">
        <v>602</v>
      </c>
      <c r="G7" s="524" t="s">
        <v>614</v>
      </c>
      <c r="H7" s="524" t="s">
        <v>1026</v>
      </c>
      <c r="I7" s="524" t="s">
        <v>615</v>
      </c>
      <c r="J7" s="524" t="s">
        <v>616</v>
      </c>
      <c r="K7" s="524" t="s">
        <v>617</v>
      </c>
      <c r="L7" s="527">
        <v>150.04</v>
      </c>
      <c r="M7" s="527">
        <v>300.08</v>
      </c>
      <c r="N7" s="524">
        <v>2</v>
      </c>
      <c r="O7" s="528">
        <v>2</v>
      </c>
      <c r="P7" s="527">
        <v>150.04</v>
      </c>
      <c r="Q7" s="529">
        <v>0.5</v>
      </c>
      <c r="R7" s="524">
        <v>1</v>
      </c>
      <c r="S7" s="529">
        <v>0.5</v>
      </c>
      <c r="T7" s="528">
        <v>1</v>
      </c>
      <c r="U7" s="125">
        <v>0.5</v>
      </c>
    </row>
    <row r="8" spans="1:21" ht="14.4" customHeight="1" x14ac:dyDescent="0.3">
      <c r="A8" s="538">
        <v>29</v>
      </c>
      <c r="B8" s="539" t="s">
        <v>462</v>
      </c>
      <c r="C8" s="539">
        <v>89301292</v>
      </c>
      <c r="D8" s="540" t="s">
        <v>1025</v>
      </c>
      <c r="E8" s="541" t="s">
        <v>607</v>
      </c>
      <c r="F8" s="539" t="s">
        <v>602</v>
      </c>
      <c r="G8" s="539" t="s">
        <v>614</v>
      </c>
      <c r="H8" s="539" t="s">
        <v>1026</v>
      </c>
      <c r="I8" s="539" t="s">
        <v>615</v>
      </c>
      <c r="J8" s="539" t="s">
        <v>616</v>
      </c>
      <c r="K8" s="539" t="s">
        <v>617</v>
      </c>
      <c r="L8" s="542">
        <v>154.36000000000001</v>
      </c>
      <c r="M8" s="542">
        <v>617.44000000000005</v>
      </c>
      <c r="N8" s="539">
        <v>4</v>
      </c>
      <c r="O8" s="543">
        <v>3.5</v>
      </c>
      <c r="P8" s="542">
        <v>154.36000000000001</v>
      </c>
      <c r="Q8" s="544">
        <v>0.25</v>
      </c>
      <c r="R8" s="539">
        <v>1</v>
      </c>
      <c r="S8" s="544">
        <v>0.25</v>
      </c>
      <c r="T8" s="543">
        <v>1</v>
      </c>
      <c r="U8" s="545">
        <v>0.2857142857142857</v>
      </c>
    </row>
    <row r="9" spans="1:21" ht="14.4" customHeight="1" x14ac:dyDescent="0.3">
      <c r="A9" s="538">
        <v>29</v>
      </c>
      <c r="B9" s="539" t="s">
        <v>462</v>
      </c>
      <c r="C9" s="539">
        <v>89301292</v>
      </c>
      <c r="D9" s="540" t="s">
        <v>1025</v>
      </c>
      <c r="E9" s="541" t="s">
        <v>607</v>
      </c>
      <c r="F9" s="539" t="s">
        <v>602</v>
      </c>
      <c r="G9" s="539" t="s">
        <v>618</v>
      </c>
      <c r="H9" s="539" t="s">
        <v>463</v>
      </c>
      <c r="I9" s="539" t="s">
        <v>619</v>
      </c>
      <c r="J9" s="539" t="s">
        <v>620</v>
      </c>
      <c r="K9" s="539" t="s">
        <v>621</v>
      </c>
      <c r="L9" s="542">
        <v>0</v>
      </c>
      <c r="M9" s="542">
        <v>0</v>
      </c>
      <c r="N9" s="539">
        <v>2</v>
      </c>
      <c r="O9" s="543">
        <v>2</v>
      </c>
      <c r="P9" s="542">
        <v>0</v>
      </c>
      <c r="Q9" s="544"/>
      <c r="R9" s="539">
        <v>2</v>
      </c>
      <c r="S9" s="544">
        <v>1</v>
      </c>
      <c r="T9" s="543">
        <v>2</v>
      </c>
      <c r="U9" s="545">
        <v>1</v>
      </c>
    </row>
    <row r="10" spans="1:21" ht="14.4" customHeight="1" x14ac:dyDescent="0.3">
      <c r="A10" s="538">
        <v>29</v>
      </c>
      <c r="B10" s="539" t="s">
        <v>462</v>
      </c>
      <c r="C10" s="539">
        <v>89301292</v>
      </c>
      <c r="D10" s="540" t="s">
        <v>1025</v>
      </c>
      <c r="E10" s="541" t="s">
        <v>607</v>
      </c>
      <c r="F10" s="539" t="s">
        <v>602</v>
      </c>
      <c r="G10" s="539" t="s">
        <v>622</v>
      </c>
      <c r="H10" s="539" t="s">
        <v>463</v>
      </c>
      <c r="I10" s="539" t="s">
        <v>623</v>
      </c>
      <c r="J10" s="539" t="s">
        <v>624</v>
      </c>
      <c r="K10" s="539" t="s">
        <v>625</v>
      </c>
      <c r="L10" s="542">
        <v>156.77000000000001</v>
      </c>
      <c r="M10" s="542">
        <v>313.54000000000002</v>
      </c>
      <c r="N10" s="539">
        <v>2</v>
      </c>
      <c r="O10" s="543">
        <v>1</v>
      </c>
      <c r="P10" s="542">
        <v>313.54000000000002</v>
      </c>
      <c r="Q10" s="544">
        <v>1</v>
      </c>
      <c r="R10" s="539">
        <v>2</v>
      </c>
      <c r="S10" s="544">
        <v>1</v>
      </c>
      <c r="T10" s="543">
        <v>1</v>
      </c>
      <c r="U10" s="545">
        <v>1</v>
      </c>
    </row>
    <row r="11" spans="1:21" ht="14.4" customHeight="1" x14ac:dyDescent="0.3">
      <c r="A11" s="538">
        <v>29</v>
      </c>
      <c r="B11" s="539" t="s">
        <v>462</v>
      </c>
      <c r="C11" s="539">
        <v>89301292</v>
      </c>
      <c r="D11" s="540" t="s">
        <v>1025</v>
      </c>
      <c r="E11" s="541" t="s">
        <v>607</v>
      </c>
      <c r="F11" s="539" t="s">
        <v>602</v>
      </c>
      <c r="G11" s="539" t="s">
        <v>626</v>
      </c>
      <c r="H11" s="539" t="s">
        <v>463</v>
      </c>
      <c r="I11" s="539" t="s">
        <v>627</v>
      </c>
      <c r="J11" s="539" t="s">
        <v>628</v>
      </c>
      <c r="K11" s="539"/>
      <c r="L11" s="542">
        <v>0</v>
      </c>
      <c r="M11" s="542">
        <v>0</v>
      </c>
      <c r="N11" s="539">
        <v>1</v>
      </c>
      <c r="O11" s="543">
        <v>1</v>
      </c>
      <c r="P11" s="542"/>
      <c r="Q11" s="544"/>
      <c r="R11" s="539"/>
      <c r="S11" s="544">
        <v>0</v>
      </c>
      <c r="T11" s="543"/>
      <c r="U11" s="545">
        <v>0</v>
      </c>
    </row>
    <row r="12" spans="1:21" ht="14.4" customHeight="1" x14ac:dyDescent="0.3">
      <c r="A12" s="538">
        <v>29</v>
      </c>
      <c r="B12" s="539" t="s">
        <v>462</v>
      </c>
      <c r="C12" s="539">
        <v>89301292</v>
      </c>
      <c r="D12" s="540" t="s">
        <v>1025</v>
      </c>
      <c r="E12" s="541" t="s">
        <v>607</v>
      </c>
      <c r="F12" s="539" t="s">
        <v>602</v>
      </c>
      <c r="G12" s="539" t="s">
        <v>629</v>
      </c>
      <c r="H12" s="539" t="s">
        <v>463</v>
      </c>
      <c r="I12" s="539" t="s">
        <v>548</v>
      </c>
      <c r="J12" s="539" t="s">
        <v>549</v>
      </c>
      <c r="K12" s="539" t="s">
        <v>630</v>
      </c>
      <c r="L12" s="542">
        <v>48.09</v>
      </c>
      <c r="M12" s="542">
        <v>673.2600000000001</v>
      </c>
      <c r="N12" s="539">
        <v>14</v>
      </c>
      <c r="O12" s="543">
        <v>14</v>
      </c>
      <c r="P12" s="542">
        <v>528.99000000000012</v>
      </c>
      <c r="Q12" s="544">
        <v>0.78571428571428581</v>
      </c>
      <c r="R12" s="539">
        <v>11</v>
      </c>
      <c r="S12" s="544">
        <v>0.7857142857142857</v>
      </c>
      <c r="T12" s="543">
        <v>11</v>
      </c>
      <c r="U12" s="545">
        <v>0.7857142857142857</v>
      </c>
    </row>
    <row r="13" spans="1:21" ht="14.4" customHeight="1" x14ac:dyDescent="0.3">
      <c r="A13" s="538">
        <v>29</v>
      </c>
      <c r="B13" s="539" t="s">
        <v>462</v>
      </c>
      <c r="C13" s="539">
        <v>89301292</v>
      </c>
      <c r="D13" s="540" t="s">
        <v>1025</v>
      </c>
      <c r="E13" s="541" t="s">
        <v>607</v>
      </c>
      <c r="F13" s="539" t="s">
        <v>602</v>
      </c>
      <c r="G13" s="539" t="s">
        <v>631</v>
      </c>
      <c r="H13" s="539" t="s">
        <v>463</v>
      </c>
      <c r="I13" s="539" t="s">
        <v>632</v>
      </c>
      <c r="J13" s="539" t="s">
        <v>633</v>
      </c>
      <c r="K13" s="539" t="s">
        <v>634</v>
      </c>
      <c r="L13" s="542">
        <v>0</v>
      </c>
      <c r="M13" s="542">
        <v>0</v>
      </c>
      <c r="N13" s="539">
        <v>1</v>
      </c>
      <c r="O13" s="543">
        <v>1</v>
      </c>
      <c r="P13" s="542"/>
      <c r="Q13" s="544"/>
      <c r="R13" s="539"/>
      <c r="S13" s="544">
        <v>0</v>
      </c>
      <c r="T13" s="543"/>
      <c r="U13" s="545">
        <v>0</v>
      </c>
    </row>
    <row r="14" spans="1:21" ht="14.4" customHeight="1" x14ac:dyDescent="0.3">
      <c r="A14" s="538">
        <v>29</v>
      </c>
      <c r="B14" s="539" t="s">
        <v>462</v>
      </c>
      <c r="C14" s="539">
        <v>89301292</v>
      </c>
      <c r="D14" s="540" t="s">
        <v>1025</v>
      </c>
      <c r="E14" s="541" t="s">
        <v>607</v>
      </c>
      <c r="F14" s="539" t="s">
        <v>602</v>
      </c>
      <c r="G14" s="539" t="s">
        <v>635</v>
      </c>
      <c r="H14" s="539" t="s">
        <v>463</v>
      </c>
      <c r="I14" s="539" t="s">
        <v>636</v>
      </c>
      <c r="J14" s="539" t="s">
        <v>503</v>
      </c>
      <c r="K14" s="539" t="s">
        <v>637</v>
      </c>
      <c r="L14" s="542">
        <v>21.14</v>
      </c>
      <c r="M14" s="542">
        <v>42.28</v>
      </c>
      <c r="N14" s="539">
        <v>2</v>
      </c>
      <c r="O14" s="543">
        <v>2</v>
      </c>
      <c r="P14" s="542">
        <v>21.14</v>
      </c>
      <c r="Q14" s="544">
        <v>0.5</v>
      </c>
      <c r="R14" s="539">
        <v>1</v>
      </c>
      <c r="S14" s="544">
        <v>0.5</v>
      </c>
      <c r="T14" s="543">
        <v>1</v>
      </c>
      <c r="U14" s="545">
        <v>0.5</v>
      </c>
    </row>
    <row r="15" spans="1:21" ht="14.4" customHeight="1" x14ac:dyDescent="0.3">
      <c r="A15" s="538">
        <v>29</v>
      </c>
      <c r="B15" s="539" t="s">
        <v>462</v>
      </c>
      <c r="C15" s="539">
        <v>89301292</v>
      </c>
      <c r="D15" s="540" t="s">
        <v>1025</v>
      </c>
      <c r="E15" s="541" t="s">
        <v>607</v>
      </c>
      <c r="F15" s="539" t="s">
        <v>602</v>
      </c>
      <c r="G15" s="539" t="s">
        <v>635</v>
      </c>
      <c r="H15" s="539" t="s">
        <v>463</v>
      </c>
      <c r="I15" s="539" t="s">
        <v>502</v>
      </c>
      <c r="J15" s="539" t="s">
        <v>503</v>
      </c>
      <c r="K15" s="539" t="s">
        <v>504</v>
      </c>
      <c r="L15" s="542">
        <v>210.22</v>
      </c>
      <c r="M15" s="542">
        <v>210.22</v>
      </c>
      <c r="N15" s="539">
        <v>1</v>
      </c>
      <c r="O15" s="543">
        <v>1</v>
      </c>
      <c r="P15" s="542">
        <v>210.22</v>
      </c>
      <c r="Q15" s="544">
        <v>1</v>
      </c>
      <c r="R15" s="539">
        <v>1</v>
      </c>
      <c r="S15" s="544">
        <v>1</v>
      </c>
      <c r="T15" s="543">
        <v>1</v>
      </c>
      <c r="U15" s="545">
        <v>1</v>
      </c>
    </row>
    <row r="16" spans="1:21" ht="14.4" customHeight="1" x14ac:dyDescent="0.3">
      <c r="A16" s="538">
        <v>29</v>
      </c>
      <c r="B16" s="539" t="s">
        <v>462</v>
      </c>
      <c r="C16" s="539">
        <v>89301292</v>
      </c>
      <c r="D16" s="540" t="s">
        <v>1025</v>
      </c>
      <c r="E16" s="541" t="s">
        <v>607</v>
      </c>
      <c r="F16" s="539" t="s">
        <v>602</v>
      </c>
      <c r="G16" s="539" t="s">
        <v>638</v>
      </c>
      <c r="H16" s="539" t="s">
        <v>463</v>
      </c>
      <c r="I16" s="539" t="s">
        <v>639</v>
      </c>
      <c r="J16" s="539" t="s">
        <v>640</v>
      </c>
      <c r="K16" s="539" t="s">
        <v>641</v>
      </c>
      <c r="L16" s="542">
        <v>147.31</v>
      </c>
      <c r="M16" s="542">
        <v>441.93</v>
      </c>
      <c r="N16" s="539">
        <v>3</v>
      </c>
      <c r="O16" s="543">
        <v>1</v>
      </c>
      <c r="P16" s="542"/>
      <c r="Q16" s="544">
        <v>0</v>
      </c>
      <c r="R16" s="539"/>
      <c r="S16" s="544">
        <v>0</v>
      </c>
      <c r="T16" s="543"/>
      <c r="U16" s="545">
        <v>0</v>
      </c>
    </row>
    <row r="17" spans="1:21" ht="14.4" customHeight="1" x14ac:dyDescent="0.3">
      <c r="A17" s="538">
        <v>29</v>
      </c>
      <c r="B17" s="539" t="s">
        <v>462</v>
      </c>
      <c r="C17" s="539">
        <v>89301292</v>
      </c>
      <c r="D17" s="540" t="s">
        <v>1025</v>
      </c>
      <c r="E17" s="541" t="s">
        <v>607</v>
      </c>
      <c r="F17" s="539" t="s">
        <v>602</v>
      </c>
      <c r="G17" s="539" t="s">
        <v>642</v>
      </c>
      <c r="H17" s="539" t="s">
        <v>463</v>
      </c>
      <c r="I17" s="539" t="s">
        <v>552</v>
      </c>
      <c r="J17" s="539" t="s">
        <v>553</v>
      </c>
      <c r="K17" s="539" t="s">
        <v>643</v>
      </c>
      <c r="L17" s="542">
        <v>36.97</v>
      </c>
      <c r="M17" s="542">
        <v>702.43000000000006</v>
      </c>
      <c r="N17" s="539">
        <v>19</v>
      </c>
      <c r="O17" s="543">
        <v>16</v>
      </c>
      <c r="P17" s="542">
        <v>628.49000000000012</v>
      </c>
      <c r="Q17" s="544">
        <v>0.89473684210526327</v>
      </c>
      <c r="R17" s="539">
        <v>17</v>
      </c>
      <c r="S17" s="544">
        <v>0.89473684210526316</v>
      </c>
      <c r="T17" s="543">
        <v>14</v>
      </c>
      <c r="U17" s="545">
        <v>0.875</v>
      </c>
    </row>
    <row r="18" spans="1:21" ht="14.4" customHeight="1" x14ac:dyDescent="0.3">
      <c r="A18" s="538">
        <v>29</v>
      </c>
      <c r="B18" s="539" t="s">
        <v>462</v>
      </c>
      <c r="C18" s="539">
        <v>89301292</v>
      </c>
      <c r="D18" s="540" t="s">
        <v>1025</v>
      </c>
      <c r="E18" s="541" t="s">
        <v>607</v>
      </c>
      <c r="F18" s="539" t="s">
        <v>602</v>
      </c>
      <c r="G18" s="539" t="s">
        <v>644</v>
      </c>
      <c r="H18" s="539" t="s">
        <v>463</v>
      </c>
      <c r="I18" s="539" t="s">
        <v>556</v>
      </c>
      <c r="J18" s="539" t="s">
        <v>557</v>
      </c>
      <c r="K18" s="539" t="s">
        <v>558</v>
      </c>
      <c r="L18" s="542">
        <v>115.13</v>
      </c>
      <c r="M18" s="542">
        <v>575.65</v>
      </c>
      <c r="N18" s="539">
        <v>5</v>
      </c>
      <c r="O18" s="543">
        <v>5</v>
      </c>
      <c r="P18" s="542">
        <v>460.52</v>
      </c>
      <c r="Q18" s="544">
        <v>0.8</v>
      </c>
      <c r="R18" s="539">
        <v>4</v>
      </c>
      <c r="S18" s="544">
        <v>0.8</v>
      </c>
      <c r="T18" s="543">
        <v>4</v>
      </c>
      <c r="U18" s="545">
        <v>0.8</v>
      </c>
    </row>
    <row r="19" spans="1:21" ht="14.4" customHeight="1" x14ac:dyDescent="0.3">
      <c r="A19" s="538">
        <v>29</v>
      </c>
      <c r="B19" s="539" t="s">
        <v>462</v>
      </c>
      <c r="C19" s="539">
        <v>89301292</v>
      </c>
      <c r="D19" s="540" t="s">
        <v>1025</v>
      </c>
      <c r="E19" s="541" t="s">
        <v>607</v>
      </c>
      <c r="F19" s="539" t="s">
        <v>602</v>
      </c>
      <c r="G19" s="539" t="s">
        <v>645</v>
      </c>
      <c r="H19" s="539" t="s">
        <v>1026</v>
      </c>
      <c r="I19" s="539" t="s">
        <v>646</v>
      </c>
      <c r="J19" s="539" t="s">
        <v>647</v>
      </c>
      <c r="K19" s="539" t="s">
        <v>648</v>
      </c>
      <c r="L19" s="542">
        <v>407.55</v>
      </c>
      <c r="M19" s="542">
        <v>407.55</v>
      </c>
      <c r="N19" s="539">
        <v>1</v>
      </c>
      <c r="O19" s="543">
        <v>1</v>
      </c>
      <c r="P19" s="542">
        <v>407.55</v>
      </c>
      <c r="Q19" s="544">
        <v>1</v>
      </c>
      <c r="R19" s="539">
        <v>1</v>
      </c>
      <c r="S19" s="544">
        <v>1</v>
      </c>
      <c r="T19" s="543">
        <v>1</v>
      </c>
      <c r="U19" s="545">
        <v>1</v>
      </c>
    </row>
    <row r="20" spans="1:21" ht="14.4" customHeight="1" x14ac:dyDescent="0.3">
      <c r="A20" s="538">
        <v>29</v>
      </c>
      <c r="B20" s="539" t="s">
        <v>462</v>
      </c>
      <c r="C20" s="539">
        <v>89301292</v>
      </c>
      <c r="D20" s="540" t="s">
        <v>1025</v>
      </c>
      <c r="E20" s="541" t="s">
        <v>607</v>
      </c>
      <c r="F20" s="539" t="s">
        <v>602</v>
      </c>
      <c r="G20" s="539" t="s">
        <v>645</v>
      </c>
      <c r="H20" s="539" t="s">
        <v>1026</v>
      </c>
      <c r="I20" s="539" t="s">
        <v>649</v>
      </c>
      <c r="J20" s="539" t="s">
        <v>647</v>
      </c>
      <c r="K20" s="539" t="s">
        <v>650</v>
      </c>
      <c r="L20" s="542">
        <v>543.39</v>
      </c>
      <c r="M20" s="542">
        <v>2716.95</v>
      </c>
      <c r="N20" s="539">
        <v>5</v>
      </c>
      <c r="O20" s="543">
        <v>5</v>
      </c>
      <c r="P20" s="542">
        <v>1086.78</v>
      </c>
      <c r="Q20" s="544">
        <v>0.4</v>
      </c>
      <c r="R20" s="539">
        <v>2</v>
      </c>
      <c r="S20" s="544">
        <v>0.4</v>
      </c>
      <c r="T20" s="543">
        <v>2</v>
      </c>
      <c r="U20" s="545">
        <v>0.4</v>
      </c>
    </row>
    <row r="21" spans="1:21" ht="14.4" customHeight="1" x14ac:dyDescent="0.3">
      <c r="A21" s="538">
        <v>29</v>
      </c>
      <c r="B21" s="539" t="s">
        <v>462</v>
      </c>
      <c r="C21" s="539">
        <v>89301292</v>
      </c>
      <c r="D21" s="540" t="s">
        <v>1025</v>
      </c>
      <c r="E21" s="541" t="s">
        <v>607</v>
      </c>
      <c r="F21" s="539" t="s">
        <v>602</v>
      </c>
      <c r="G21" s="539" t="s">
        <v>651</v>
      </c>
      <c r="H21" s="539" t="s">
        <v>463</v>
      </c>
      <c r="I21" s="539" t="s">
        <v>652</v>
      </c>
      <c r="J21" s="539" t="s">
        <v>653</v>
      </c>
      <c r="K21" s="539" t="s">
        <v>654</v>
      </c>
      <c r="L21" s="542">
        <v>134.47999999999999</v>
      </c>
      <c r="M21" s="542">
        <v>268.95999999999998</v>
      </c>
      <c r="N21" s="539">
        <v>2</v>
      </c>
      <c r="O21" s="543">
        <v>2</v>
      </c>
      <c r="P21" s="542"/>
      <c r="Q21" s="544">
        <v>0</v>
      </c>
      <c r="R21" s="539"/>
      <c r="S21" s="544">
        <v>0</v>
      </c>
      <c r="T21" s="543"/>
      <c r="U21" s="545">
        <v>0</v>
      </c>
    </row>
    <row r="22" spans="1:21" ht="14.4" customHeight="1" x14ac:dyDescent="0.3">
      <c r="A22" s="538">
        <v>29</v>
      </c>
      <c r="B22" s="539" t="s">
        <v>462</v>
      </c>
      <c r="C22" s="539">
        <v>89301292</v>
      </c>
      <c r="D22" s="540" t="s">
        <v>1025</v>
      </c>
      <c r="E22" s="541" t="s">
        <v>607</v>
      </c>
      <c r="F22" s="539" t="s">
        <v>602</v>
      </c>
      <c r="G22" s="539" t="s">
        <v>655</v>
      </c>
      <c r="H22" s="539" t="s">
        <v>1026</v>
      </c>
      <c r="I22" s="539" t="s">
        <v>656</v>
      </c>
      <c r="J22" s="539" t="s">
        <v>657</v>
      </c>
      <c r="K22" s="539" t="s">
        <v>658</v>
      </c>
      <c r="L22" s="542">
        <v>48.42</v>
      </c>
      <c r="M22" s="542">
        <v>145.26</v>
      </c>
      <c r="N22" s="539">
        <v>3</v>
      </c>
      <c r="O22" s="543">
        <v>3</v>
      </c>
      <c r="P22" s="542">
        <v>48.42</v>
      </c>
      <c r="Q22" s="544">
        <v>0.33333333333333337</v>
      </c>
      <c r="R22" s="539">
        <v>1</v>
      </c>
      <c r="S22" s="544">
        <v>0.33333333333333331</v>
      </c>
      <c r="T22" s="543">
        <v>1</v>
      </c>
      <c r="U22" s="545">
        <v>0.33333333333333331</v>
      </c>
    </row>
    <row r="23" spans="1:21" ht="14.4" customHeight="1" x14ac:dyDescent="0.3">
      <c r="A23" s="538">
        <v>29</v>
      </c>
      <c r="B23" s="539" t="s">
        <v>462</v>
      </c>
      <c r="C23" s="539">
        <v>89301292</v>
      </c>
      <c r="D23" s="540" t="s">
        <v>1025</v>
      </c>
      <c r="E23" s="541" t="s">
        <v>607</v>
      </c>
      <c r="F23" s="539" t="s">
        <v>602</v>
      </c>
      <c r="G23" s="539" t="s">
        <v>655</v>
      </c>
      <c r="H23" s="539" t="s">
        <v>1026</v>
      </c>
      <c r="I23" s="539" t="s">
        <v>659</v>
      </c>
      <c r="J23" s="539" t="s">
        <v>657</v>
      </c>
      <c r="K23" s="539" t="s">
        <v>660</v>
      </c>
      <c r="L23" s="542">
        <v>0</v>
      </c>
      <c r="M23" s="542">
        <v>0</v>
      </c>
      <c r="N23" s="539">
        <v>1</v>
      </c>
      <c r="O23" s="543">
        <v>1</v>
      </c>
      <c r="P23" s="542">
        <v>0</v>
      </c>
      <c r="Q23" s="544"/>
      <c r="R23" s="539">
        <v>1</v>
      </c>
      <c r="S23" s="544">
        <v>1</v>
      </c>
      <c r="T23" s="543">
        <v>1</v>
      </c>
      <c r="U23" s="545">
        <v>1</v>
      </c>
    </row>
    <row r="24" spans="1:21" ht="14.4" customHeight="1" x14ac:dyDescent="0.3">
      <c r="A24" s="538">
        <v>29</v>
      </c>
      <c r="B24" s="539" t="s">
        <v>462</v>
      </c>
      <c r="C24" s="539">
        <v>89301292</v>
      </c>
      <c r="D24" s="540" t="s">
        <v>1025</v>
      </c>
      <c r="E24" s="541" t="s">
        <v>607</v>
      </c>
      <c r="F24" s="539" t="s">
        <v>602</v>
      </c>
      <c r="G24" s="539" t="s">
        <v>661</v>
      </c>
      <c r="H24" s="539" t="s">
        <v>463</v>
      </c>
      <c r="I24" s="539" t="s">
        <v>662</v>
      </c>
      <c r="J24" s="539" t="s">
        <v>663</v>
      </c>
      <c r="K24" s="539" t="s">
        <v>664</v>
      </c>
      <c r="L24" s="542">
        <v>27.49</v>
      </c>
      <c r="M24" s="542">
        <v>27.49</v>
      </c>
      <c r="N24" s="539">
        <v>1</v>
      </c>
      <c r="O24" s="543">
        <v>1</v>
      </c>
      <c r="P24" s="542"/>
      <c r="Q24" s="544">
        <v>0</v>
      </c>
      <c r="R24" s="539"/>
      <c r="S24" s="544">
        <v>0</v>
      </c>
      <c r="T24" s="543"/>
      <c r="U24" s="545">
        <v>0</v>
      </c>
    </row>
    <row r="25" spans="1:21" ht="14.4" customHeight="1" x14ac:dyDescent="0.3">
      <c r="A25" s="538">
        <v>29</v>
      </c>
      <c r="B25" s="539" t="s">
        <v>462</v>
      </c>
      <c r="C25" s="539">
        <v>89301292</v>
      </c>
      <c r="D25" s="540" t="s">
        <v>1025</v>
      </c>
      <c r="E25" s="541" t="s">
        <v>607</v>
      </c>
      <c r="F25" s="539" t="s">
        <v>602</v>
      </c>
      <c r="G25" s="539" t="s">
        <v>665</v>
      </c>
      <c r="H25" s="539" t="s">
        <v>463</v>
      </c>
      <c r="I25" s="539" t="s">
        <v>666</v>
      </c>
      <c r="J25" s="539" t="s">
        <v>667</v>
      </c>
      <c r="K25" s="539" t="s">
        <v>668</v>
      </c>
      <c r="L25" s="542">
        <v>130.85</v>
      </c>
      <c r="M25" s="542">
        <v>130.85</v>
      </c>
      <c r="N25" s="539">
        <v>1</v>
      </c>
      <c r="O25" s="543">
        <v>1</v>
      </c>
      <c r="P25" s="542"/>
      <c r="Q25" s="544">
        <v>0</v>
      </c>
      <c r="R25" s="539"/>
      <c r="S25" s="544">
        <v>0</v>
      </c>
      <c r="T25" s="543"/>
      <c r="U25" s="545">
        <v>0</v>
      </c>
    </row>
    <row r="26" spans="1:21" ht="14.4" customHeight="1" x14ac:dyDescent="0.3">
      <c r="A26" s="538">
        <v>29</v>
      </c>
      <c r="B26" s="539" t="s">
        <v>462</v>
      </c>
      <c r="C26" s="539">
        <v>89301292</v>
      </c>
      <c r="D26" s="540" t="s">
        <v>1025</v>
      </c>
      <c r="E26" s="541" t="s">
        <v>607</v>
      </c>
      <c r="F26" s="539" t="s">
        <v>602</v>
      </c>
      <c r="G26" s="539" t="s">
        <v>669</v>
      </c>
      <c r="H26" s="539" t="s">
        <v>463</v>
      </c>
      <c r="I26" s="539" t="s">
        <v>670</v>
      </c>
      <c r="J26" s="539" t="s">
        <v>671</v>
      </c>
      <c r="K26" s="539" t="s">
        <v>672</v>
      </c>
      <c r="L26" s="542">
        <v>0</v>
      </c>
      <c r="M26" s="542">
        <v>0</v>
      </c>
      <c r="N26" s="539">
        <v>2</v>
      </c>
      <c r="O26" s="543">
        <v>2</v>
      </c>
      <c r="P26" s="542"/>
      <c r="Q26" s="544"/>
      <c r="R26" s="539"/>
      <c r="S26" s="544">
        <v>0</v>
      </c>
      <c r="T26" s="543"/>
      <c r="U26" s="545">
        <v>0</v>
      </c>
    </row>
    <row r="27" spans="1:21" ht="14.4" customHeight="1" x14ac:dyDescent="0.3">
      <c r="A27" s="538">
        <v>29</v>
      </c>
      <c r="B27" s="539" t="s">
        <v>462</v>
      </c>
      <c r="C27" s="539">
        <v>89301292</v>
      </c>
      <c r="D27" s="540" t="s">
        <v>1025</v>
      </c>
      <c r="E27" s="541" t="s">
        <v>607</v>
      </c>
      <c r="F27" s="539" t="s">
        <v>602</v>
      </c>
      <c r="G27" s="539" t="s">
        <v>673</v>
      </c>
      <c r="H27" s="539" t="s">
        <v>463</v>
      </c>
      <c r="I27" s="539" t="s">
        <v>588</v>
      </c>
      <c r="J27" s="539" t="s">
        <v>561</v>
      </c>
      <c r="K27" s="539" t="s">
        <v>674</v>
      </c>
      <c r="L27" s="542">
        <v>96.42</v>
      </c>
      <c r="M27" s="542">
        <v>192.84</v>
      </c>
      <c r="N27" s="539">
        <v>2</v>
      </c>
      <c r="O27" s="543">
        <v>1</v>
      </c>
      <c r="P27" s="542">
        <v>192.84</v>
      </c>
      <c r="Q27" s="544">
        <v>1</v>
      </c>
      <c r="R27" s="539">
        <v>2</v>
      </c>
      <c r="S27" s="544">
        <v>1</v>
      </c>
      <c r="T27" s="543">
        <v>1</v>
      </c>
      <c r="U27" s="545">
        <v>1</v>
      </c>
    </row>
    <row r="28" spans="1:21" ht="14.4" customHeight="1" x14ac:dyDescent="0.3">
      <c r="A28" s="538">
        <v>29</v>
      </c>
      <c r="B28" s="539" t="s">
        <v>462</v>
      </c>
      <c r="C28" s="539">
        <v>89301292</v>
      </c>
      <c r="D28" s="540" t="s">
        <v>1025</v>
      </c>
      <c r="E28" s="541" t="s">
        <v>607</v>
      </c>
      <c r="F28" s="539" t="s">
        <v>602</v>
      </c>
      <c r="G28" s="539" t="s">
        <v>673</v>
      </c>
      <c r="H28" s="539" t="s">
        <v>463</v>
      </c>
      <c r="I28" s="539" t="s">
        <v>560</v>
      </c>
      <c r="J28" s="539" t="s">
        <v>561</v>
      </c>
      <c r="K28" s="539" t="s">
        <v>675</v>
      </c>
      <c r="L28" s="542">
        <v>289.27</v>
      </c>
      <c r="M28" s="542">
        <v>3181.97</v>
      </c>
      <c r="N28" s="539">
        <v>11</v>
      </c>
      <c r="O28" s="543">
        <v>6</v>
      </c>
      <c r="P28" s="542">
        <v>2314.16</v>
      </c>
      <c r="Q28" s="544">
        <v>0.72727272727272729</v>
      </c>
      <c r="R28" s="539">
        <v>8</v>
      </c>
      <c r="S28" s="544">
        <v>0.72727272727272729</v>
      </c>
      <c r="T28" s="543">
        <v>4</v>
      </c>
      <c r="U28" s="545">
        <v>0.66666666666666663</v>
      </c>
    </row>
    <row r="29" spans="1:21" ht="14.4" customHeight="1" x14ac:dyDescent="0.3">
      <c r="A29" s="538">
        <v>29</v>
      </c>
      <c r="B29" s="539" t="s">
        <v>462</v>
      </c>
      <c r="C29" s="539">
        <v>89301292</v>
      </c>
      <c r="D29" s="540" t="s">
        <v>1025</v>
      </c>
      <c r="E29" s="541" t="s">
        <v>607</v>
      </c>
      <c r="F29" s="539" t="s">
        <v>602</v>
      </c>
      <c r="G29" s="539" t="s">
        <v>676</v>
      </c>
      <c r="H29" s="539" t="s">
        <v>463</v>
      </c>
      <c r="I29" s="539" t="s">
        <v>677</v>
      </c>
      <c r="J29" s="539" t="s">
        <v>678</v>
      </c>
      <c r="K29" s="539" t="s">
        <v>679</v>
      </c>
      <c r="L29" s="542">
        <v>50.14</v>
      </c>
      <c r="M29" s="542">
        <v>50.14</v>
      </c>
      <c r="N29" s="539">
        <v>1</v>
      </c>
      <c r="O29" s="543">
        <v>0.5</v>
      </c>
      <c r="P29" s="542"/>
      <c r="Q29" s="544">
        <v>0</v>
      </c>
      <c r="R29" s="539"/>
      <c r="S29" s="544">
        <v>0</v>
      </c>
      <c r="T29" s="543"/>
      <c r="U29" s="545">
        <v>0</v>
      </c>
    </row>
    <row r="30" spans="1:21" ht="14.4" customHeight="1" x14ac:dyDescent="0.3">
      <c r="A30" s="538">
        <v>29</v>
      </c>
      <c r="B30" s="539" t="s">
        <v>462</v>
      </c>
      <c r="C30" s="539">
        <v>89301292</v>
      </c>
      <c r="D30" s="540" t="s">
        <v>1025</v>
      </c>
      <c r="E30" s="541" t="s">
        <v>607</v>
      </c>
      <c r="F30" s="539" t="s">
        <v>602</v>
      </c>
      <c r="G30" s="539" t="s">
        <v>676</v>
      </c>
      <c r="H30" s="539" t="s">
        <v>463</v>
      </c>
      <c r="I30" s="539" t="s">
        <v>680</v>
      </c>
      <c r="J30" s="539" t="s">
        <v>678</v>
      </c>
      <c r="K30" s="539" t="s">
        <v>681</v>
      </c>
      <c r="L30" s="542">
        <v>75.22</v>
      </c>
      <c r="M30" s="542">
        <v>75.22</v>
      </c>
      <c r="N30" s="539">
        <v>1</v>
      </c>
      <c r="O30" s="543">
        <v>1</v>
      </c>
      <c r="P30" s="542">
        <v>75.22</v>
      </c>
      <c r="Q30" s="544">
        <v>1</v>
      </c>
      <c r="R30" s="539">
        <v>1</v>
      </c>
      <c r="S30" s="544">
        <v>1</v>
      </c>
      <c r="T30" s="543">
        <v>1</v>
      </c>
      <c r="U30" s="545">
        <v>1</v>
      </c>
    </row>
    <row r="31" spans="1:21" ht="14.4" customHeight="1" x14ac:dyDescent="0.3">
      <c r="A31" s="538">
        <v>29</v>
      </c>
      <c r="B31" s="539" t="s">
        <v>462</v>
      </c>
      <c r="C31" s="539">
        <v>89301292</v>
      </c>
      <c r="D31" s="540" t="s">
        <v>1025</v>
      </c>
      <c r="E31" s="541" t="s">
        <v>607</v>
      </c>
      <c r="F31" s="539" t="s">
        <v>602</v>
      </c>
      <c r="G31" s="539" t="s">
        <v>682</v>
      </c>
      <c r="H31" s="539" t="s">
        <v>463</v>
      </c>
      <c r="I31" s="539" t="s">
        <v>683</v>
      </c>
      <c r="J31" s="539" t="s">
        <v>684</v>
      </c>
      <c r="K31" s="539" t="s">
        <v>685</v>
      </c>
      <c r="L31" s="542">
        <v>0</v>
      </c>
      <c r="M31" s="542">
        <v>0</v>
      </c>
      <c r="N31" s="539">
        <v>1</v>
      </c>
      <c r="O31" s="543">
        <v>1</v>
      </c>
      <c r="P31" s="542">
        <v>0</v>
      </c>
      <c r="Q31" s="544"/>
      <c r="R31" s="539">
        <v>1</v>
      </c>
      <c r="S31" s="544">
        <v>1</v>
      </c>
      <c r="T31" s="543">
        <v>1</v>
      </c>
      <c r="U31" s="545">
        <v>1</v>
      </c>
    </row>
    <row r="32" spans="1:21" ht="14.4" customHeight="1" x14ac:dyDescent="0.3">
      <c r="A32" s="538">
        <v>29</v>
      </c>
      <c r="B32" s="539" t="s">
        <v>462</v>
      </c>
      <c r="C32" s="539">
        <v>89301292</v>
      </c>
      <c r="D32" s="540" t="s">
        <v>1025</v>
      </c>
      <c r="E32" s="541" t="s">
        <v>607</v>
      </c>
      <c r="F32" s="539" t="s">
        <v>604</v>
      </c>
      <c r="G32" s="539" t="s">
        <v>686</v>
      </c>
      <c r="H32" s="539" t="s">
        <v>463</v>
      </c>
      <c r="I32" s="539" t="s">
        <v>687</v>
      </c>
      <c r="J32" s="539" t="s">
        <v>688</v>
      </c>
      <c r="K32" s="539" t="s">
        <v>689</v>
      </c>
      <c r="L32" s="542">
        <v>133.69</v>
      </c>
      <c r="M32" s="542">
        <v>133.69</v>
      </c>
      <c r="N32" s="539">
        <v>1</v>
      </c>
      <c r="O32" s="543">
        <v>1</v>
      </c>
      <c r="P32" s="542">
        <v>133.69</v>
      </c>
      <c r="Q32" s="544">
        <v>1</v>
      </c>
      <c r="R32" s="539">
        <v>1</v>
      </c>
      <c r="S32" s="544">
        <v>1</v>
      </c>
      <c r="T32" s="543">
        <v>1</v>
      </c>
      <c r="U32" s="545">
        <v>1</v>
      </c>
    </row>
    <row r="33" spans="1:21" ht="14.4" customHeight="1" x14ac:dyDescent="0.3">
      <c r="A33" s="538">
        <v>29</v>
      </c>
      <c r="B33" s="539" t="s">
        <v>462</v>
      </c>
      <c r="C33" s="539">
        <v>89301292</v>
      </c>
      <c r="D33" s="540" t="s">
        <v>1025</v>
      </c>
      <c r="E33" s="541" t="s">
        <v>607</v>
      </c>
      <c r="F33" s="539" t="s">
        <v>604</v>
      </c>
      <c r="G33" s="539" t="s">
        <v>686</v>
      </c>
      <c r="H33" s="539" t="s">
        <v>463</v>
      </c>
      <c r="I33" s="539" t="s">
        <v>690</v>
      </c>
      <c r="J33" s="539" t="s">
        <v>688</v>
      </c>
      <c r="K33" s="539" t="s">
        <v>691</v>
      </c>
      <c r="L33" s="542">
        <v>175.15</v>
      </c>
      <c r="M33" s="542">
        <v>350.3</v>
      </c>
      <c r="N33" s="539">
        <v>2</v>
      </c>
      <c r="O33" s="543">
        <v>2</v>
      </c>
      <c r="P33" s="542">
        <v>350.3</v>
      </c>
      <c r="Q33" s="544">
        <v>1</v>
      </c>
      <c r="R33" s="539">
        <v>2</v>
      </c>
      <c r="S33" s="544">
        <v>1</v>
      </c>
      <c r="T33" s="543">
        <v>2</v>
      </c>
      <c r="U33" s="545">
        <v>1</v>
      </c>
    </row>
    <row r="34" spans="1:21" ht="14.4" customHeight="1" x14ac:dyDescent="0.3">
      <c r="A34" s="538">
        <v>29</v>
      </c>
      <c r="B34" s="539" t="s">
        <v>462</v>
      </c>
      <c r="C34" s="539">
        <v>89301292</v>
      </c>
      <c r="D34" s="540" t="s">
        <v>1025</v>
      </c>
      <c r="E34" s="541" t="s">
        <v>607</v>
      </c>
      <c r="F34" s="539" t="s">
        <v>604</v>
      </c>
      <c r="G34" s="539" t="s">
        <v>686</v>
      </c>
      <c r="H34" s="539" t="s">
        <v>463</v>
      </c>
      <c r="I34" s="539" t="s">
        <v>692</v>
      </c>
      <c r="J34" s="539" t="s">
        <v>688</v>
      </c>
      <c r="K34" s="539" t="s">
        <v>693</v>
      </c>
      <c r="L34" s="542">
        <v>200</v>
      </c>
      <c r="M34" s="542">
        <v>8000</v>
      </c>
      <c r="N34" s="539">
        <v>40</v>
      </c>
      <c r="O34" s="543">
        <v>19</v>
      </c>
      <c r="P34" s="542">
        <v>6200</v>
      </c>
      <c r="Q34" s="544">
        <v>0.77500000000000002</v>
      </c>
      <c r="R34" s="539">
        <v>31</v>
      </c>
      <c r="S34" s="544">
        <v>0.77500000000000002</v>
      </c>
      <c r="T34" s="543">
        <v>15</v>
      </c>
      <c r="U34" s="545">
        <v>0.78947368421052633</v>
      </c>
    </row>
    <row r="35" spans="1:21" ht="14.4" customHeight="1" x14ac:dyDescent="0.3">
      <c r="A35" s="538">
        <v>29</v>
      </c>
      <c r="B35" s="539" t="s">
        <v>462</v>
      </c>
      <c r="C35" s="539">
        <v>89301292</v>
      </c>
      <c r="D35" s="540" t="s">
        <v>1025</v>
      </c>
      <c r="E35" s="541" t="s">
        <v>607</v>
      </c>
      <c r="F35" s="539" t="s">
        <v>604</v>
      </c>
      <c r="G35" s="539" t="s">
        <v>686</v>
      </c>
      <c r="H35" s="539" t="s">
        <v>463</v>
      </c>
      <c r="I35" s="539" t="s">
        <v>694</v>
      </c>
      <c r="J35" s="539" t="s">
        <v>695</v>
      </c>
      <c r="K35" s="539" t="s">
        <v>696</v>
      </c>
      <c r="L35" s="542">
        <v>5.39</v>
      </c>
      <c r="M35" s="542">
        <v>107.8</v>
      </c>
      <c r="N35" s="539">
        <v>20</v>
      </c>
      <c r="O35" s="543">
        <v>1</v>
      </c>
      <c r="P35" s="542">
        <v>107.8</v>
      </c>
      <c r="Q35" s="544">
        <v>1</v>
      </c>
      <c r="R35" s="539">
        <v>20</v>
      </c>
      <c r="S35" s="544">
        <v>1</v>
      </c>
      <c r="T35" s="543">
        <v>1</v>
      </c>
      <c r="U35" s="545">
        <v>1</v>
      </c>
    </row>
    <row r="36" spans="1:21" ht="14.4" customHeight="1" x14ac:dyDescent="0.3">
      <c r="A36" s="538">
        <v>29</v>
      </c>
      <c r="B36" s="539" t="s">
        <v>462</v>
      </c>
      <c r="C36" s="539">
        <v>89301292</v>
      </c>
      <c r="D36" s="540" t="s">
        <v>1025</v>
      </c>
      <c r="E36" s="541" t="s">
        <v>607</v>
      </c>
      <c r="F36" s="539" t="s">
        <v>604</v>
      </c>
      <c r="G36" s="539" t="s">
        <v>686</v>
      </c>
      <c r="H36" s="539" t="s">
        <v>463</v>
      </c>
      <c r="I36" s="539" t="s">
        <v>697</v>
      </c>
      <c r="J36" s="539" t="s">
        <v>698</v>
      </c>
      <c r="K36" s="539" t="s">
        <v>699</v>
      </c>
      <c r="L36" s="542">
        <v>156</v>
      </c>
      <c r="M36" s="542">
        <v>156</v>
      </c>
      <c r="N36" s="539">
        <v>1</v>
      </c>
      <c r="O36" s="543">
        <v>1</v>
      </c>
      <c r="P36" s="542">
        <v>156</v>
      </c>
      <c r="Q36" s="544">
        <v>1</v>
      </c>
      <c r="R36" s="539">
        <v>1</v>
      </c>
      <c r="S36" s="544">
        <v>1</v>
      </c>
      <c r="T36" s="543">
        <v>1</v>
      </c>
      <c r="U36" s="545">
        <v>1</v>
      </c>
    </row>
    <row r="37" spans="1:21" ht="14.4" customHeight="1" x14ac:dyDescent="0.3">
      <c r="A37" s="538">
        <v>29</v>
      </c>
      <c r="B37" s="539" t="s">
        <v>462</v>
      </c>
      <c r="C37" s="539">
        <v>89301292</v>
      </c>
      <c r="D37" s="540" t="s">
        <v>1025</v>
      </c>
      <c r="E37" s="541" t="s">
        <v>607</v>
      </c>
      <c r="F37" s="539" t="s">
        <v>604</v>
      </c>
      <c r="G37" s="539" t="s">
        <v>686</v>
      </c>
      <c r="H37" s="539" t="s">
        <v>463</v>
      </c>
      <c r="I37" s="539" t="s">
        <v>700</v>
      </c>
      <c r="J37" s="539" t="s">
        <v>701</v>
      </c>
      <c r="K37" s="539" t="s">
        <v>702</v>
      </c>
      <c r="L37" s="542">
        <v>1021.02</v>
      </c>
      <c r="M37" s="542">
        <v>2042.04</v>
      </c>
      <c r="N37" s="539">
        <v>2</v>
      </c>
      <c r="O37" s="543">
        <v>1</v>
      </c>
      <c r="P37" s="542">
        <v>2042.04</v>
      </c>
      <c r="Q37" s="544">
        <v>1</v>
      </c>
      <c r="R37" s="539">
        <v>2</v>
      </c>
      <c r="S37" s="544">
        <v>1</v>
      </c>
      <c r="T37" s="543">
        <v>1</v>
      </c>
      <c r="U37" s="545">
        <v>1</v>
      </c>
    </row>
    <row r="38" spans="1:21" ht="14.4" customHeight="1" x14ac:dyDescent="0.3">
      <c r="A38" s="538">
        <v>29</v>
      </c>
      <c r="B38" s="539" t="s">
        <v>462</v>
      </c>
      <c r="C38" s="539">
        <v>89301292</v>
      </c>
      <c r="D38" s="540" t="s">
        <v>1025</v>
      </c>
      <c r="E38" s="541" t="s">
        <v>607</v>
      </c>
      <c r="F38" s="539" t="s">
        <v>604</v>
      </c>
      <c r="G38" s="539" t="s">
        <v>686</v>
      </c>
      <c r="H38" s="539" t="s">
        <v>463</v>
      </c>
      <c r="I38" s="539" t="s">
        <v>703</v>
      </c>
      <c r="J38" s="539" t="s">
        <v>701</v>
      </c>
      <c r="K38" s="539" t="s">
        <v>704</v>
      </c>
      <c r="L38" s="542">
        <v>1333.95</v>
      </c>
      <c r="M38" s="542">
        <v>8003.7000000000007</v>
      </c>
      <c r="N38" s="539">
        <v>6</v>
      </c>
      <c r="O38" s="543">
        <v>2</v>
      </c>
      <c r="P38" s="542">
        <v>8003.7000000000007</v>
      </c>
      <c r="Q38" s="544">
        <v>1</v>
      </c>
      <c r="R38" s="539">
        <v>6</v>
      </c>
      <c r="S38" s="544">
        <v>1</v>
      </c>
      <c r="T38" s="543">
        <v>2</v>
      </c>
      <c r="U38" s="545">
        <v>1</v>
      </c>
    </row>
    <row r="39" spans="1:21" ht="14.4" customHeight="1" x14ac:dyDescent="0.3">
      <c r="A39" s="538">
        <v>29</v>
      </c>
      <c r="B39" s="539" t="s">
        <v>462</v>
      </c>
      <c r="C39" s="539">
        <v>89301292</v>
      </c>
      <c r="D39" s="540" t="s">
        <v>1025</v>
      </c>
      <c r="E39" s="541" t="s">
        <v>607</v>
      </c>
      <c r="F39" s="539" t="s">
        <v>604</v>
      </c>
      <c r="G39" s="539" t="s">
        <v>686</v>
      </c>
      <c r="H39" s="539" t="s">
        <v>463</v>
      </c>
      <c r="I39" s="539" t="s">
        <v>705</v>
      </c>
      <c r="J39" s="539" t="s">
        <v>701</v>
      </c>
      <c r="K39" s="539" t="s">
        <v>706</v>
      </c>
      <c r="L39" s="542">
        <v>1127.46</v>
      </c>
      <c r="M39" s="542">
        <v>3382.38</v>
      </c>
      <c r="N39" s="539">
        <v>3</v>
      </c>
      <c r="O39" s="543">
        <v>1</v>
      </c>
      <c r="P39" s="542"/>
      <c r="Q39" s="544">
        <v>0</v>
      </c>
      <c r="R39" s="539"/>
      <c r="S39" s="544">
        <v>0</v>
      </c>
      <c r="T39" s="543"/>
      <c r="U39" s="545">
        <v>0</v>
      </c>
    </row>
    <row r="40" spans="1:21" ht="14.4" customHeight="1" x14ac:dyDescent="0.3">
      <c r="A40" s="538">
        <v>29</v>
      </c>
      <c r="B40" s="539" t="s">
        <v>462</v>
      </c>
      <c r="C40" s="539">
        <v>89301292</v>
      </c>
      <c r="D40" s="540" t="s">
        <v>1025</v>
      </c>
      <c r="E40" s="541" t="s">
        <v>607</v>
      </c>
      <c r="F40" s="539" t="s">
        <v>604</v>
      </c>
      <c r="G40" s="539" t="s">
        <v>686</v>
      </c>
      <c r="H40" s="539" t="s">
        <v>463</v>
      </c>
      <c r="I40" s="539" t="s">
        <v>707</v>
      </c>
      <c r="J40" s="539" t="s">
        <v>708</v>
      </c>
      <c r="K40" s="539" t="s">
        <v>709</v>
      </c>
      <c r="L40" s="542">
        <v>8</v>
      </c>
      <c r="M40" s="542">
        <v>24</v>
      </c>
      <c r="N40" s="539">
        <v>3</v>
      </c>
      <c r="O40" s="543">
        <v>1</v>
      </c>
      <c r="P40" s="542">
        <v>24</v>
      </c>
      <c r="Q40" s="544">
        <v>1</v>
      </c>
      <c r="R40" s="539">
        <v>3</v>
      </c>
      <c r="S40" s="544">
        <v>1</v>
      </c>
      <c r="T40" s="543">
        <v>1</v>
      </c>
      <c r="U40" s="545">
        <v>1</v>
      </c>
    </row>
    <row r="41" spans="1:21" ht="14.4" customHeight="1" x14ac:dyDescent="0.3">
      <c r="A41" s="538">
        <v>29</v>
      </c>
      <c r="B41" s="539" t="s">
        <v>462</v>
      </c>
      <c r="C41" s="539">
        <v>89301292</v>
      </c>
      <c r="D41" s="540" t="s">
        <v>1025</v>
      </c>
      <c r="E41" s="541" t="s">
        <v>607</v>
      </c>
      <c r="F41" s="539" t="s">
        <v>604</v>
      </c>
      <c r="G41" s="539" t="s">
        <v>686</v>
      </c>
      <c r="H41" s="539" t="s">
        <v>463</v>
      </c>
      <c r="I41" s="539" t="s">
        <v>710</v>
      </c>
      <c r="J41" s="539" t="s">
        <v>708</v>
      </c>
      <c r="K41" s="539" t="s">
        <v>711</v>
      </c>
      <c r="L41" s="542">
        <v>6.11</v>
      </c>
      <c r="M41" s="542">
        <v>6.11</v>
      </c>
      <c r="N41" s="539">
        <v>1</v>
      </c>
      <c r="O41" s="543">
        <v>1</v>
      </c>
      <c r="P41" s="542">
        <v>6.11</v>
      </c>
      <c r="Q41" s="544">
        <v>1</v>
      </c>
      <c r="R41" s="539">
        <v>1</v>
      </c>
      <c r="S41" s="544">
        <v>1</v>
      </c>
      <c r="T41" s="543">
        <v>1</v>
      </c>
      <c r="U41" s="545">
        <v>1</v>
      </c>
    </row>
    <row r="42" spans="1:21" ht="14.4" customHeight="1" x14ac:dyDescent="0.3">
      <c r="A42" s="538">
        <v>29</v>
      </c>
      <c r="B42" s="539" t="s">
        <v>462</v>
      </c>
      <c r="C42" s="539">
        <v>89301292</v>
      </c>
      <c r="D42" s="540" t="s">
        <v>1025</v>
      </c>
      <c r="E42" s="541" t="s">
        <v>607</v>
      </c>
      <c r="F42" s="539" t="s">
        <v>604</v>
      </c>
      <c r="G42" s="539" t="s">
        <v>686</v>
      </c>
      <c r="H42" s="539" t="s">
        <v>463</v>
      </c>
      <c r="I42" s="539" t="s">
        <v>712</v>
      </c>
      <c r="J42" s="539" t="s">
        <v>713</v>
      </c>
      <c r="K42" s="539" t="s">
        <v>714</v>
      </c>
      <c r="L42" s="542">
        <v>100</v>
      </c>
      <c r="M42" s="542">
        <v>200</v>
      </c>
      <c r="N42" s="539">
        <v>2</v>
      </c>
      <c r="O42" s="543">
        <v>2</v>
      </c>
      <c r="P42" s="542"/>
      <c r="Q42" s="544">
        <v>0</v>
      </c>
      <c r="R42" s="539"/>
      <c r="S42" s="544">
        <v>0</v>
      </c>
      <c r="T42" s="543"/>
      <c r="U42" s="545">
        <v>0</v>
      </c>
    </row>
    <row r="43" spans="1:21" ht="14.4" customHeight="1" x14ac:dyDescent="0.3">
      <c r="A43" s="538">
        <v>29</v>
      </c>
      <c r="B43" s="539" t="s">
        <v>462</v>
      </c>
      <c r="C43" s="539">
        <v>89301292</v>
      </c>
      <c r="D43" s="540" t="s">
        <v>1025</v>
      </c>
      <c r="E43" s="541" t="s">
        <v>607</v>
      </c>
      <c r="F43" s="539" t="s">
        <v>604</v>
      </c>
      <c r="G43" s="539" t="s">
        <v>686</v>
      </c>
      <c r="H43" s="539" t="s">
        <v>463</v>
      </c>
      <c r="I43" s="539" t="s">
        <v>715</v>
      </c>
      <c r="J43" s="539" t="s">
        <v>716</v>
      </c>
      <c r="K43" s="539" t="s">
        <v>717</v>
      </c>
      <c r="L43" s="542">
        <v>30</v>
      </c>
      <c r="M43" s="542">
        <v>60</v>
      </c>
      <c r="N43" s="539">
        <v>2</v>
      </c>
      <c r="O43" s="543">
        <v>1</v>
      </c>
      <c r="P43" s="542"/>
      <c r="Q43" s="544">
        <v>0</v>
      </c>
      <c r="R43" s="539"/>
      <c r="S43" s="544">
        <v>0</v>
      </c>
      <c r="T43" s="543"/>
      <c r="U43" s="545">
        <v>0</v>
      </c>
    </row>
    <row r="44" spans="1:21" ht="14.4" customHeight="1" x14ac:dyDescent="0.3">
      <c r="A44" s="538">
        <v>29</v>
      </c>
      <c r="B44" s="539" t="s">
        <v>462</v>
      </c>
      <c r="C44" s="539">
        <v>89301292</v>
      </c>
      <c r="D44" s="540" t="s">
        <v>1025</v>
      </c>
      <c r="E44" s="541" t="s">
        <v>607</v>
      </c>
      <c r="F44" s="539" t="s">
        <v>604</v>
      </c>
      <c r="G44" s="539" t="s">
        <v>686</v>
      </c>
      <c r="H44" s="539" t="s">
        <v>463</v>
      </c>
      <c r="I44" s="539" t="s">
        <v>718</v>
      </c>
      <c r="J44" s="539" t="s">
        <v>719</v>
      </c>
      <c r="K44" s="539" t="s">
        <v>720</v>
      </c>
      <c r="L44" s="542">
        <v>154</v>
      </c>
      <c r="M44" s="542">
        <v>308</v>
      </c>
      <c r="N44" s="539">
        <v>2</v>
      </c>
      <c r="O44" s="543">
        <v>1</v>
      </c>
      <c r="P44" s="542">
        <v>308</v>
      </c>
      <c r="Q44" s="544">
        <v>1</v>
      </c>
      <c r="R44" s="539">
        <v>2</v>
      </c>
      <c r="S44" s="544">
        <v>1</v>
      </c>
      <c r="T44" s="543">
        <v>1</v>
      </c>
      <c r="U44" s="545">
        <v>1</v>
      </c>
    </row>
    <row r="45" spans="1:21" ht="14.4" customHeight="1" x14ac:dyDescent="0.3">
      <c r="A45" s="538">
        <v>29</v>
      </c>
      <c r="B45" s="539" t="s">
        <v>462</v>
      </c>
      <c r="C45" s="539">
        <v>89301292</v>
      </c>
      <c r="D45" s="540" t="s">
        <v>1025</v>
      </c>
      <c r="E45" s="541" t="s">
        <v>607</v>
      </c>
      <c r="F45" s="539" t="s">
        <v>604</v>
      </c>
      <c r="G45" s="539" t="s">
        <v>686</v>
      </c>
      <c r="H45" s="539" t="s">
        <v>463</v>
      </c>
      <c r="I45" s="539" t="s">
        <v>721</v>
      </c>
      <c r="J45" s="539" t="s">
        <v>722</v>
      </c>
      <c r="K45" s="539" t="s">
        <v>723</v>
      </c>
      <c r="L45" s="542">
        <v>30</v>
      </c>
      <c r="M45" s="542">
        <v>150</v>
      </c>
      <c r="N45" s="539">
        <v>5</v>
      </c>
      <c r="O45" s="543">
        <v>1</v>
      </c>
      <c r="P45" s="542"/>
      <c r="Q45" s="544">
        <v>0</v>
      </c>
      <c r="R45" s="539"/>
      <c r="S45" s="544">
        <v>0</v>
      </c>
      <c r="T45" s="543"/>
      <c r="U45" s="545">
        <v>0</v>
      </c>
    </row>
    <row r="46" spans="1:21" ht="14.4" customHeight="1" x14ac:dyDescent="0.3">
      <c r="A46" s="538">
        <v>29</v>
      </c>
      <c r="B46" s="539" t="s">
        <v>462</v>
      </c>
      <c r="C46" s="539">
        <v>89301292</v>
      </c>
      <c r="D46" s="540" t="s">
        <v>1025</v>
      </c>
      <c r="E46" s="541" t="s">
        <v>607</v>
      </c>
      <c r="F46" s="539" t="s">
        <v>604</v>
      </c>
      <c r="G46" s="539" t="s">
        <v>686</v>
      </c>
      <c r="H46" s="539" t="s">
        <v>463</v>
      </c>
      <c r="I46" s="539" t="s">
        <v>724</v>
      </c>
      <c r="J46" s="539" t="s">
        <v>725</v>
      </c>
      <c r="K46" s="539" t="s">
        <v>726</v>
      </c>
      <c r="L46" s="542">
        <v>841.6</v>
      </c>
      <c r="M46" s="542">
        <v>1683.2</v>
      </c>
      <c r="N46" s="539">
        <v>2</v>
      </c>
      <c r="O46" s="543">
        <v>1</v>
      </c>
      <c r="P46" s="542">
        <v>1683.2</v>
      </c>
      <c r="Q46" s="544">
        <v>1</v>
      </c>
      <c r="R46" s="539">
        <v>2</v>
      </c>
      <c r="S46" s="544">
        <v>1</v>
      </c>
      <c r="T46" s="543">
        <v>1</v>
      </c>
      <c r="U46" s="545">
        <v>1</v>
      </c>
    </row>
    <row r="47" spans="1:21" ht="14.4" customHeight="1" x14ac:dyDescent="0.3">
      <c r="A47" s="538">
        <v>29</v>
      </c>
      <c r="B47" s="539" t="s">
        <v>462</v>
      </c>
      <c r="C47" s="539">
        <v>89301292</v>
      </c>
      <c r="D47" s="540" t="s">
        <v>1025</v>
      </c>
      <c r="E47" s="541" t="s">
        <v>607</v>
      </c>
      <c r="F47" s="539" t="s">
        <v>604</v>
      </c>
      <c r="G47" s="539" t="s">
        <v>727</v>
      </c>
      <c r="H47" s="539" t="s">
        <v>463</v>
      </c>
      <c r="I47" s="539" t="s">
        <v>728</v>
      </c>
      <c r="J47" s="539" t="s">
        <v>729</v>
      </c>
      <c r="K47" s="539" t="s">
        <v>730</v>
      </c>
      <c r="L47" s="542">
        <v>410</v>
      </c>
      <c r="M47" s="542">
        <v>4100</v>
      </c>
      <c r="N47" s="539">
        <v>10</v>
      </c>
      <c r="O47" s="543">
        <v>9</v>
      </c>
      <c r="P47" s="542">
        <v>3690</v>
      </c>
      <c r="Q47" s="544">
        <v>0.9</v>
      </c>
      <c r="R47" s="539">
        <v>9</v>
      </c>
      <c r="S47" s="544">
        <v>0.9</v>
      </c>
      <c r="T47" s="543">
        <v>8</v>
      </c>
      <c r="U47" s="545">
        <v>0.88888888888888884</v>
      </c>
    </row>
    <row r="48" spans="1:21" ht="14.4" customHeight="1" x14ac:dyDescent="0.3">
      <c r="A48" s="538">
        <v>29</v>
      </c>
      <c r="B48" s="539" t="s">
        <v>462</v>
      </c>
      <c r="C48" s="539">
        <v>89301292</v>
      </c>
      <c r="D48" s="540" t="s">
        <v>1025</v>
      </c>
      <c r="E48" s="541" t="s">
        <v>607</v>
      </c>
      <c r="F48" s="539" t="s">
        <v>604</v>
      </c>
      <c r="G48" s="539" t="s">
        <v>727</v>
      </c>
      <c r="H48" s="539" t="s">
        <v>463</v>
      </c>
      <c r="I48" s="539" t="s">
        <v>731</v>
      </c>
      <c r="J48" s="539" t="s">
        <v>732</v>
      </c>
      <c r="K48" s="539" t="s">
        <v>733</v>
      </c>
      <c r="L48" s="542">
        <v>566</v>
      </c>
      <c r="M48" s="542">
        <v>566</v>
      </c>
      <c r="N48" s="539">
        <v>1</v>
      </c>
      <c r="O48" s="543">
        <v>1</v>
      </c>
      <c r="P48" s="542">
        <v>566</v>
      </c>
      <c r="Q48" s="544">
        <v>1</v>
      </c>
      <c r="R48" s="539">
        <v>1</v>
      </c>
      <c r="S48" s="544">
        <v>1</v>
      </c>
      <c r="T48" s="543">
        <v>1</v>
      </c>
      <c r="U48" s="545">
        <v>1</v>
      </c>
    </row>
    <row r="49" spans="1:21" ht="14.4" customHeight="1" x14ac:dyDescent="0.3">
      <c r="A49" s="538">
        <v>29</v>
      </c>
      <c r="B49" s="539" t="s">
        <v>462</v>
      </c>
      <c r="C49" s="539">
        <v>89301292</v>
      </c>
      <c r="D49" s="540" t="s">
        <v>1025</v>
      </c>
      <c r="E49" s="541" t="s">
        <v>607</v>
      </c>
      <c r="F49" s="539" t="s">
        <v>604</v>
      </c>
      <c r="G49" s="539" t="s">
        <v>727</v>
      </c>
      <c r="H49" s="539" t="s">
        <v>463</v>
      </c>
      <c r="I49" s="539" t="s">
        <v>734</v>
      </c>
      <c r="J49" s="539" t="s">
        <v>735</v>
      </c>
      <c r="K49" s="539" t="s">
        <v>736</v>
      </c>
      <c r="L49" s="542">
        <v>350</v>
      </c>
      <c r="M49" s="542">
        <v>350</v>
      </c>
      <c r="N49" s="539">
        <v>1</v>
      </c>
      <c r="O49" s="543">
        <v>1</v>
      </c>
      <c r="P49" s="542">
        <v>350</v>
      </c>
      <c r="Q49" s="544">
        <v>1</v>
      </c>
      <c r="R49" s="539">
        <v>1</v>
      </c>
      <c r="S49" s="544">
        <v>1</v>
      </c>
      <c r="T49" s="543">
        <v>1</v>
      </c>
      <c r="U49" s="545">
        <v>1</v>
      </c>
    </row>
    <row r="50" spans="1:21" ht="14.4" customHeight="1" x14ac:dyDescent="0.3">
      <c r="A50" s="538">
        <v>29</v>
      </c>
      <c r="B50" s="539" t="s">
        <v>462</v>
      </c>
      <c r="C50" s="539">
        <v>89301292</v>
      </c>
      <c r="D50" s="540" t="s">
        <v>1025</v>
      </c>
      <c r="E50" s="541" t="s">
        <v>607</v>
      </c>
      <c r="F50" s="539" t="s">
        <v>604</v>
      </c>
      <c r="G50" s="539" t="s">
        <v>737</v>
      </c>
      <c r="H50" s="539" t="s">
        <v>463</v>
      </c>
      <c r="I50" s="539" t="s">
        <v>738</v>
      </c>
      <c r="J50" s="539" t="s">
        <v>739</v>
      </c>
      <c r="K50" s="539" t="s">
        <v>740</v>
      </c>
      <c r="L50" s="542">
        <v>378.48</v>
      </c>
      <c r="M50" s="542">
        <v>378.48</v>
      </c>
      <c r="N50" s="539">
        <v>1</v>
      </c>
      <c r="O50" s="543">
        <v>1</v>
      </c>
      <c r="P50" s="542">
        <v>378.48</v>
      </c>
      <c r="Q50" s="544">
        <v>1</v>
      </c>
      <c r="R50" s="539">
        <v>1</v>
      </c>
      <c r="S50" s="544">
        <v>1</v>
      </c>
      <c r="T50" s="543">
        <v>1</v>
      </c>
      <c r="U50" s="545">
        <v>1</v>
      </c>
    </row>
    <row r="51" spans="1:21" ht="14.4" customHeight="1" x14ac:dyDescent="0.3">
      <c r="A51" s="538">
        <v>29</v>
      </c>
      <c r="B51" s="539" t="s">
        <v>462</v>
      </c>
      <c r="C51" s="539">
        <v>89301292</v>
      </c>
      <c r="D51" s="540" t="s">
        <v>1025</v>
      </c>
      <c r="E51" s="541" t="s">
        <v>607</v>
      </c>
      <c r="F51" s="539" t="s">
        <v>604</v>
      </c>
      <c r="G51" s="539" t="s">
        <v>737</v>
      </c>
      <c r="H51" s="539" t="s">
        <v>463</v>
      </c>
      <c r="I51" s="539" t="s">
        <v>741</v>
      </c>
      <c r="J51" s="539" t="s">
        <v>742</v>
      </c>
      <c r="K51" s="539" t="s">
        <v>743</v>
      </c>
      <c r="L51" s="542">
        <v>338.94</v>
      </c>
      <c r="M51" s="542">
        <v>338.94</v>
      </c>
      <c r="N51" s="539">
        <v>1</v>
      </c>
      <c r="O51" s="543">
        <v>1</v>
      </c>
      <c r="P51" s="542">
        <v>338.94</v>
      </c>
      <c r="Q51" s="544">
        <v>1</v>
      </c>
      <c r="R51" s="539">
        <v>1</v>
      </c>
      <c r="S51" s="544">
        <v>1</v>
      </c>
      <c r="T51" s="543">
        <v>1</v>
      </c>
      <c r="U51" s="545">
        <v>1</v>
      </c>
    </row>
    <row r="52" spans="1:21" ht="14.4" customHeight="1" x14ac:dyDescent="0.3">
      <c r="A52" s="538">
        <v>29</v>
      </c>
      <c r="B52" s="539" t="s">
        <v>462</v>
      </c>
      <c r="C52" s="539">
        <v>89301292</v>
      </c>
      <c r="D52" s="540" t="s">
        <v>1025</v>
      </c>
      <c r="E52" s="541" t="s">
        <v>607</v>
      </c>
      <c r="F52" s="539" t="s">
        <v>604</v>
      </c>
      <c r="G52" s="539" t="s">
        <v>737</v>
      </c>
      <c r="H52" s="539" t="s">
        <v>463</v>
      </c>
      <c r="I52" s="539" t="s">
        <v>744</v>
      </c>
      <c r="J52" s="539" t="s">
        <v>745</v>
      </c>
      <c r="K52" s="539" t="s">
        <v>746</v>
      </c>
      <c r="L52" s="542">
        <v>245.11</v>
      </c>
      <c r="M52" s="542">
        <v>245.11</v>
      </c>
      <c r="N52" s="539">
        <v>1</v>
      </c>
      <c r="O52" s="543">
        <v>1</v>
      </c>
      <c r="P52" s="542">
        <v>245.11</v>
      </c>
      <c r="Q52" s="544">
        <v>1</v>
      </c>
      <c r="R52" s="539">
        <v>1</v>
      </c>
      <c r="S52" s="544">
        <v>1</v>
      </c>
      <c r="T52" s="543">
        <v>1</v>
      </c>
      <c r="U52" s="545">
        <v>1</v>
      </c>
    </row>
    <row r="53" spans="1:21" ht="14.4" customHeight="1" x14ac:dyDescent="0.3">
      <c r="A53" s="538">
        <v>29</v>
      </c>
      <c r="B53" s="539" t="s">
        <v>462</v>
      </c>
      <c r="C53" s="539">
        <v>89301292</v>
      </c>
      <c r="D53" s="540" t="s">
        <v>1025</v>
      </c>
      <c r="E53" s="541" t="s">
        <v>607</v>
      </c>
      <c r="F53" s="539" t="s">
        <v>604</v>
      </c>
      <c r="G53" s="539" t="s">
        <v>737</v>
      </c>
      <c r="H53" s="539" t="s">
        <v>463</v>
      </c>
      <c r="I53" s="539" t="s">
        <v>747</v>
      </c>
      <c r="J53" s="539" t="s">
        <v>748</v>
      </c>
      <c r="K53" s="539" t="s">
        <v>749</v>
      </c>
      <c r="L53" s="542">
        <v>250</v>
      </c>
      <c r="M53" s="542">
        <v>1000</v>
      </c>
      <c r="N53" s="539">
        <v>4</v>
      </c>
      <c r="O53" s="543">
        <v>4</v>
      </c>
      <c r="P53" s="542">
        <v>250</v>
      </c>
      <c r="Q53" s="544">
        <v>0.25</v>
      </c>
      <c r="R53" s="539">
        <v>1</v>
      </c>
      <c r="S53" s="544">
        <v>0.25</v>
      </c>
      <c r="T53" s="543">
        <v>1</v>
      </c>
      <c r="U53" s="545">
        <v>0.25</v>
      </c>
    </row>
    <row r="54" spans="1:21" ht="14.4" customHeight="1" x14ac:dyDescent="0.3">
      <c r="A54" s="538">
        <v>29</v>
      </c>
      <c r="B54" s="539" t="s">
        <v>462</v>
      </c>
      <c r="C54" s="539">
        <v>89301292</v>
      </c>
      <c r="D54" s="540" t="s">
        <v>1025</v>
      </c>
      <c r="E54" s="541" t="s">
        <v>607</v>
      </c>
      <c r="F54" s="539" t="s">
        <v>604</v>
      </c>
      <c r="G54" s="539" t="s">
        <v>737</v>
      </c>
      <c r="H54" s="539" t="s">
        <v>463</v>
      </c>
      <c r="I54" s="539" t="s">
        <v>750</v>
      </c>
      <c r="J54" s="539" t="s">
        <v>751</v>
      </c>
      <c r="K54" s="539" t="s">
        <v>752</v>
      </c>
      <c r="L54" s="542">
        <v>250</v>
      </c>
      <c r="M54" s="542">
        <v>250</v>
      </c>
      <c r="N54" s="539">
        <v>1</v>
      </c>
      <c r="O54" s="543">
        <v>1</v>
      </c>
      <c r="P54" s="542"/>
      <c r="Q54" s="544">
        <v>0</v>
      </c>
      <c r="R54" s="539"/>
      <c r="S54" s="544">
        <v>0</v>
      </c>
      <c r="T54" s="543"/>
      <c r="U54" s="545">
        <v>0</v>
      </c>
    </row>
    <row r="55" spans="1:21" ht="14.4" customHeight="1" x14ac:dyDescent="0.3">
      <c r="A55" s="538">
        <v>29</v>
      </c>
      <c r="B55" s="539" t="s">
        <v>462</v>
      </c>
      <c r="C55" s="539">
        <v>89301292</v>
      </c>
      <c r="D55" s="540" t="s">
        <v>1025</v>
      </c>
      <c r="E55" s="541" t="s">
        <v>607</v>
      </c>
      <c r="F55" s="539" t="s">
        <v>604</v>
      </c>
      <c r="G55" s="539" t="s">
        <v>737</v>
      </c>
      <c r="H55" s="539" t="s">
        <v>463</v>
      </c>
      <c r="I55" s="539" t="s">
        <v>753</v>
      </c>
      <c r="J55" s="539" t="s">
        <v>754</v>
      </c>
      <c r="K55" s="539" t="s">
        <v>755</v>
      </c>
      <c r="L55" s="542">
        <v>1100</v>
      </c>
      <c r="M55" s="542">
        <v>1100</v>
      </c>
      <c r="N55" s="539">
        <v>1</v>
      </c>
      <c r="O55" s="543">
        <v>1</v>
      </c>
      <c r="P55" s="542">
        <v>1100</v>
      </c>
      <c r="Q55" s="544">
        <v>1</v>
      </c>
      <c r="R55" s="539">
        <v>1</v>
      </c>
      <c r="S55" s="544">
        <v>1</v>
      </c>
      <c r="T55" s="543">
        <v>1</v>
      </c>
      <c r="U55" s="545">
        <v>1</v>
      </c>
    </row>
    <row r="56" spans="1:21" ht="14.4" customHeight="1" x14ac:dyDescent="0.3">
      <c r="A56" s="538">
        <v>29</v>
      </c>
      <c r="B56" s="539" t="s">
        <v>462</v>
      </c>
      <c r="C56" s="539">
        <v>89301292</v>
      </c>
      <c r="D56" s="540" t="s">
        <v>1025</v>
      </c>
      <c r="E56" s="541" t="s">
        <v>607</v>
      </c>
      <c r="F56" s="539" t="s">
        <v>604</v>
      </c>
      <c r="G56" s="539" t="s">
        <v>737</v>
      </c>
      <c r="H56" s="539" t="s">
        <v>463</v>
      </c>
      <c r="I56" s="539" t="s">
        <v>756</v>
      </c>
      <c r="J56" s="539" t="s">
        <v>757</v>
      </c>
      <c r="K56" s="539" t="s">
        <v>758</v>
      </c>
      <c r="L56" s="542">
        <v>345.18</v>
      </c>
      <c r="M56" s="542">
        <v>345.18</v>
      </c>
      <c r="N56" s="539">
        <v>1</v>
      </c>
      <c r="O56" s="543">
        <v>1</v>
      </c>
      <c r="P56" s="542"/>
      <c r="Q56" s="544">
        <v>0</v>
      </c>
      <c r="R56" s="539"/>
      <c r="S56" s="544">
        <v>0</v>
      </c>
      <c r="T56" s="543"/>
      <c r="U56" s="545">
        <v>0</v>
      </c>
    </row>
    <row r="57" spans="1:21" ht="14.4" customHeight="1" x14ac:dyDescent="0.3">
      <c r="A57" s="538">
        <v>29</v>
      </c>
      <c r="B57" s="539" t="s">
        <v>462</v>
      </c>
      <c r="C57" s="539">
        <v>89301292</v>
      </c>
      <c r="D57" s="540" t="s">
        <v>1025</v>
      </c>
      <c r="E57" s="541" t="s">
        <v>607</v>
      </c>
      <c r="F57" s="539" t="s">
        <v>604</v>
      </c>
      <c r="G57" s="539" t="s">
        <v>759</v>
      </c>
      <c r="H57" s="539" t="s">
        <v>463</v>
      </c>
      <c r="I57" s="539" t="s">
        <v>760</v>
      </c>
      <c r="J57" s="539" t="s">
        <v>761</v>
      </c>
      <c r="K57" s="539" t="s">
        <v>762</v>
      </c>
      <c r="L57" s="542">
        <v>200</v>
      </c>
      <c r="M57" s="542">
        <v>200</v>
      </c>
      <c r="N57" s="539">
        <v>1</v>
      </c>
      <c r="O57" s="543">
        <v>1</v>
      </c>
      <c r="P57" s="542">
        <v>200</v>
      </c>
      <c r="Q57" s="544">
        <v>1</v>
      </c>
      <c r="R57" s="539">
        <v>1</v>
      </c>
      <c r="S57" s="544">
        <v>1</v>
      </c>
      <c r="T57" s="543">
        <v>1</v>
      </c>
      <c r="U57" s="545">
        <v>1</v>
      </c>
    </row>
    <row r="58" spans="1:21" ht="14.4" customHeight="1" x14ac:dyDescent="0.3">
      <c r="A58" s="538">
        <v>29</v>
      </c>
      <c r="B58" s="539" t="s">
        <v>462</v>
      </c>
      <c r="C58" s="539">
        <v>89301292</v>
      </c>
      <c r="D58" s="540" t="s">
        <v>1025</v>
      </c>
      <c r="E58" s="541" t="s">
        <v>608</v>
      </c>
      <c r="F58" s="539" t="s">
        <v>602</v>
      </c>
      <c r="G58" s="539" t="s">
        <v>614</v>
      </c>
      <c r="H58" s="539" t="s">
        <v>1026</v>
      </c>
      <c r="I58" s="539" t="s">
        <v>615</v>
      </c>
      <c r="J58" s="539" t="s">
        <v>616</v>
      </c>
      <c r="K58" s="539" t="s">
        <v>617</v>
      </c>
      <c r="L58" s="542">
        <v>154.36000000000001</v>
      </c>
      <c r="M58" s="542">
        <v>154.36000000000001</v>
      </c>
      <c r="N58" s="539">
        <v>1</v>
      </c>
      <c r="O58" s="543">
        <v>1</v>
      </c>
      <c r="P58" s="542"/>
      <c r="Q58" s="544">
        <v>0</v>
      </c>
      <c r="R58" s="539"/>
      <c r="S58" s="544">
        <v>0</v>
      </c>
      <c r="T58" s="543"/>
      <c r="U58" s="545">
        <v>0</v>
      </c>
    </row>
    <row r="59" spans="1:21" ht="14.4" customHeight="1" x14ac:dyDescent="0.3">
      <c r="A59" s="538">
        <v>29</v>
      </c>
      <c r="B59" s="539" t="s">
        <v>462</v>
      </c>
      <c r="C59" s="539">
        <v>89301292</v>
      </c>
      <c r="D59" s="540" t="s">
        <v>1025</v>
      </c>
      <c r="E59" s="541" t="s">
        <v>608</v>
      </c>
      <c r="F59" s="539" t="s">
        <v>602</v>
      </c>
      <c r="G59" s="539" t="s">
        <v>618</v>
      </c>
      <c r="H59" s="539" t="s">
        <v>463</v>
      </c>
      <c r="I59" s="539" t="s">
        <v>619</v>
      </c>
      <c r="J59" s="539" t="s">
        <v>620</v>
      </c>
      <c r="K59" s="539" t="s">
        <v>621</v>
      </c>
      <c r="L59" s="542">
        <v>0</v>
      </c>
      <c r="M59" s="542">
        <v>0</v>
      </c>
      <c r="N59" s="539">
        <v>2</v>
      </c>
      <c r="O59" s="543">
        <v>2</v>
      </c>
      <c r="P59" s="542">
        <v>0</v>
      </c>
      <c r="Q59" s="544"/>
      <c r="R59" s="539">
        <v>2</v>
      </c>
      <c r="S59" s="544">
        <v>1</v>
      </c>
      <c r="T59" s="543">
        <v>2</v>
      </c>
      <c r="U59" s="545">
        <v>1</v>
      </c>
    </row>
    <row r="60" spans="1:21" ht="14.4" customHeight="1" x14ac:dyDescent="0.3">
      <c r="A60" s="538">
        <v>29</v>
      </c>
      <c r="B60" s="539" t="s">
        <v>462</v>
      </c>
      <c r="C60" s="539">
        <v>89301292</v>
      </c>
      <c r="D60" s="540" t="s">
        <v>1025</v>
      </c>
      <c r="E60" s="541" t="s">
        <v>608</v>
      </c>
      <c r="F60" s="539" t="s">
        <v>602</v>
      </c>
      <c r="G60" s="539" t="s">
        <v>763</v>
      </c>
      <c r="H60" s="539" t="s">
        <v>463</v>
      </c>
      <c r="I60" s="539" t="s">
        <v>764</v>
      </c>
      <c r="J60" s="539" t="s">
        <v>765</v>
      </c>
      <c r="K60" s="539" t="s">
        <v>766</v>
      </c>
      <c r="L60" s="542">
        <v>170.52</v>
      </c>
      <c r="M60" s="542">
        <v>170.52</v>
      </c>
      <c r="N60" s="539">
        <v>1</v>
      </c>
      <c r="O60" s="543">
        <v>1</v>
      </c>
      <c r="P60" s="542"/>
      <c r="Q60" s="544">
        <v>0</v>
      </c>
      <c r="R60" s="539"/>
      <c r="S60" s="544">
        <v>0</v>
      </c>
      <c r="T60" s="543"/>
      <c r="U60" s="545">
        <v>0</v>
      </c>
    </row>
    <row r="61" spans="1:21" ht="14.4" customHeight="1" x14ac:dyDescent="0.3">
      <c r="A61" s="538">
        <v>29</v>
      </c>
      <c r="B61" s="539" t="s">
        <v>462</v>
      </c>
      <c r="C61" s="539">
        <v>89301292</v>
      </c>
      <c r="D61" s="540" t="s">
        <v>1025</v>
      </c>
      <c r="E61" s="541" t="s">
        <v>608</v>
      </c>
      <c r="F61" s="539" t="s">
        <v>602</v>
      </c>
      <c r="G61" s="539" t="s">
        <v>767</v>
      </c>
      <c r="H61" s="539" t="s">
        <v>463</v>
      </c>
      <c r="I61" s="539" t="s">
        <v>768</v>
      </c>
      <c r="J61" s="539" t="s">
        <v>769</v>
      </c>
      <c r="K61" s="539" t="s">
        <v>770</v>
      </c>
      <c r="L61" s="542">
        <v>110.28</v>
      </c>
      <c r="M61" s="542">
        <v>110.28</v>
      </c>
      <c r="N61" s="539">
        <v>1</v>
      </c>
      <c r="O61" s="543">
        <v>1</v>
      </c>
      <c r="P61" s="542">
        <v>110.28</v>
      </c>
      <c r="Q61" s="544">
        <v>1</v>
      </c>
      <c r="R61" s="539">
        <v>1</v>
      </c>
      <c r="S61" s="544">
        <v>1</v>
      </c>
      <c r="T61" s="543">
        <v>1</v>
      </c>
      <c r="U61" s="545">
        <v>1</v>
      </c>
    </row>
    <row r="62" spans="1:21" ht="14.4" customHeight="1" x14ac:dyDescent="0.3">
      <c r="A62" s="538">
        <v>29</v>
      </c>
      <c r="B62" s="539" t="s">
        <v>462</v>
      </c>
      <c r="C62" s="539">
        <v>89301292</v>
      </c>
      <c r="D62" s="540" t="s">
        <v>1025</v>
      </c>
      <c r="E62" s="541" t="s">
        <v>608</v>
      </c>
      <c r="F62" s="539" t="s">
        <v>602</v>
      </c>
      <c r="G62" s="539" t="s">
        <v>771</v>
      </c>
      <c r="H62" s="539" t="s">
        <v>463</v>
      </c>
      <c r="I62" s="539" t="s">
        <v>772</v>
      </c>
      <c r="J62" s="539" t="s">
        <v>773</v>
      </c>
      <c r="K62" s="539" t="s">
        <v>774</v>
      </c>
      <c r="L62" s="542">
        <v>226.89</v>
      </c>
      <c r="M62" s="542">
        <v>226.89</v>
      </c>
      <c r="N62" s="539">
        <v>1</v>
      </c>
      <c r="O62" s="543">
        <v>1</v>
      </c>
      <c r="P62" s="542">
        <v>226.89</v>
      </c>
      <c r="Q62" s="544">
        <v>1</v>
      </c>
      <c r="R62" s="539">
        <v>1</v>
      </c>
      <c r="S62" s="544">
        <v>1</v>
      </c>
      <c r="T62" s="543">
        <v>1</v>
      </c>
      <c r="U62" s="545">
        <v>1</v>
      </c>
    </row>
    <row r="63" spans="1:21" ht="14.4" customHeight="1" x14ac:dyDescent="0.3">
      <c r="A63" s="538">
        <v>29</v>
      </c>
      <c r="B63" s="539" t="s">
        <v>462</v>
      </c>
      <c r="C63" s="539">
        <v>89301292</v>
      </c>
      <c r="D63" s="540" t="s">
        <v>1025</v>
      </c>
      <c r="E63" s="541" t="s">
        <v>608</v>
      </c>
      <c r="F63" s="539" t="s">
        <v>602</v>
      </c>
      <c r="G63" s="539" t="s">
        <v>629</v>
      </c>
      <c r="H63" s="539" t="s">
        <v>463</v>
      </c>
      <c r="I63" s="539" t="s">
        <v>548</v>
      </c>
      <c r="J63" s="539" t="s">
        <v>549</v>
      </c>
      <c r="K63" s="539" t="s">
        <v>630</v>
      </c>
      <c r="L63" s="542">
        <v>48.09</v>
      </c>
      <c r="M63" s="542">
        <v>96.18</v>
      </c>
      <c r="N63" s="539">
        <v>2</v>
      </c>
      <c r="O63" s="543">
        <v>2</v>
      </c>
      <c r="P63" s="542">
        <v>48.09</v>
      </c>
      <c r="Q63" s="544">
        <v>0.5</v>
      </c>
      <c r="R63" s="539">
        <v>1</v>
      </c>
      <c r="S63" s="544">
        <v>0.5</v>
      </c>
      <c r="T63" s="543">
        <v>1</v>
      </c>
      <c r="U63" s="545">
        <v>0.5</v>
      </c>
    </row>
    <row r="64" spans="1:21" ht="14.4" customHeight="1" x14ac:dyDescent="0.3">
      <c r="A64" s="538">
        <v>29</v>
      </c>
      <c r="B64" s="539" t="s">
        <v>462</v>
      </c>
      <c r="C64" s="539">
        <v>89301292</v>
      </c>
      <c r="D64" s="540" t="s">
        <v>1025</v>
      </c>
      <c r="E64" s="541" t="s">
        <v>608</v>
      </c>
      <c r="F64" s="539" t="s">
        <v>602</v>
      </c>
      <c r="G64" s="539" t="s">
        <v>631</v>
      </c>
      <c r="H64" s="539" t="s">
        <v>463</v>
      </c>
      <c r="I64" s="539" t="s">
        <v>632</v>
      </c>
      <c r="J64" s="539" t="s">
        <v>633</v>
      </c>
      <c r="K64" s="539" t="s">
        <v>634</v>
      </c>
      <c r="L64" s="542">
        <v>0</v>
      </c>
      <c r="M64" s="542">
        <v>0</v>
      </c>
      <c r="N64" s="539">
        <v>1</v>
      </c>
      <c r="O64" s="543">
        <v>1</v>
      </c>
      <c r="P64" s="542"/>
      <c r="Q64" s="544"/>
      <c r="R64" s="539"/>
      <c r="S64" s="544">
        <v>0</v>
      </c>
      <c r="T64" s="543"/>
      <c r="U64" s="545">
        <v>0</v>
      </c>
    </row>
    <row r="65" spans="1:21" ht="14.4" customHeight="1" x14ac:dyDescent="0.3">
      <c r="A65" s="538">
        <v>29</v>
      </c>
      <c r="B65" s="539" t="s">
        <v>462</v>
      </c>
      <c r="C65" s="539">
        <v>89301292</v>
      </c>
      <c r="D65" s="540" t="s">
        <v>1025</v>
      </c>
      <c r="E65" s="541" t="s">
        <v>608</v>
      </c>
      <c r="F65" s="539" t="s">
        <v>602</v>
      </c>
      <c r="G65" s="539" t="s">
        <v>635</v>
      </c>
      <c r="H65" s="539" t="s">
        <v>463</v>
      </c>
      <c r="I65" s="539" t="s">
        <v>506</v>
      </c>
      <c r="J65" s="539" t="s">
        <v>503</v>
      </c>
      <c r="K65" s="539" t="s">
        <v>775</v>
      </c>
      <c r="L65" s="542">
        <v>105.7</v>
      </c>
      <c r="M65" s="542">
        <v>211.4</v>
      </c>
      <c r="N65" s="539">
        <v>2</v>
      </c>
      <c r="O65" s="543">
        <v>1.5</v>
      </c>
      <c r="P65" s="542">
        <v>105.7</v>
      </c>
      <c r="Q65" s="544">
        <v>0.5</v>
      </c>
      <c r="R65" s="539">
        <v>1</v>
      </c>
      <c r="S65" s="544">
        <v>0.5</v>
      </c>
      <c r="T65" s="543">
        <v>1</v>
      </c>
      <c r="U65" s="545">
        <v>0.66666666666666663</v>
      </c>
    </row>
    <row r="66" spans="1:21" ht="14.4" customHeight="1" x14ac:dyDescent="0.3">
      <c r="A66" s="538">
        <v>29</v>
      </c>
      <c r="B66" s="539" t="s">
        <v>462</v>
      </c>
      <c r="C66" s="539">
        <v>89301292</v>
      </c>
      <c r="D66" s="540" t="s">
        <v>1025</v>
      </c>
      <c r="E66" s="541" t="s">
        <v>608</v>
      </c>
      <c r="F66" s="539" t="s">
        <v>602</v>
      </c>
      <c r="G66" s="539" t="s">
        <v>642</v>
      </c>
      <c r="H66" s="539" t="s">
        <v>463</v>
      </c>
      <c r="I66" s="539" t="s">
        <v>552</v>
      </c>
      <c r="J66" s="539" t="s">
        <v>553</v>
      </c>
      <c r="K66" s="539" t="s">
        <v>643</v>
      </c>
      <c r="L66" s="542">
        <v>36.97</v>
      </c>
      <c r="M66" s="542">
        <v>36.97</v>
      </c>
      <c r="N66" s="539">
        <v>1</v>
      </c>
      <c r="O66" s="543">
        <v>1</v>
      </c>
      <c r="P66" s="542">
        <v>36.97</v>
      </c>
      <c r="Q66" s="544">
        <v>1</v>
      </c>
      <c r="R66" s="539">
        <v>1</v>
      </c>
      <c r="S66" s="544">
        <v>1</v>
      </c>
      <c r="T66" s="543">
        <v>1</v>
      </c>
      <c r="U66" s="545">
        <v>1</v>
      </c>
    </row>
    <row r="67" spans="1:21" ht="14.4" customHeight="1" x14ac:dyDescent="0.3">
      <c r="A67" s="538">
        <v>29</v>
      </c>
      <c r="B67" s="539" t="s">
        <v>462</v>
      </c>
      <c r="C67" s="539">
        <v>89301292</v>
      </c>
      <c r="D67" s="540" t="s">
        <v>1025</v>
      </c>
      <c r="E67" s="541" t="s">
        <v>608</v>
      </c>
      <c r="F67" s="539" t="s">
        <v>602</v>
      </c>
      <c r="G67" s="539" t="s">
        <v>645</v>
      </c>
      <c r="H67" s="539" t="s">
        <v>1026</v>
      </c>
      <c r="I67" s="539" t="s">
        <v>776</v>
      </c>
      <c r="J67" s="539" t="s">
        <v>777</v>
      </c>
      <c r="K67" s="539" t="s">
        <v>778</v>
      </c>
      <c r="L67" s="542">
        <v>1847.49</v>
      </c>
      <c r="M67" s="542">
        <v>1847.49</v>
      </c>
      <c r="N67" s="539">
        <v>1</v>
      </c>
      <c r="O67" s="543">
        <v>1</v>
      </c>
      <c r="P67" s="542">
        <v>1847.49</v>
      </c>
      <c r="Q67" s="544">
        <v>1</v>
      </c>
      <c r="R67" s="539">
        <v>1</v>
      </c>
      <c r="S67" s="544">
        <v>1</v>
      </c>
      <c r="T67" s="543">
        <v>1</v>
      </c>
      <c r="U67" s="545">
        <v>1</v>
      </c>
    </row>
    <row r="68" spans="1:21" ht="14.4" customHeight="1" x14ac:dyDescent="0.3">
      <c r="A68" s="538">
        <v>29</v>
      </c>
      <c r="B68" s="539" t="s">
        <v>462</v>
      </c>
      <c r="C68" s="539">
        <v>89301292</v>
      </c>
      <c r="D68" s="540" t="s">
        <v>1025</v>
      </c>
      <c r="E68" s="541" t="s">
        <v>608</v>
      </c>
      <c r="F68" s="539" t="s">
        <v>602</v>
      </c>
      <c r="G68" s="539" t="s">
        <v>669</v>
      </c>
      <c r="H68" s="539" t="s">
        <v>463</v>
      </c>
      <c r="I68" s="539" t="s">
        <v>670</v>
      </c>
      <c r="J68" s="539" t="s">
        <v>671</v>
      </c>
      <c r="K68" s="539" t="s">
        <v>672</v>
      </c>
      <c r="L68" s="542">
        <v>0</v>
      </c>
      <c r="M68" s="542">
        <v>0</v>
      </c>
      <c r="N68" s="539">
        <v>1</v>
      </c>
      <c r="O68" s="543">
        <v>0.5</v>
      </c>
      <c r="P68" s="542"/>
      <c r="Q68" s="544"/>
      <c r="R68" s="539"/>
      <c r="S68" s="544">
        <v>0</v>
      </c>
      <c r="T68" s="543"/>
      <c r="U68" s="545">
        <v>0</v>
      </c>
    </row>
    <row r="69" spans="1:21" ht="14.4" customHeight="1" x14ac:dyDescent="0.3">
      <c r="A69" s="538">
        <v>29</v>
      </c>
      <c r="B69" s="539" t="s">
        <v>462</v>
      </c>
      <c r="C69" s="539">
        <v>89301292</v>
      </c>
      <c r="D69" s="540" t="s">
        <v>1025</v>
      </c>
      <c r="E69" s="541" t="s">
        <v>608</v>
      </c>
      <c r="F69" s="539" t="s">
        <v>602</v>
      </c>
      <c r="G69" s="539" t="s">
        <v>673</v>
      </c>
      <c r="H69" s="539" t="s">
        <v>463</v>
      </c>
      <c r="I69" s="539" t="s">
        <v>560</v>
      </c>
      <c r="J69" s="539" t="s">
        <v>561</v>
      </c>
      <c r="K69" s="539" t="s">
        <v>675</v>
      </c>
      <c r="L69" s="542">
        <v>289.27</v>
      </c>
      <c r="M69" s="542">
        <v>1157.08</v>
      </c>
      <c r="N69" s="539">
        <v>4</v>
      </c>
      <c r="O69" s="543">
        <v>3</v>
      </c>
      <c r="P69" s="542">
        <v>1157.08</v>
      </c>
      <c r="Q69" s="544">
        <v>1</v>
      </c>
      <c r="R69" s="539">
        <v>4</v>
      </c>
      <c r="S69" s="544">
        <v>1</v>
      </c>
      <c r="T69" s="543">
        <v>3</v>
      </c>
      <c r="U69" s="545">
        <v>1</v>
      </c>
    </row>
    <row r="70" spans="1:21" ht="14.4" customHeight="1" x14ac:dyDescent="0.3">
      <c r="A70" s="538">
        <v>29</v>
      </c>
      <c r="B70" s="539" t="s">
        <v>462</v>
      </c>
      <c r="C70" s="539">
        <v>89301292</v>
      </c>
      <c r="D70" s="540" t="s">
        <v>1025</v>
      </c>
      <c r="E70" s="541" t="s">
        <v>608</v>
      </c>
      <c r="F70" s="539" t="s">
        <v>604</v>
      </c>
      <c r="G70" s="539" t="s">
        <v>686</v>
      </c>
      <c r="H70" s="539" t="s">
        <v>463</v>
      </c>
      <c r="I70" s="539" t="s">
        <v>690</v>
      </c>
      <c r="J70" s="539" t="s">
        <v>688</v>
      </c>
      <c r="K70" s="539" t="s">
        <v>691</v>
      </c>
      <c r="L70" s="542">
        <v>175.15</v>
      </c>
      <c r="M70" s="542">
        <v>350.3</v>
      </c>
      <c r="N70" s="539">
        <v>2</v>
      </c>
      <c r="O70" s="543">
        <v>2</v>
      </c>
      <c r="P70" s="542">
        <v>175.15</v>
      </c>
      <c r="Q70" s="544">
        <v>0.5</v>
      </c>
      <c r="R70" s="539">
        <v>1</v>
      </c>
      <c r="S70" s="544">
        <v>0.5</v>
      </c>
      <c r="T70" s="543">
        <v>1</v>
      </c>
      <c r="U70" s="545">
        <v>0.5</v>
      </c>
    </row>
    <row r="71" spans="1:21" ht="14.4" customHeight="1" x14ac:dyDescent="0.3">
      <c r="A71" s="538">
        <v>29</v>
      </c>
      <c r="B71" s="539" t="s">
        <v>462</v>
      </c>
      <c r="C71" s="539">
        <v>89301292</v>
      </c>
      <c r="D71" s="540" t="s">
        <v>1025</v>
      </c>
      <c r="E71" s="541" t="s">
        <v>608</v>
      </c>
      <c r="F71" s="539" t="s">
        <v>604</v>
      </c>
      <c r="G71" s="539" t="s">
        <v>686</v>
      </c>
      <c r="H71" s="539" t="s">
        <v>463</v>
      </c>
      <c r="I71" s="539" t="s">
        <v>692</v>
      </c>
      <c r="J71" s="539" t="s">
        <v>688</v>
      </c>
      <c r="K71" s="539" t="s">
        <v>693</v>
      </c>
      <c r="L71" s="542">
        <v>200</v>
      </c>
      <c r="M71" s="542">
        <v>2200</v>
      </c>
      <c r="N71" s="539">
        <v>11</v>
      </c>
      <c r="O71" s="543">
        <v>6</v>
      </c>
      <c r="P71" s="542">
        <v>1000</v>
      </c>
      <c r="Q71" s="544">
        <v>0.45454545454545453</v>
      </c>
      <c r="R71" s="539">
        <v>5</v>
      </c>
      <c r="S71" s="544">
        <v>0.45454545454545453</v>
      </c>
      <c r="T71" s="543">
        <v>3</v>
      </c>
      <c r="U71" s="545">
        <v>0.5</v>
      </c>
    </row>
    <row r="72" spans="1:21" ht="14.4" customHeight="1" x14ac:dyDescent="0.3">
      <c r="A72" s="538">
        <v>29</v>
      </c>
      <c r="B72" s="539" t="s">
        <v>462</v>
      </c>
      <c r="C72" s="539">
        <v>89301292</v>
      </c>
      <c r="D72" s="540" t="s">
        <v>1025</v>
      </c>
      <c r="E72" s="541" t="s">
        <v>608</v>
      </c>
      <c r="F72" s="539" t="s">
        <v>604</v>
      </c>
      <c r="G72" s="539" t="s">
        <v>686</v>
      </c>
      <c r="H72" s="539" t="s">
        <v>463</v>
      </c>
      <c r="I72" s="539" t="s">
        <v>779</v>
      </c>
      <c r="J72" s="539" t="s">
        <v>698</v>
      </c>
      <c r="K72" s="539" t="s">
        <v>780</v>
      </c>
      <c r="L72" s="542">
        <v>128</v>
      </c>
      <c r="M72" s="542">
        <v>128</v>
      </c>
      <c r="N72" s="539">
        <v>1</v>
      </c>
      <c r="O72" s="543">
        <v>1</v>
      </c>
      <c r="P72" s="542">
        <v>128</v>
      </c>
      <c r="Q72" s="544">
        <v>1</v>
      </c>
      <c r="R72" s="539">
        <v>1</v>
      </c>
      <c r="S72" s="544">
        <v>1</v>
      </c>
      <c r="T72" s="543">
        <v>1</v>
      </c>
      <c r="U72" s="545">
        <v>1</v>
      </c>
    </row>
    <row r="73" spans="1:21" ht="14.4" customHeight="1" x14ac:dyDescent="0.3">
      <c r="A73" s="538">
        <v>29</v>
      </c>
      <c r="B73" s="539" t="s">
        <v>462</v>
      </c>
      <c r="C73" s="539">
        <v>89301292</v>
      </c>
      <c r="D73" s="540" t="s">
        <v>1025</v>
      </c>
      <c r="E73" s="541" t="s">
        <v>608</v>
      </c>
      <c r="F73" s="539" t="s">
        <v>604</v>
      </c>
      <c r="G73" s="539" t="s">
        <v>686</v>
      </c>
      <c r="H73" s="539" t="s">
        <v>463</v>
      </c>
      <c r="I73" s="539" t="s">
        <v>697</v>
      </c>
      <c r="J73" s="539" t="s">
        <v>698</v>
      </c>
      <c r="K73" s="539" t="s">
        <v>699</v>
      </c>
      <c r="L73" s="542">
        <v>156</v>
      </c>
      <c r="M73" s="542">
        <v>156</v>
      </c>
      <c r="N73" s="539">
        <v>1</v>
      </c>
      <c r="O73" s="543">
        <v>1</v>
      </c>
      <c r="P73" s="542">
        <v>156</v>
      </c>
      <c r="Q73" s="544">
        <v>1</v>
      </c>
      <c r="R73" s="539">
        <v>1</v>
      </c>
      <c r="S73" s="544">
        <v>1</v>
      </c>
      <c r="T73" s="543">
        <v>1</v>
      </c>
      <c r="U73" s="545">
        <v>1</v>
      </c>
    </row>
    <row r="74" spans="1:21" ht="14.4" customHeight="1" x14ac:dyDescent="0.3">
      <c r="A74" s="538">
        <v>29</v>
      </c>
      <c r="B74" s="539" t="s">
        <v>462</v>
      </c>
      <c r="C74" s="539">
        <v>89301292</v>
      </c>
      <c r="D74" s="540" t="s">
        <v>1025</v>
      </c>
      <c r="E74" s="541" t="s">
        <v>608</v>
      </c>
      <c r="F74" s="539" t="s">
        <v>604</v>
      </c>
      <c r="G74" s="539" t="s">
        <v>686</v>
      </c>
      <c r="H74" s="539" t="s">
        <v>463</v>
      </c>
      <c r="I74" s="539" t="s">
        <v>781</v>
      </c>
      <c r="J74" s="539" t="s">
        <v>698</v>
      </c>
      <c r="K74" s="539" t="s">
        <v>782</v>
      </c>
      <c r="L74" s="542">
        <v>178</v>
      </c>
      <c r="M74" s="542">
        <v>356</v>
      </c>
      <c r="N74" s="539">
        <v>2</v>
      </c>
      <c r="O74" s="543">
        <v>1</v>
      </c>
      <c r="P74" s="542">
        <v>356</v>
      </c>
      <c r="Q74" s="544">
        <v>1</v>
      </c>
      <c r="R74" s="539">
        <v>2</v>
      </c>
      <c r="S74" s="544">
        <v>1</v>
      </c>
      <c r="T74" s="543">
        <v>1</v>
      </c>
      <c r="U74" s="545">
        <v>1</v>
      </c>
    </row>
    <row r="75" spans="1:21" ht="14.4" customHeight="1" x14ac:dyDescent="0.3">
      <c r="A75" s="538">
        <v>29</v>
      </c>
      <c r="B75" s="539" t="s">
        <v>462</v>
      </c>
      <c r="C75" s="539">
        <v>89301292</v>
      </c>
      <c r="D75" s="540" t="s">
        <v>1025</v>
      </c>
      <c r="E75" s="541" t="s">
        <v>608</v>
      </c>
      <c r="F75" s="539" t="s">
        <v>604</v>
      </c>
      <c r="G75" s="539" t="s">
        <v>727</v>
      </c>
      <c r="H75" s="539" t="s">
        <v>463</v>
      </c>
      <c r="I75" s="539" t="s">
        <v>728</v>
      </c>
      <c r="J75" s="539" t="s">
        <v>729</v>
      </c>
      <c r="K75" s="539" t="s">
        <v>730</v>
      </c>
      <c r="L75" s="542">
        <v>410</v>
      </c>
      <c r="M75" s="542">
        <v>1230</v>
      </c>
      <c r="N75" s="539">
        <v>3</v>
      </c>
      <c r="O75" s="543">
        <v>3</v>
      </c>
      <c r="P75" s="542">
        <v>1230</v>
      </c>
      <c r="Q75" s="544">
        <v>1</v>
      </c>
      <c r="R75" s="539">
        <v>3</v>
      </c>
      <c r="S75" s="544">
        <v>1</v>
      </c>
      <c r="T75" s="543">
        <v>3</v>
      </c>
      <c r="U75" s="545">
        <v>1</v>
      </c>
    </row>
    <row r="76" spans="1:21" ht="14.4" customHeight="1" x14ac:dyDescent="0.3">
      <c r="A76" s="538">
        <v>29</v>
      </c>
      <c r="B76" s="539" t="s">
        <v>462</v>
      </c>
      <c r="C76" s="539">
        <v>89301292</v>
      </c>
      <c r="D76" s="540" t="s">
        <v>1025</v>
      </c>
      <c r="E76" s="541" t="s">
        <v>608</v>
      </c>
      <c r="F76" s="539" t="s">
        <v>604</v>
      </c>
      <c r="G76" s="539" t="s">
        <v>727</v>
      </c>
      <c r="H76" s="539" t="s">
        <v>463</v>
      </c>
      <c r="I76" s="539" t="s">
        <v>731</v>
      </c>
      <c r="J76" s="539" t="s">
        <v>732</v>
      </c>
      <c r="K76" s="539" t="s">
        <v>733</v>
      </c>
      <c r="L76" s="542">
        <v>566</v>
      </c>
      <c r="M76" s="542">
        <v>566</v>
      </c>
      <c r="N76" s="539">
        <v>1</v>
      </c>
      <c r="O76" s="543">
        <v>1</v>
      </c>
      <c r="P76" s="542">
        <v>566</v>
      </c>
      <c r="Q76" s="544">
        <v>1</v>
      </c>
      <c r="R76" s="539">
        <v>1</v>
      </c>
      <c r="S76" s="544">
        <v>1</v>
      </c>
      <c r="T76" s="543">
        <v>1</v>
      </c>
      <c r="U76" s="545">
        <v>1</v>
      </c>
    </row>
    <row r="77" spans="1:21" ht="14.4" customHeight="1" x14ac:dyDescent="0.3">
      <c r="A77" s="538">
        <v>29</v>
      </c>
      <c r="B77" s="539" t="s">
        <v>462</v>
      </c>
      <c r="C77" s="539">
        <v>89301292</v>
      </c>
      <c r="D77" s="540" t="s">
        <v>1025</v>
      </c>
      <c r="E77" s="541" t="s">
        <v>608</v>
      </c>
      <c r="F77" s="539" t="s">
        <v>604</v>
      </c>
      <c r="G77" s="539" t="s">
        <v>737</v>
      </c>
      <c r="H77" s="539" t="s">
        <v>463</v>
      </c>
      <c r="I77" s="539" t="s">
        <v>738</v>
      </c>
      <c r="J77" s="539" t="s">
        <v>739</v>
      </c>
      <c r="K77" s="539" t="s">
        <v>740</v>
      </c>
      <c r="L77" s="542">
        <v>378.48</v>
      </c>
      <c r="M77" s="542">
        <v>378.48</v>
      </c>
      <c r="N77" s="539">
        <v>1</v>
      </c>
      <c r="O77" s="543">
        <v>1</v>
      </c>
      <c r="P77" s="542">
        <v>378.48</v>
      </c>
      <c r="Q77" s="544">
        <v>1</v>
      </c>
      <c r="R77" s="539">
        <v>1</v>
      </c>
      <c r="S77" s="544">
        <v>1</v>
      </c>
      <c r="T77" s="543">
        <v>1</v>
      </c>
      <c r="U77" s="545">
        <v>1</v>
      </c>
    </row>
    <row r="78" spans="1:21" ht="14.4" customHeight="1" x14ac:dyDescent="0.3">
      <c r="A78" s="538">
        <v>29</v>
      </c>
      <c r="B78" s="539" t="s">
        <v>462</v>
      </c>
      <c r="C78" s="539">
        <v>89301292</v>
      </c>
      <c r="D78" s="540" t="s">
        <v>1025</v>
      </c>
      <c r="E78" s="541" t="s">
        <v>608</v>
      </c>
      <c r="F78" s="539" t="s">
        <v>604</v>
      </c>
      <c r="G78" s="539" t="s">
        <v>737</v>
      </c>
      <c r="H78" s="539" t="s">
        <v>463</v>
      </c>
      <c r="I78" s="539" t="s">
        <v>783</v>
      </c>
      <c r="J78" s="539" t="s">
        <v>784</v>
      </c>
      <c r="K78" s="539" t="s">
        <v>785</v>
      </c>
      <c r="L78" s="542">
        <v>409.87</v>
      </c>
      <c r="M78" s="542">
        <v>409.87</v>
      </c>
      <c r="N78" s="539">
        <v>1</v>
      </c>
      <c r="O78" s="543">
        <v>1</v>
      </c>
      <c r="P78" s="542">
        <v>409.87</v>
      </c>
      <c r="Q78" s="544">
        <v>1</v>
      </c>
      <c r="R78" s="539">
        <v>1</v>
      </c>
      <c r="S78" s="544">
        <v>1</v>
      </c>
      <c r="T78" s="543">
        <v>1</v>
      </c>
      <c r="U78" s="545">
        <v>1</v>
      </c>
    </row>
    <row r="79" spans="1:21" ht="14.4" customHeight="1" x14ac:dyDescent="0.3">
      <c r="A79" s="538">
        <v>29</v>
      </c>
      <c r="B79" s="539" t="s">
        <v>462</v>
      </c>
      <c r="C79" s="539">
        <v>89301292</v>
      </c>
      <c r="D79" s="540" t="s">
        <v>1025</v>
      </c>
      <c r="E79" s="541" t="s">
        <v>608</v>
      </c>
      <c r="F79" s="539" t="s">
        <v>604</v>
      </c>
      <c r="G79" s="539" t="s">
        <v>737</v>
      </c>
      <c r="H79" s="539" t="s">
        <v>463</v>
      </c>
      <c r="I79" s="539" t="s">
        <v>786</v>
      </c>
      <c r="J79" s="539" t="s">
        <v>787</v>
      </c>
      <c r="K79" s="539" t="s">
        <v>788</v>
      </c>
      <c r="L79" s="542">
        <v>195.56</v>
      </c>
      <c r="M79" s="542">
        <v>195.56</v>
      </c>
      <c r="N79" s="539">
        <v>1</v>
      </c>
      <c r="O79" s="543">
        <v>1</v>
      </c>
      <c r="P79" s="542"/>
      <c r="Q79" s="544">
        <v>0</v>
      </c>
      <c r="R79" s="539"/>
      <c r="S79" s="544">
        <v>0</v>
      </c>
      <c r="T79" s="543"/>
      <c r="U79" s="545">
        <v>0</v>
      </c>
    </row>
    <row r="80" spans="1:21" ht="14.4" customHeight="1" x14ac:dyDescent="0.3">
      <c r="A80" s="538">
        <v>29</v>
      </c>
      <c r="B80" s="539" t="s">
        <v>462</v>
      </c>
      <c r="C80" s="539">
        <v>89301292</v>
      </c>
      <c r="D80" s="540" t="s">
        <v>1025</v>
      </c>
      <c r="E80" s="541" t="s">
        <v>608</v>
      </c>
      <c r="F80" s="539" t="s">
        <v>604</v>
      </c>
      <c r="G80" s="539" t="s">
        <v>737</v>
      </c>
      <c r="H80" s="539" t="s">
        <v>463</v>
      </c>
      <c r="I80" s="539" t="s">
        <v>789</v>
      </c>
      <c r="J80" s="539" t="s">
        <v>790</v>
      </c>
      <c r="K80" s="539" t="s">
        <v>791</v>
      </c>
      <c r="L80" s="542">
        <v>999.78</v>
      </c>
      <c r="M80" s="542">
        <v>999.78</v>
      </c>
      <c r="N80" s="539">
        <v>1</v>
      </c>
      <c r="O80" s="543">
        <v>1</v>
      </c>
      <c r="P80" s="542"/>
      <c r="Q80" s="544">
        <v>0</v>
      </c>
      <c r="R80" s="539"/>
      <c r="S80" s="544">
        <v>0</v>
      </c>
      <c r="T80" s="543"/>
      <c r="U80" s="545">
        <v>0</v>
      </c>
    </row>
    <row r="81" spans="1:21" ht="14.4" customHeight="1" x14ac:dyDescent="0.3">
      <c r="A81" s="538">
        <v>29</v>
      </c>
      <c r="B81" s="539" t="s">
        <v>462</v>
      </c>
      <c r="C81" s="539">
        <v>89301292</v>
      </c>
      <c r="D81" s="540" t="s">
        <v>1025</v>
      </c>
      <c r="E81" s="541" t="s">
        <v>608</v>
      </c>
      <c r="F81" s="539" t="s">
        <v>604</v>
      </c>
      <c r="G81" s="539" t="s">
        <v>737</v>
      </c>
      <c r="H81" s="539" t="s">
        <v>463</v>
      </c>
      <c r="I81" s="539" t="s">
        <v>792</v>
      </c>
      <c r="J81" s="539" t="s">
        <v>793</v>
      </c>
      <c r="K81" s="539" t="s">
        <v>794</v>
      </c>
      <c r="L81" s="542">
        <v>250</v>
      </c>
      <c r="M81" s="542">
        <v>250</v>
      </c>
      <c r="N81" s="539">
        <v>1</v>
      </c>
      <c r="O81" s="543">
        <v>1</v>
      </c>
      <c r="P81" s="542"/>
      <c r="Q81" s="544">
        <v>0</v>
      </c>
      <c r="R81" s="539"/>
      <c r="S81" s="544">
        <v>0</v>
      </c>
      <c r="T81" s="543"/>
      <c r="U81" s="545">
        <v>0</v>
      </c>
    </row>
    <row r="82" spans="1:21" ht="14.4" customHeight="1" x14ac:dyDescent="0.3">
      <c r="A82" s="538">
        <v>29</v>
      </c>
      <c r="B82" s="539" t="s">
        <v>462</v>
      </c>
      <c r="C82" s="539">
        <v>89301292</v>
      </c>
      <c r="D82" s="540" t="s">
        <v>1025</v>
      </c>
      <c r="E82" s="541" t="s">
        <v>608</v>
      </c>
      <c r="F82" s="539" t="s">
        <v>604</v>
      </c>
      <c r="G82" s="539" t="s">
        <v>737</v>
      </c>
      <c r="H82" s="539" t="s">
        <v>463</v>
      </c>
      <c r="I82" s="539" t="s">
        <v>795</v>
      </c>
      <c r="J82" s="539" t="s">
        <v>796</v>
      </c>
      <c r="K82" s="539" t="s">
        <v>797</v>
      </c>
      <c r="L82" s="542">
        <v>1139.25</v>
      </c>
      <c r="M82" s="542">
        <v>1139.25</v>
      </c>
      <c r="N82" s="539">
        <v>1</v>
      </c>
      <c r="O82" s="543">
        <v>1</v>
      </c>
      <c r="P82" s="542"/>
      <c r="Q82" s="544">
        <v>0</v>
      </c>
      <c r="R82" s="539"/>
      <c r="S82" s="544">
        <v>0</v>
      </c>
      <c r="T82" s="543"/>
      <c r="U82" s="545">
        <v>0</v>
      </c>
    </row>
    <row r="83" spans="1:21" ht="14.4" customHeight="1" x14ac:dyDescent="0.3">
      <c r="A83" s="538">
        <v>29</v>
      </c>
      <c r="B83" s="539" t="s">
        <v>462</v>
      </c>
      <c r="C83" s="539">
        <v>89301292</v>
      </c>
      <c r="D83" s="540" t="s">
        <v>1025</v>
      </c>
      <c r="E83" s="541" t="s">
        <v>608</v>
      </c>
      <c r="F83" s="539" t="s">
        <v>604</v>
      </c>
      <c r="G83" s="539" t="s">
        <v>737</v>
      </c>
      <c r="H83" s="539" t="s">
        <v>463</v>
      </c>
      <c r="I83" s="539" t="s">
        <v>798</v>
      </c>
      <c r="J83" s="539" t="s">
        <v>799</v>
      </c>
      <c r="K83" s="539" t="s">
        <v>800</v>
      </c>
      <c r="L83" s="542">
        <v>318.76</v>
      </c>
      <c r="M83" s="542">
        <v>318.76</v>
      </c>
      <c r="N83" s="539">
        <v>1</v>
      </c>
      <c r="O83" s="543">
        <v>1</v>
      </c>
      <c r="P83" s="542"/>
      <c r="Q83" s="544">
        <v>0</v>
      </c>
      <c r="R83" s="539"/>
      <c r="S83" s="544">
        <v>0</v>
      </c>
      <c r="T83" s="543"/>
      <c r="U83" s="545">
        <v>0</v>
      </c>
    </row>
    <row r="84" spans="1:21" ht="14.4" customHeight="1" x14ac:dyDescent="0.3">
      <c r="A84" s="538">
        <v>29</v>
      </c>
      <c r="B84" s="539" t="s">
        <v>462</v>
      </c>
      <c r="C84" s="539">
        <v>89301292</v>
      </c>
      <c r="D84" s="540" t="s">
        <v>1025</v>
      </c>
      <c r="E84" s="541" t="s">
        <v>608</v>
      </c>
      <c r="F84" s="539" t="s">
        <v>604</v>
      </c>
      <c r="G84" s="539" t="s">
        <v>759</v>
      </c>
      <c r="H84" s="539" t="s">
        <v>463</v>
      </c>
      <c r="I84" s="539" t="s">
        <v>760</v>
      </c>
      <c r="J84" s="539" t="s">
        <v>761</v>
      </c>
      <c r="K84" s="539" t="s">
        <v>762</v>
      </c>
      <c r="L84" s="542">
        <v>200</v>
      </c>
      <c r="M84" s="542">
        <v>400</v>
      </c>
      <c r="N84" s="539">
        <v>2</v>
      </c>
      <c r="O84" s="543">
        <v>1</v>
      </c>
      <c r="P84" s="542">
        <v>400</v>
      </c>
      <c r="Q84" s="544">
        <v>1</v>
      </c>
      <c r="R84" s="539">
        <v>2</v>
      </c>
      <c r="S84" s="544">
        <v>1</v>
      </c>
      <c r="T84" s="543">
        <v>1</v>
      </c>
      <c r="U84" s="545">
        <v>1</v>
      </c>
    </row>
    <row r="85" spans="1:21" ht="14.4" customHeight="1" x14ac:dyDescent="0.3">
      <c r="A85" s="538">
        <v>29</v>
      </c>
      <c r="B85" s="539" t="s">
        <v>462</v>
      </c>
      <c r="C85" s="539">
        <v>89301292</v>
      </c>
      <c r="D85" s="540" t="s">
        <v>1025</v>
      </c>
      <c r="E85" s="541" t="s">
        <v>608</v>
      </c>
      <c r="F85" s="539" t="s">
        <v>604</v>
      </c>
      <c r="G85" s="539" t="s">
        <v>801</v>
      </c>
      <c r="H85" s="539" t="s">
        <v>463</v>
      </c>
      <c r="I85" s="539" t="s">
        <v>802</v>
      </c>
      <c r="J85" s="539" t="s">
        <v>803</v>
      </c>
      <c r="K85" s="539"/>
      <c r="L85" s="542">
        <v>0</v>
      </c>
      <c r="M85" s="542">
        <v>0</v>
      </c>
      <c r="N85" s="539">
        <v>1</v>
      </c>
      <c r="O85" s="543">
        <v>1</v>
      </c>
      <c r="P85" s="542"/>
      <c r="Q85" s="544"/>
      <c r="R85" s="539"/>
      <c r="S85" s="544">
        <v>0</v>
      </c>
      <c r="T85" s="543"/>
      <c r="U85" s="545">
        <v>0</v>
      </c>
    </row>
    <row r="86" spans="1:21" ht="14.4" customHeight="1" x14ac:dyDescent="0.3">
      <c r="A86" s="538">
        <v>29</v>
      </c>
      <c r="B86" s="539" t="s">
        <v>462</v>
      </c>
      <c r="C86" s="539">
        <v>89301292</v>
      </c>
      <c r="D86" s="540" t="s">
        <v>1025</v>
      </c>
      <c r="E86" s="541" t="s">
        <v>609</v>
      </c>
      <c r="F86" s="539" t="s">
        <v>602</v>
      </c>
      <c r="G86" s="539" t="s">
        <v>614</v>
      </c>
      <c r="H86" s="539" t="s">
        <v>1026</v>
      </c>
      <c r="I86" s="539" t="s">
        <v>615</v>
      </c>
      <c r="J86" s="539" t="s">
        <v>616</v>
      </c>
      <c r="K86" s="539" t="s">
        <v>617</v>
      </c>
      <c r="L86" s="542">
        <v>150.04</v>
      </c>
      <c r="M86" s="542">
        <v>150.04</v>
      </c>
      <c r="N86" s="539">
        <v>1</v>
      </c>
      <c r="O86" s="543">
        <v>0.5</v>
      </c>
      <c r="P86" s="542">
        <v>150.04</v>
      </c>
      <c r="Q86" s="544">
        <v>1</v>
      </c>
      <c r="R86" s="539">
        <v>1</v>
      </c>
      <c r="S86" s="544">
        <v>1</v>
      </c>
      <c r="T86" s="543">
        <v>0.5</v>
      </c>
      <c r="U86" s="545">
        <v>1</v>
      </c>
    </row>
    <row r="87" spans="1:21" ht="14.4" customHeight="1" x14ac:dyDescent="0.3">
      <c r="A87" s="538">
        <v>29</v>
      </c>
      <c r="B87" s="539" t="s">
        <v>462</v>
      </c>
      <c r="C87" s="539">
        <v>89301292</v>
      </c>
      <c r="D87" s="540" t="s">
        <v>1025</v>
      </c>
      <c r="E87" s="541" t="s">
        <v>609</v>
      </c>
      <c r="F87" s="539" t="s">
        <v>602</v>
      </c>
      <c r="G87" s="539" t="s">
        <v>614</v>
      </c>
      <c r="H87" s="539" t="s">
        <v>1026</v>
      </c>
      <c r="I87" s="539" t="s">
        <v>615</v>
      </c>
      <c r="J87" s="539" t="s">
        <v>616</v>
      </c>
      <c r="K87" s="539" t="s">
        <v>617</v>
      </c>
      <c r="L87" s="542">
        <v>154.36000000000001</v>
      </c>
      <c r="M87" s="542">
        <v>617.44000000000005</v>
      </c>
      <c r="N87" s="539">
        <v>4</v>
      </c>
      <c r="O87" s="543">
        <v>3.5</v>
      </c>
      <c r="P87" s="542">
        <v>308.72000000000003</v>
      </c>
      <c r="Q87" s="544">
        <v>0.5</v>
      </c>
      <c r="R87" s="539">
        <v>2</v>
      </c>
      <c r="S87" s="544">
        <v>0.5</v>
      </c>
      <c r="T87" s="543">
        <v>1.5</v>
      </c>
      <c r="U87" s="545">
        <v>0.42857142857142855</v>
      </c>
    </row>
    <row r="88" spans="1:21" ht="14.4" customHeight="1" x14ac:dyDescent="0.3">
      <c r="A88" s="538">
        <v>29</v>
      </c>
      <c r="B88" s="539" t="s">
        <v>462</v>
      </c>
      <c r="C88" s="539">
        <v>89301292</v>
      </c>
      <c r="D88" s="540" t="s">
        <v>1025</v>
      </c>
      <c r="E88" s="541" t="s">
        <v>609</v>
      </c>
      <c r="F88" s="539" t="s">
        <v>602</v>
      </c>
      <c r="G88" s="539" t="s">
        <v>614</v>
      </c>
      <c r="H88" s="539" t="s">
        <v>1026</v>
      </c>
      <c r="I88" s="539" t="s">
        <v>804</v>
      </c>
      <c r="J88" s="539" t="s">
        <v>805</v>
      </c>
      <c r="K88" s="539" t="s">
        <v>806</v>
      </c>
      <c r="L88" s="542">
        <v>66.08</v>
      </c>
      <c r="M88" s="542">
        <v>66.08</v>
      </c>
      <c r="N88" s="539">
        <v>1</v>
      </c>
      <c r="O88" s="543">
        <v>0.5</v>
      </c>
      <c r="P88" s="542">
        <v>66.08</v>
      </c>
      <c r="Q88" s="544">
        <v>1</v>
      </c>
      <c r="R88" s="539">
        <v>1</v>
      </c>
      <c r="S88" s="544">
        <v>1</v>
      </c>
      <c r="T88" s="543">
        <v>0.5</v>
      </c>
      <c r="U88" s="545">
        <v>1</v>
      </c>
    </row>
    <row r="89" spans="1:21" ht="14.4" customHeight="1" x14ac:dyDescent="0.3">
      <c r="A89" s="538">
        <v>29</v>
      </c>
      <c r="B89" s="539" t="s">
        <v>462</v>
      </c>
      <c r="C89" s="539">
        <v>89301292</v>
      </c>
      <c r="D89" s="540" t="s">
        <v>1025</v>
      </c>
      <c r="E89" s="541" t="s">
        <v>609</v>
      </c>
      <c r="F89" s="539" t="s">
        <v>602</v>
      </c>
      <c r="G89" s="539" t="s">
        <v>807</v>
      </c>
      <c r="H89" s="539" t="s">
        <v>463</v>
      </c>
      <c r="I89" s="539" t="s">
        <v>808</v>
      </c>
      <c r="J89" s="539" t="s">
        <v>809</v>
      </c>
      <c r="K89" s="539" t="s">
        <v>643</v>
      </c>
      <c r="L89" s="542">
        <v>43.76</v>
      </c>
      <c r="M89" s="542">
        <v>131.28</v>
      </c>
      <c r="N89" s="539">
        <v>3</v>
      </c>
      <c r="O89" s="543">
        <v>2</v>
      </c>
      <c r="P89" s="542">
        <v>131.28</v>
      </c>
      <c r="Q89" s="544">
        <v>1</v>
      </c>
      <c r="R89" s="539">
        <v>3</v>
      </c>
      <c r="S89" s="544">
        <v>1</v>
      </c>
      <c r="T89" s="543">
        <v>2</v>
      </c>
      <c r="U89" s="545">
        <v>1</v>
      </c>
    </row>
    <row r="90" spans="1:21" ht="14.4" customHeight="1" x14ac:dyDescent="0.3">
      <c r="A90" s="538">
        <v>29</v>
      </c>
      <c r="B90" s="539" t="s">
        <v>462</v>
      </c>
      <c r="C90" s="539">
        <v>89301292</v>
      </c>
      <c r="D90" s="540" t="s">
        <v>1025</v>
      </c>
      <c r="E90" s="541" t="s">
        <v>609</v>
      </c>
      <c r="F90" s="539" t="s">
        <v>602</v>
      </c>
      <c r="G90" s="539" t="s">
        <v>618</v>
      </c>
      <c r="H90" s="539" t="s">
        <v>463</v>
      </c>
      <c r="I90" s="539" t="s">
        <v>619</v>
      </c>
      <c r="J90" s="539" t="s">
        <v>620</v>
      </c>
      <c r="K90" s="539" t="s">
        <v>621</v>
      </c>
      <c r="L90" s="542">
        <v>0</v>
      </c>
      <c r="M90" s="542">
        <v>0</v>
      </c>
      <c r="N90" s="539">
        <v>9</v>
      </c>
      <c r="O90" s="543">
        <v>9</v>
      </c>
      <c r="P90" s="542">
        <v>0</v>
      </c>
      <c r="Q90" s="544"/>
      <c r="R90" s="539">
        <v>9</v>
      </c>
      <c r="S90" s="544">
        <v>1</v>
      </c>
      <c r="T90" s="543">
        <v>9</v>
      </c>
      <c r="U90" s="545">
        <v>1</v>
      </c>
    </row>
    <row r="91" spans="1:21" ht="14.4" customHeight="1" x14ac:dyDescent="0.3">
      <c r="A91" s="538">
        <v>29</v>
      </c>
      <c r="B91" s="539" t="s">
        <v>462</v>
      </c>
      <c r="C91" s="539">
        <v>89301292</v>
      </c>
      <c r="D91" s="540" t="s">
        <v>1025</v>
      </c>
      <c r="E91" s="541" t="s">
        <v>609</v>
      </c>
      <c r="F91" s="539" t="s">
        <v>602</v>
      </c>
      <c r="G91" s="539" t="s">
        <v>618</v>
      </c>
      <c r="H91" s="539" t="s">
        <v>463</v>
      </c>
      <c r="I91" s="539" t="s">
        <v>810</v>
      </c>
      <c r="J91" s="539" t="s">
        <v>620</v>
      </c>
      <c r="K91" s="539" t="s">
        <v>621</v>
      </c>
      <c r="L91" s="542">
        <v>0</v>
      </c>
      <c r="M91" s="542">
        <v>0</v>
      </c>
      <c r="N91" s="539">
        <v>8</v>
      </c>
      <c r="O91" s="543">
        <v>8</v>
      </c>
      <c r="P91" s="542">
        <v>0</v>
      </c>
      <c r="Q91" s="544"/>
      <c r="R91" s="539">
        <v>8</v>
      </c>
      <c r="S91" s="544">
        <v>1</v>
      </c>
      <c r="T91" s="543">
        <v>8</v>
      </c>
      <c r="U91" s="545">
        <v>1</v>
      </c>
    </row>
    <row r="92" spans="1:21" ht="14.4" customHeight="1" x14ac:dyDescent="0.3">
      <c r="A92" s="538">
        <v>29</v>
      </c>
      <c r="B92" s="539" t="s">
        <v>462</v>
      </c>
      <c r="C92" s="539">
        <v>89301292</v>
      </c>
      <c r="D92" s="540" t="s">
        <v>1025</v>
      </c>
      <c r="E92" s="541" t="s">
        <v>609</v>
      </c>
      <c r="F92" s="539" t="s">
        <v>602</v>
      </c>
      <c r="G92" s="539" t="s">
        <v>763</v>
      </c>
      <c r="H92" s="539" t="s">
        <v>463</v>
      </c>
      <c r="I92" s="539" t="s">
        <v>811</v>
      </c>
      <c r="J92" s="539" t="s">
        <v>765</v>
      </c>
      <c r="K92" s="539" t="s">
        <v>766</v>
      </c>
      <c r="L92" s="542">
        <v>170.52</v>
      </c>
      <c r="M92" s="542">
        <v>341.04</v>
      </c>
      <c r="N92" s="539">
        <v>2</v>
      </c>
      <c r="O92" s="543">
        <v>2</v>
      </c>
      <c r="P92" s="542">
        <v>170.52</v>
      </c>
      <c r="Q92" s="544">
        <v>0.5</v>
      </c>
      <c r="R92" s="539">
        <v>1</v>
      </c>
      <c r="S92" s="544">
        <v>0.5</v>
      </c>
      <c r="T92" s="543">
        <v>1</v>
      </c>
      <c r="U92" s="545">
        <v>0.5</v>
      </c>
    </row>
    <row r="93" spans="1:21" ht="14.4" customHeight="1" x14ac:dyDescent="0.3">
      <c r="A93" s="538">
        <v>29</v>
      </c>
      <c r="B93" s="539" t="s">
        <v>462</v>
      </c>
      <c r="C93" s="539">
        <v>89301292</v>
      </c>
      <c r="D93" s="540" t="s">
        <v>1025</v>
      </c>
      <c r="E93" s="541" t="s">
        <v>609</v>
      </c>
      <c r="F93" s="539" t="s">
        <v>602</v>
      </c>
      <c r="G93" s="539" t="s">
        <v>763</v>
      </c>
      <c r="H93" s="539" t="s">
        <v>463</v>
      </c>
      <c r="I93" s="539" t="s">
        <v>764</v>
      </c>
      <c r="J93" s="539" t="s">
        <v>765</v>
      </c>
      <c r="K93" s="539" t="s">
        <v>766</v>
      </c>
      <c r="L93" s="542">
        <v>170.52</v>
      </c>
      <c r="M93" s="542">
        <v>341.04</v>
      </c>
      <c r="N93" s="539">
        <v>2</v>
      </c>
      <c r="O93" s="543">
        <v>1.5</v>
      </c>
      <c r="P93" s="542">
        <v>170.52</v>
      </c>
      <c r="Q93" s="544">
        <v>0.5</v>
      </c>
      <c r="R93" s="539">
        <v>1</v>
      </c>
      <c r="S93" s="544">
        <v>0.5</v>
      </c>
      <c r="T93" s="543">
        <v>0.5</v>
      </c>
      <c r="U93" s="545">
        <v>0.33333333333333331</v>
      </c>
    </row>
    <row r="94" spans="1:21" ht="14.4" customHeight="1" x14ac:dyDescent="0.3">
      <c r="A94" s="538">
        <v>29</v>
      </c>
      <c r="B94" s="539" t="s">
        <v>462</v>
      </c>
      <c r="C94" s="539">
        <v>89301292</v>
      </c>
      <c r="D94" s="540" t="s">
        <v>1025</v>
      </c>
      <c r="E94" s="541" t="s">
        <v>609</v>
      </c>
      <c r="F94" s="539" t="s">
        <v>602</v>
      </c>
      <c r="G94" s="539" t="s">
        <v>812</v>
      </c>
      <c r="H94" s="539" t="s">
        <v>463</v>
      </c>
      <c r="I94" s="539" t="s">
        <v>813</v>
      </c>
      <c r="J94" s="539" t="s">
        <v>814</v>
      </c>
      <c r="K94" s="539" t="s">
        <v>815</v>
      </c>
      <c r="L94" s="542">
        <v>72.5</v>
      </c>
      <c r="M94" s="542">
        <v>72.5</v>
      </c>
      <c r="N94" s="539">
        <v>1</v>
      </c>
      <c r="O94" s="543">
        <v>0.5</v>
      </c>
      <c r="P94" s="542"/>
      <c r="Q94" s="544">
        <v>0</v>
      </c>
      <c r="R94" s="539"/>
      <c r="S94" s="544">
        <v>0</v>
      </c>
      <c r="T94" s="543"/>
      <c r="U94" s="545">
        <v>0</v>
      </c>
    </row>
    <row r="95" spans="1:21" ht="14.4" customHeight="1" x14ac:dyDescent="0.3">
      <c r="A95" s="538">
        <v>29</v>
      </c>
      <c r="B95" s="539" t="s">
        <v>462</v>
      </c>
      <c r="C95" s="539">
        <v>89301292</v>
      </c>
      <c r="D95" s="540" t="s">
        <v>1025</v>
      </c>
      <c r="E95" s="541" t="s">
        <v>609</v>
      </c>
      <c r="F95" s="539" t="s">
        <v>602</v>
      </c>
      <c r="G95" s="539" t="s">
        <v>816</v>
      </c>
      <c r="H95" s="539" t="s">
        <v>463</v>
      </c>
      <c r="I95" s="539" t="s">
        <v>817</v>
      </c>
      <c r="J95" s="539" t="s">
        <v>818</v>
      </c>
      <c r="K95" s="539" t="s">
        <v>766</v>
      </c>
      <c r="L95" s="542">
        <v>66.819999999999993</v>
      </c>
      <c r="M95" s="542">
        <v>66.819999999999993</v>
      </c>
      <c r="N95" s="539">
        <v>1</v>
      </c>
      <c r="O95" s="543">
        <v>1</v>
      </c>
      <c r="P95" s="542"/>
      <c r="Q95" s="544">
        <v>0</v>
      </c>
      <c r="R95" s="539"/>
      <c r="S95" s="544">
        <v>0</v>
      </c>
      <c r="T95" s="543"/>
      <c r="U95" s="545">
        <v>0</v>
      </c>
    </row>
    <row r="96" spans="1:21" ht="14.4" customHeight="1" x14ac:dyDescent="0.3">
      <c r="A96" s="538">
        <v>29</v>
      </c>
      <c r="B96" s="539" t="s">
        <v>462</v>
      </c>
      <c r="C96" s="539">
        <v>89301292</v>
      </c>
      <c r="D96" s="540" t="s">
        <v>1025</v>
      </c>
      <c r="E96" s="541" t="s">
        <v>609</v>
      </c>
      <c r="F96" s="539" t="s">
        <v>602</v>
      </c>
      <c r="G96" s="539" t="s">
        <v>816</v>
      </c>
      <c r="H96" s="539" t="s">
        <v>463</v>
      </c>
      <c r="I96" s="539" t="s">
        <v>817</v>
      </c>
      <c r="J96" s="539" t="s">
        <v>818</v>
      </c>
      <c r="K96" s="539" t="s">
        <v>766</v>
      </c>
      <c r="L96" s="542">
        <v>78.33</v>
      </c>
      <c r="M96" s="542">
        <v>78.33</v>
      </c>
      <c r="N96" s="539">
        <v>1</v>
      </c>
      <c r="O96" s="543">
        <v>1</v>
      </c>
      <c r="P96" s="542">
        <v>78.33</v>
      </c>
      <c r="Q96" s="544">
        <v>1</v>
      </c>
      <c r="R96" s="539">
        <v>1</v>
      </c>
      <c r="S96" s="544">
        <v>1</v>
      </c>
      <c r="T96" s="543">
        <v>1</v>
      </c>
      <c r="U96" s="545">
        <v>1</v>
      </c>
    </row>
    <row r="97" spans="1:21" ht="14.4" customHeight="1" x14ac:dyDescent="0.3">
      <c r="A97" s="538">
        <v>29</v>
      </c>
      <c r="B97" s="539" t="s">
        <v>462</v>
      </c>
      <c r="C97" s="539">
        <v>89301292</v>
      </c>
      <c r="D97" s="540" t="s">
        <v>1025</v>
      </c>
      <c r="E97" s="541" t="s">
        <v>609</v>
      </c>
      <c r="F97" s="539" t="s">
        <v>602</v>
      </c>
      <c r="G97" s="539" t="s">
        <v>819</v>
      </c>
      <c r="H97" s="539" t="s">
        <v>463</v>
      </c>
      <c r="I97" s="539" t="s">
        <v>820</v>
      </c>
      <c r="J97" s="539" t="s">
        <v>821</v>
      </c>
      <c r="K97" s="539" t="s">
        <v>822</v>
      </c>
      <c r="L97" s="542">
        <v>90.77</v>
      </c>
      <c r="M97" s="542">
        <v>90.77</v>
      </c>
      <c r="N97" s="539">
        <v>1</v>
      </c>
      <c r="O97" s="543">
        <v>0.5</v>
      </c>
      <c r="P97" s="542">
        <v>90.77</v>
      </c>
      <c r="Q97" s="544">
        <v>1</v>
      </c>
      <c r="R97" s="539">
        <v>1</v>
      </c>
      <c r="S97" s="544">
        <v>1</v>
      </c>
      <c r="T97" s="543">
        <v>0.5</v>
      </c>
      <c r="U97" s="545">
        <v>1</v>
      </c>
    </row>
    <row r="98" spans="1:21" ht="14.4" customHeight="1" x14ac:dyDescent="0.3">
      <c r="A98" s="538">
        <v>29</v>
      </c>
      <c r="B98" s="539" t="s">
        <v>462</v>
      </c>
      <c r="C98" s="539">
        <v>89301292</v>
      </c>
      <c r="D98" s="540" t="s">
        <v>1025</v>
      </c>
      <c r="E98" s="541" t="s">
        <v>609</v>
      </c>
      <c r="F98" s="539" t="s">
        <v>602</v>
      </c>
      <c r="G98" s="539" t="s">
        <v>767</v>
      </c>
      <c r="H98" s="539" t="s">
        <v>463</v>
      </c>
      <c r="I98" s="539" t="s">
        <v>768</v>
      </c>
      <c r="J98" s="539" t="s">
        <v>769</v>
      </c>
      <c r="K98" s="539" t="s">
        <v>770</v>
      </c>
      <c r="L98" s="542">
        <v>110.28</v>
      </c>
      <c r="M98" s="542">
        <v>110.28</v>
      </c>
      <c r="N98" s="539">
        <v>1</v>
      </c>
      <c r="O98" s="543">
        <v>1</v>
      </c>
      <c r="P98" s="542">
        <v>110.28</v>
      </c>
      <c r="Q98" s="544">
        <v>1</v>
      </c>
      <c r="R98" s="539">
        <v>1</v>
      </c>
      <c r="S98" s="544">
        <v>1</v>
      </c>
      <c r="T98" s="543">
        <v>1</v>
      </c>
      <c r="U98" s="545">
        <v>1</v>
      </c>
    </row>
    <row r="99" spans="1:21" ht="14.4" customHeight="1" x14ac:dyDescent="0.3">
      <c r="A99" s="538">
        <v>29</v>
      </c>
      <c r="B99" s="539" t="s">
        <v>462</v>
      </c>
      <c r="C99" s="539">
        <v>89301292</v>
      </c>
      <c r="D99" s="540" t="s">
        <v>1025</v>
      </c>
      <c r="E99" s="541" t="s">
        <v>609</v>
      </c>
      <c r="F99" s="539" t="s">
        <v>602</v>
      </c>
      <c r="G99" s="539" t="s">
        <v>823</v>
      </c>
      <c r="H99" s="539" t="s">
        <v>463</v>
      </c>
      <c r="I99" s="539" t="s">
        <v>824</v>
      </c>
      <c r="J99" s="539" t="s">
        <v>825</v>
      </c>
      <c r="K99" s="539" t="s">
        <v>826</v>
      </c>
      <c r="L99" s="542">
        <v>173.14</v>
      </c>
      <c r="M99" s="542">
        <v>173.14</v>
      </c>
      <c r="N99" s="539">
        <v>1</v>
      </c>
      <c r="O99" s="543">
        <v>0.5</v>
      </c>
      <c r="P99" s="542"/>
      <c r="Q99" s="544">
        <v>0</v>
      </c>
      <c r="R99" s="539"/>
      <c r="S99" s="544">
        <v>0</v>
      </c>
      <c r="T99" s="543"/>
      <c r="U99" s="545">
        <v>0</v>
      </c>
    </row>
    <row r="100" spans="1:21" ht="14.4" customHeight="1" x14ac:dyDescent="0.3">
      <c r="A100" s="538">
        <v>29</v>
      </c>
      <c r="B100" s="539" t="s">
        <v>462</v>
      </c>
      <c r="C100" s="539">
        <v>89301292</v>
      </c>
      <c r="D100" s="540" t="s">
        <v>1025</v>
      </c>
      <c r="E100" s="541" t="s">
        <v>609</v>
      </c>
      <c r="F100" s="539" t="s">
        <v>602</v>
      </c>
      <c r="G100" s="539" t="s">
        <v>629</v>
      </c>
      <c r="H100" s="539" t="s">
        <v>463</v>
      </c>
      <c r="I100" s="539" t="s">
        <v>548</v>
      </c>
      <c r="J100" s="539" t="s">
        <v>549</v>
      </c>
      <c r="K100" s="539" t="s">
        <v>630</v>
      </c>
      <c r="L100" s="542">
        <v>48.09</v>
      </c>
      <c r="M100" s="542">
        <v>192.36</v>
      </c>
      <c r="N100" s="539">
        <v>4</v>
      </c>
      <c r="O100" s="543">
        <v>3</v>
      </c>
      <c r="P100" s="542">
        <v>144.27000000000001</v>
      </c>
      <c r="Q100" s="544">
        <v>0.75</v>
      </c>
      <c r="R100" s="539">
        <v>3</v>
      </c>
      <c r="S100" s="544">
        <v>0.75</v>
      </c>
      <c r="T100" s="543">
        <v>2</v>
      </c>
      <c r="U100" s="545">
        <v>0.66666666666666663</v>
      </c>
    </row>
    <row r="101" spans="1:21" ht="14.4" customHeight="1" x14ac:dyDescent="0.3">
      <c r="A101" s="538">
        <v>29</v>
      </c>
      <c r="B101" s="539" t="s">
        <v>462</v>
      </c>
      <c r="C101" s="539">
        <v>89301292</v>
      </c>
      <c r="D101" s="540" t="s">
        <v>1025</v>
      </c>
      <c r="E101" s="541" t="s">
        <v>609</v>
      </c>
      <c r="F101" s="539" t="s">
        <v>602</v>
      </c>
      <c r="G101" s="539" t="s">
        <v>827</v>
      </c>
      <c r="H101" s="539" t="s">
        <v>463</v>
      </c>
      <c r="I101" s="539" t="s">
        <v>828</v>
      </c>
      <c r="J101" s="539" t="s">
        <v>829</v>
      </c>
      <c r="K101" s="539" t="s">
        <v>830</v>
      </c>
      <c r="L101" s="542">
        <v>0</v>
      </c>
      <c r="M101" s="542">
        <v>0</v>
      </c>
      <c r="N101" s="539">
        <v>2</v>
      </c>
      <c r="O101" s="543">
        <v>1</v>
      </c>
      <c r="P101" s="542">
        <v>0</v>
      </c>
      <c r="Q101" s="544"/>
      <c r="R101" s="539">
        <v>2</v>
      </c>
      <c r="S101" s="544">
        <v>1</v>
      </c>
      <c r="T101" s="543">
        <v>1</v>
      </c>
      <c r="U101" s="545">
        <v>1</v>
      </c>
    </row>
    <row r="102" spans="1:21" ht="14.4" customHeight="1" x14ac:dyDescent="0.3">
      <c r="A102" s="538">
        <v>29</v>
      </c>
      <c r="B102" s="539" t="s">
        <v>462</v>
      </c>
      <c r="C102" s="539">
        <v>89301292</v>
      </c>
      <c r="D102" s="540" t="s">
        <v>1025</v>
      </c>
      <c r="E102" s="541" t="s">
        <v>609</v>
      </c>
      <c r="F102" s="539" t="s">
        <v>602</v>
      </c>
      <c r="G102" s="539" t="s">
        <v>827</v>
      </c>
      <c r="H102" s="539" t="s">
        <v>463</v>
      </c>
      <c r="I102" s="539" t="s">
        <v>831</v>
      </c>
      <c r="J102" s="539" t="s">
        <v>832</v>
      </c>
      <c r="K102" s="539" t="s">
        <v>833</v>
      </c>
      <c r="L102" s="542">
        <v>0</v>
      </c>
      <c r="M102" s="542">
        <v>0</v>
      </c>
      <c r="N102" s="539">
        <v>4</v>
      </c>
      <c r="O102" s="543">
        <v>2</v>
      </c>
      <c r="P102" s="542">
        <v>0</v>
      </c>
      <c r="Q102" s="544"/>
      <c r="R102" s="539">
        <v>1</v>
      </c>
      <c r="S102" s="544">
        <v>0.25</v>
      </c>
      <c r="T102" s="543">
        <v>0.5</v>
      </c>
      <c r="U102" s="545">
        <v>0.25</v>
      </c>
    </row>
    <row r="103" spans="1:21" ht="14.4" customHeight="1" x14ac:dyDescent="0.3">
      <c r="A103" s="538">
        <v>29</v>
      </c>
      <c r="B103" s="539" t="s">
        <v>462</v>
      </c>
      <c r="C103" s="539">
        <v>89301292</v>
      </c>
      <c r="D103" s="540" t="s">
        <v>1025</v>
      </c>
      <c r="E103" s="541" t="s">
        <v>609</v>
      </c>
      <c r="F103" s="539" t="s">
        <v>602</v>
      </c>
      <c r="G103" s="539" t="s">
        <v>834</v>
      </c>
      <c r="H103" s="539" t="s">
        <v>463</v>
      </c>
      <c r="I103" s="539" t="s">
        <v>835</v>
      </c>
      <c r="J103" s="539" t="s">
        <v>836</v>
      </c>
      <c r="K103" s="539" t="s">
        <v>837</v>
      </c>
      <c r="L103" s="542">
        <v>59.85</v>
      </c>
      <c r="M103" s="542">
        <v>59.85</v>
      </c>
      <c r="N103" s="539">
        <v>1</v>
      </c>
      <c r="O103" s="543">
        <v>1</v>
      </c>
      <c r="P103" s="542">
        <v>59.85</v>
      </c>
      <c r="Q103" s="544">
        <v>1</v>
      </c>
      <c r="R103" s="539">
        <v>1</v>
      </c>
      <c r="S103" s="544">
        <v>1</v>
      </c>
      <c r="T103" s="543">
        <v>1</v>
      </c>
      <c r="U103" s="545">
        <v>1</v>
      </c>
    </row>
    <row r="104" spans="1:21" ht="14.4" customHeight="1" x14ac:dyDescent="0.3">
      <c r="A104" s="538">
        <v>29</v>
      </c>
      <c r="B104" s="539" t="s">
        <v>462</v>
      </c>
      <c r="C104" s="539">
        <v>89301292</v>
      </c>
      <c r="D104" s="540" t="s">
        <v>1025</v>
      </c>
      <c r="E104" s="541" t="s">
        <v>609</v>
      </c>
      <c r="F104" s="539" t="s">
        <v>602</v>
      </c>
      <c r="G104" s="539" t="s">
        <v>834</v>
      </c>
      <c r="H104" s="539" t="s">
        <v>463</v>
      </c>
      <c r="I104" s="539" t="s">
        <v>838</v>
      </c>
      <c r="J104" s="539" t="s">
        <v>836</v>
      </c>
      <c r="K104" s="539" t="s">
        <v>839</v>
      </c>
      <c r="L104" s="542">
        <v>83.79</v>
      </c>
      <c r="M104" s="542">
        <v>83.79</v>
      </c>
      <c r="N104" s="539">
        <v>1</v>
      </c>
      <c r="O104" s="543">
        <v>0.5</v>
      </c>
      <c r="P104" s="542">
        <v>83.79</v>
      </c>
      <c r="Q104" s="544">
        <v>1</v>
      </c>
      <c r="R104" s="539">
        <v>1</v>
      </c>
      <c r="S104" s="544">
        <v>1</v>
      </c>
      <c r="T104" s="543">
        <v>0.5</v>
      </c>
      <c r="U104" s="545">
        <v>1</v>
      </c>
    </row>
    <row r="105" spans="1:21" ht="14.4" customHeight="1" x14ac:dyDescent="0.3">
      <c r="A105" s="538">
        <v>29</v>
      </c>
      <c r="B105" s="539" t="s">
        <v>462</v>
      </c>
      <c r="C105" s="539">
        <v>89301292</v>
      </c>
      <c r="D105" s="540" t="s">
        <v>1025</v>
      </c>
      <c r="E105" s="541" t="s">
        <v>609</v>
      </c>
      <c r="F105" s="539" t="s">
        <v>602</v>
      </c>
      <c r="G105" s="539" t="s">
        <v>642</v>
      </c>
      <c r="H105" s="539" t="s">
        <v>463</v>
      </c>
      <c r="I105" s="539" t="s">
        <v>552</v>
      </c>
      <c r="J105" s="539" t="s">
        <v>553</v>
      </c>
      <c r="K105" s="539" t="s">
        <v>643</v>
      </c>
      <c r="L105" s="542">
        <v>36.97</v>
      </c>
      <c r="M105" s="542">
        <v>258.78999999999996</v>
      </c>
      <c r="N105" s="539">
        <v>7</v>
      </c>
      <c r="O105" s="543">
        <v>6</v>
      </c>
      <c r="P105" s="542">
        <v>73.94</v>
      </c>
      <c r="Q105" s="544">
        <v>0.28571428571428575</v>
      </c>
      <c r="R105" s="539">
        <v>2</v>
      </c>
      <c r="S105" s="544">
        <v>0.2857142857142857</v>
      </c>
      <c r="T105" s="543">
        <v>2</v>
      </c>
      <c r="U105" s="545">
        <v>0.33333333333333331</v>
      </c>
    </row>
    <row r="106" spans="1:21" ht="14.4" customHeight="1" x14ac:dyDescent="0.3">
      <c r="A106" s="538">
        <v>29</v>
      </c>
      <c r="B106" s="539" t="s">
        <v>462</v>
      </c>
      <c r="C106" s="539">
        <v>89301292</v>
      </c>
      <c r="D106" s="540" t="s">
        <v>1025</v>
      </c>
      <c r="E106" s="541" t="s">
        <v>609</v>
      </c>
      <c r="F106" s="539" t="s">
        <v>602</v>
      </c>
      <c r="G106" s="539" t="s">
        <v>840</v>
      </c>
      <c r="H106" s="539" t="s">
        <v>463</v>
      </c>
      <c r="I106" s="539" t="s">
        <v>841</v>
      </c>
      <c r="J106" s="539" t="s">
        <v>842</v>
      </c>
      <c r="K106" s="539" t="s">
        <v>658</v>
      </c>
      <c r="L106" s="542">
        <v>0</v>
      </c>
      <c r="M106" s="542">
        <v>0</v>
      </c>
      <c r="N106" s="539">
        <v>1</v>
      </c>
      <c r="O106" s="543">
        <v>1</v>
      </c>
      <c r="P106" s="542">
        <v>0</v>
      </c>
      <c r="Q106" s="544"/>
      <c r="R106" s="539">
        <v>1</v>
      </c>
      <c r="S106" s="544">
        <v>1</v>
      </c>
      <c r="T106" s="543">
        <v>1</v>
      </c>
      <c r="U106" s="545">
        <v>1</v>
      </c>
    </row>
    <row r="107" spans="1:21" ht="14.4" customHeight="1" x14ac:dyDescent="0.3">
      <c r="A107" s="538">
        <v>29</v>
      </c>
      <c r="B107" s="539" t="s">
        <v>462</v>
      </c>
      <c r="C107" s="539">
        <v>89301292</v>
      </c>
      <c r="D107" s="540" t="s">
        <v>1025</v>
      </c>
      <c r="E107" s="541" t="s">
        <v>609</v>
      </c>
      <c r="F107" s="539" t="s">
        <v>602</v>
      </c>
      <c r="G107" s="539" t="s">
        <v>644</v>
      </c>
      <c r="H107" s="539" t="s">
        <v>463</v>
      </c>
      <c r="I107" s="539" t="s">
        <v>556</v>
      </c>
      <c r="J107" s="539" t="s">
        <v>557</v>
      </c>
      <c r="K107" s="539" t="s">
        <v>558</v>
      </c>
      <c r="L107" s="542">
        <v>115.13</v>
      </c>
      <c r="M107" s="542">
        <v>115.13</v>
      </c>
      <c r="N107" s="539">
        <v>1</v>
      </c>
      <c r="O107" s="543">
        <v>1</v>
      </c>
      <c r="P107" s="542"/>
      <c r="Q107" s="544">
        <v>0</v>
      </c>
      <c r="R107" s="539"/>
      <c r="S107" s="544">
        <v>0</v>
      </c>
      <c r="T107" s="543"/>
      <c r="U107" s="545">
        <v>0</v>
      </c>
    </row>
    <row r="108" spans="1:21" ht="14.4" customHeight="1" x14ac:dyDescent="0.3">
      <c r="A108" s="538">
        <v>29</v>
      </c>
      <c r="B108" s="539" t="s">
        <v>462</v>
      </c>
      <c r="C108" s="539">
        <v>89301292</v>
      </c>
      <c r="D108" s="540" t="s">
        <v>1025</v>
      </c>
      <c r="E108" s="541" t="s">
        <v>609</v>
      </c>
      <c r="F108" s="539" t="s">
        <v>602</v>
      </c>
      <c r="G108" s="539" t="s">
        <v>655</v>
      </c>
      <c r="H108" s="539" t="s">
        <v>1026</v>
      </c>
      <c r="I108" s="539" t="s">
        <v>656</v>
      </c>
      <c r="J108" s="539" t="s">
        <v>657</v>
      </c>
      <c r="K108" s="539" t="s">
        <v>658</v>
      </c>
      <c r="L108" s="542">
        <v>48.42</v>
      </c>
      <c r="M108" s="542">
        <v>48.42</v>
      </c>
      <c r="N108" s="539">
        <v>1</v>
      </c>
      <c r="O108" s="543">
        <v>0.5</v>
      </c>
      <c r="P108" s="542"/>
      <c r="Q108" s="544">
        <v>0</v>
      </c>
      <c r="R108" s="539"/>
      <c r="S108" s="544">
        <v>0</v>
      </c>
      <c r="T108" s="543"/>
      <c r="U108" s="545">
        <v>0</v>
      </c>
    </row>
    <row r="109" spans="1:21" ht="14.4" customHeight="1" x14ac:dyDescent="0.3">
      <c r="A109" s="538">
        <v>29</v>
      </c>
      <c r="B109" s="539" t="s">
        <v>462</v>
      </c>
      <c r="C109" s="539">
        <v>89301292</v>
      </c>
      <c r="D109" s="540" t="s">
        <v>1025</v>
      </c>
      <c r="E109" s="541" t="s">
        <v>609</v>
      </c>
      <c r="F109" s="539" t="s">
        <v>602</v>
      </c>
      <c r="G109" s="539" t="s">
        <v>655</v>
      </c>
      <c r="H109" s="539" t="s">
        <v>1026</v>
      </c>
      <c r="I109" s="539" t="s">
        <v>659</v>
      </c>
      <c r="J109" s="539" t="s">
        <v>657</v>
      </c>
      <c r="K109" s="539" t="s">
        <v>660</v>
      </c>
      <c r="L109" s="542">
        <v>0</v>
      </c>
      <c r="M109" s="542">
        <v>0</v>
      </c>
      <c r="N109" s="539">
        <v>1</v>
      </c>
      <c r="O109" s="543">
        <v>0.5</v>
      </c>
      <c r="P109" s="542">
        <v>0</v>
      </c>
      <c r="Q109" s="544"/>
      <c r="R109" s="539">
        <v>1</v>
      </c>
      <c r="S109" s="544">
        <v>1</v>
      </c>
      <c r="T109" s="543">
        <v>0.5</v>
      </c>
      <c r="U109" s="545">
        <v>1</v>
      </c>
    </row>
    <row r="110" spans="1:21" ht="14.4" customHeight="1" x14ac:dyDescent="0.3">
      <c r="A110" s="538">
        <v>29</v>
      </c>
      <c r="B110" s="539" t="s">
        <v>462</v>
      </c>
      <c r="C110" s="539">
        <v>89301292</v>
      </c>
      <c r="D110" s="540" t="s">
        <v>1025</v>
      </c>
      <c r="E110" s="541" t="s">
        <v>609</v>
      </c>
      <c r="F110" s="539" t="s">
        <v>602</v>
      </c>
      <c r="G110" s="539" t="s">
        <v>655</v>
      </c>
      <c r="H110" s="539" t="s">
        <v>463</v>
      </c>
      <c r="I110" s="539" t="s">
        <v>843</v>
      </c>
      <c r="J110" s="539" t="s">
        <v>844</v>
      </c>
      <c r="K110" s="539" t="s">
        <v>845</v>
      </c>
      <c r="L110" s="542">
        <v>0</v>
      </c>
      <c r="M110" s="542">
        <v>0</v>
      </c>
      <c r="N110" s="539">
        <v>1</v>
      </c>
      <c r="O110" s="543">
        <v>0.5</v>
      </c>
      <c r="P110" s="542">
        <v>0</v>
      </c>
      <c r="Q110" s="544"/>
      <c r="R110" s="539">
        <v>1</v>
      </c>
      <c r="S110" s="544">
        <v>1</v>
      </c>
      <c r="T110" s="543">
        <v>0.5</v>
      </c>
      <c r="U110" s="545">
        <v>1</v>
      </c>
    </row>
    <row r="111" spans="1:21" ht="14.4" customHeight="1" x14ac:dyDescent="0.3">
      <c r="A111" s="538">
        <v>29</v>
      </c>
      <c r="B111" s="539" t="s">
        <v>462</v>
      </c>
      <c r="C111" s="539">
        <v>89301292</v>
      </c>
      <c r="D111" s="540" t="s">
        <v>1025</v>
      </c>
      <c r="E111" s="541" t="s">
        <v>609</v>
      </c>
      <c r="F111" s="539" t="s">
        <v>602</v>
      </c>
      <c r="G111" s="539" t="s">
        <v>655</v>
      </c>
      <c r="H111" s="539" t="s">
        <v>463</v>
      </c>
      <c r="I111" s="539" t="s">
        <v>846</v>
      </c>
      <c r="J111" s="539" t="s">
        <v>844</v>
      </c>
      <c r="K111" s="539" t="s">
        <v>847</v>
      </c>
      <c r="L111" s="542">
        <v>0</v>
      </c>
      <c r="M111" s="542">
        <v>0</v>
      </c>
      <c r="N111" s="539">
        <v>1</v>
      </c>
      <c r="O111" s="543">
        <v>0.5</v>
      </c>
      <c r="P111" s="542"/>
      <c r="Q111" s="544"/>
      <c r="R111" s="539"/>
      <c r="S111" s="544">
        <v>0</v>
      </c>
      <c r="T111" s="543"/>
      <c r="U111" s="545">
        <v>0</v>
      </c>
    </row>
    <row r="112" spans="1:21" ht="14.4" customHeight="1" x14ac:dyDescent="0.3">
      <c r="A112" s="538">
        <v>29</v>
      </c>
      <c r="B112" s="539" t="s">
        <v>462</v>
      </c>
      <c r="C112" s="539">
        <v>89301292</v>
      </c>
      <c r="D112" s="540" t="s">
        <v>1025</v>
      </c>
      <c r="E112" s="541" t="s">
        <v>609</v>
      </c>
      <c r="F112" s="539" t="s">
        <v>602</v>
      </c>
      <c r="G112" s="539" t="s">
        <v>848</v>
      </c>
      <c r="H112" s="539" t="s">
        <v>1026</v>
      </c>
      <c r="I112" s="539" t="s">
        <v>849</v>
      </c>
      <c r="J112" s="539" t="s">
        <v>850</v>
      </c>
      <c r="K112" s="539" t="s">
        <v>851</v>
      </c>
      <c r="L112" s="542">
        <v>46.85</v>
      </c>
      <c r="M112" s="542">
        <v>46.85</v>
      </c>
      <c r="N112" s="539">
        <v>1</v>
      </c>
      <c r="O112" s="543">
        <v>0.5</v>
      </c>
      <c r="P112" s="542">
        <v>46.85</v>
      </c>
      <c r="Q112" s="544">
        <v>1</v>
      </c>
      <c r="R112" s="539">
        <v>1</v>
      </c>
      <c r="S112" s="544">
        <v>1</v>
      </c>
      <c r="T112" s="543">
        <v>0.5</v>
      </c>
      <c r="U112" s="545">
        <v>1</v>
      </c>
    </row>
    <row r="113" spans="1:21" ht="14.4" customHeight="1" x14ac:dyDescent="0.3">
      <c r="A113" s="538">
        <v>29</v>
      </c>
      <c r="B113" s="539" t="s">
        <v>462</v>
      </c>
      <c r="C113" s="539">
        <v>89301292</v>
      </c>
      <c r="D113" s="540" t="s">
        <v>1025</v>
      </c>
      <c r="E113" s="541" t="s">
        <v>609</v>
      </c>
      <c r="F113" s="539" t="s">
        <v>602</v>
      </c>
      <c r="G113" s="539" t="s">
        <v>669</v>
      </c>
      <c r="H113" s="539" t="s">
        <v>463</v>
      </c>
      <c r="I113" s="539" t="s">
        <v>670</v>
      </c>
      <c r="J113" s="539" t="s">
        <v>671</v>
      </c>
      <c r="K113" s="539" t="s">
        <v>672</v>
      </c>
      <c r="L113" s="542">
        <v>0</v>
      </c>
      <c r="M113" s="542">
        <v>0</v>
      </c>
      <c r="N113" s="539">
        <v>21</v>
      </c>
      <c r="O113" s="543">
        <v>15.5</v>
      </c>
      <c r="P113" s="542">
        <v>0</v>
      </c>
      <c r="Q113" s="544"/>
      <c r="R113" s="539">
        <v>14</v>
      </c>
      <c r="S113" s="544">
        <v>0.66666666666666663</v>
      </c>
      <c r="T113" s="543">
        <v>10.5</v>
      </c>
      <c r="U113" s="545">
        <v>0.67741935483870963</v>
      </c>
    </row>
    <row r="114" spans="1:21" ht="14.4" customHeight="1" x14ac:dyDescent="0.3">
      <c r="A114" s="538">
        <v>29</v>
      </c>
      <c r="B114" s="539" t="s">
        <v>462</v>
      </c>
      <c r="C114" s="539">
        <v>89301292</v>
      </c>
      <c r="D114" s="540" t="s">
        <v>1025</v>
      </c>
      <c r="E114" s="541" t="s">
        <v>609</v>
      </c>
      <c r="F114" s="539" t="s">
        <v>602</v>
      </c>
      <c r="G114" s="539" t="s">
        <v>673</v>
      </c>
      <c r="H114" s="539" t="s">
        <v>463</v>
      </c>
      <c r="I114" s="539" t="s">
        <v>560</v>
      </c>
      <c r="J114" s="539" t="s">
        <v>561</v>
      </c>
      <c r="K114" s="539" t="s">
        <v>675</v>
      </c>
      <c r="L114" s="542">
        <v>289.27</v>
      </c>
      <c r="M114" s="542">
        <v>578.54</v>
      </c>
      <c r="N114" s="539">
        <v>2</v>
      </c>
      <c r="O114" s="543">
        <v>2</v>
      </c>
      <c r="P114" s="542"/>
      <c r="Q114" s="544">
        <v>0</v>
      </c>
      <c r="R114" s="539"/>
      <c r="S114" s="544">
        <v>0</v>
      </c>
      <c r="T114" s="543"/>
      <c r="U114" s="545">
        <v>0</v>
      </c>
    </row>
    <row r="115" spans="1:21" ht="14.4" customHeight="1" x14ac:dyDescent="0.3">
      <c r="A115" s="538">
        <v>29</v>
      </c>
      <c r="B115" s="539" t="s">
        <v>462</v>
      </c>
      <c r="C115" s="539">
        <v>89301292</v>
      </c>
      <c r="D115" s="540" t="s">
        <v>1025</v>
      </c>
      <c r="E115" s="541" t="s">
        <v>609</v>
      </c>
      <c r="F115" s="539" t="s">
        <v>602</v>
      </c>
      <c r="G115" s="539" t="s">
        <v>676</v>
      </c>
      <c r="H115" s="539" t="s">
        <v>463</v>
      </c>
      <c r="I115" s="539" t="s">
        <v>852</v>
      </c>
      <c r="J115" s="539" t="s">
        <v>853</v>
      </c>
      <c r="K115" s="539" t="s">
        <v>854</v>
      </c>
      <c r="L115" s="542">
        <v>75.22</v>
      </c>
      <c r="M115" s="542">
        <v>150.44</v>
      </c>
      <c r="N115" s="539">
        <v>2</v>
      </c>
      <c r="O115" s="543">
        <v>1</v>
      </c>
      <c r="P115" s="542">
        <v>75.22</v>
      </c>
      <c r="Q115" s="544">
        <v>0.5</v>
      </c>
      <c r="R115" s="539">
        <v>1</v>
      </c>
      <c r="S115" s="544">
        <v>0.5</v>
      </c>
      <c r="T115" s="543">
        <v>0.5</v>
      </c>
      <c r="U115" s="545">
        <v>0.5</v>
      </c>
    </row>
    <row r="116" spans="1:21" ht="14.4" customHeight="1" x14ac:dyDescent="0.3">
      <c r="A116" s="538">
        <v>29</v>
      </c>
      <c r="B116" s="539" t="s">
        <v>462</v>
      </c>
      <c r="C116" s="539">
        <v>89301292</v>
      </c>
      <c r="D116" s="540" t="s">
        <v>1025</v>
      </c>
      <c r="E116" s="541" t="s">
        <v>609</v>
      </c>
      <c r="F116" s="539" t="s">
        <v>602</v>
      </c>
      <c r="G116" s="539" t="s">
        <v>676</v>
      </c>
      <c r="H116" s="539" t="s">
        <v>463</v>
      </c>
      <c r="I116" s="539" t="s">
        <v>680</v>
      </c>
      <c r="J116" s="539" t="s">
        <v>678</v>
      </c>
      <c r="K116" s="539" t="s">
        <v>681</v>
      </c>
      <c r="L116" s="542">
        <v>75.22</v>
      </c>
      <c r="M116" s="542">
        <v>150.44</v>
      </c>
      <c r="N116" s="539">
        <v>2</v>
      </c>
      <c r="O116" s="543">
        <v>2</v>
      </c>
      <c r="P116" s="542">
        <v>75.22</v>
      </c>
      <c r="Q116" s="544">
        <v>0.5</v>
      </c>
      <c r="R116" s="539">
        <v>1</v>
      </c>
      <c r="S116" s="544">
        <v>0.5</v>
      </c>
      <c r="T116" s="543">
        <v>1</v>
      </c>
      <c r="U116" s="545">
        <v>0.5</v>
      </c>
    </row>
    <row r="117" spans="1:21" ht="14.4" customHeight="1" x14ac:dyDescent="0.3">
      <c r="A117" s="538">
        <v>29</v>
      </c>
      <c r="B117" s="539" t="s">
        <v>462</v>
      </c>
      <c r="C117" s="539">
        <v>89301292</v>
      </c>
      <c r="D117" s="540" t="s">
        <v>1025</v>
      </c>
      <c r="E117" s="541" t="s">
        <v>609</v>
      </c>
      <c r="F117" s="539" t="s">
        <v>604</v>
      </c>
      <c r="G117" s="539" t="s">
        <v>686</v>
      </c>
      <c r="H117" s="539" t="s">
        <v>463</v>
      </c>
      <c r="I117" s="539" t="s">
        <v>703</v>
      </c>
      <c r="J117" s="539" t="s">
        <v>701</v>
      </c>
      <c r="K117" s="539" t="s">
        <v>704</v>
      </c>
      <c r="L117" s="542">
        <v>1333.95</v>
      </c>
      <c r="M117" s="542">
        <v>2667.9</v>
      </c>
      <c r="N117" s="539">
        <v>2</v>
      </c>
      <c r="O117" s="543">
        <v>1</v>
      </c>
      <c r="P117" s="542">
        <v>2667.9</v>
      </c>
      <c r="Q117" s="544">
        <v>1</v>
      </c>
      <c r="R117" s="539">
        <v>2</v>
      </c>
      <c r="S117" s="544">
        <v>1</v>
      </c>
      <c r="T117" s="543">
        <v>1</v>
      </c>
      <c r="U117" s="545">
        <v>1</v>
      </c>
    </row>
    <row r="118" spans="1:21" ht="14.4" customHeight="1" x14ac:dyDescent="0.3">
      <c r="A118" s="538">
        <v>29</v>
      </c>
      <c r="B118" s="539" t="s">
        <v>462</v>
      </c>
      <c r="C118" s="539">
        <v>89301292</v>
      </c>
      <c r="D118" s="540" t="s">
        <v>1025</v>
      </c>
      <c r="E118" s="541" t="s">
        <v>609</v>
      </c>
      <c r="F118" s="539" t="s">
        <v>604</v>
      </c>
      <c r="G118" s="539" t="s">
        <v>727</v>
      </c>
      <c r="H118" s="539" t="s">
        <v>463</v>
      </c>
      <c r="I118" s="539" t="s">
        <v>728</v>
      </c>
      <c r="J118" s="539" t="s">
        <v>729</v>
      </c>
      <c r="K118" s="539" t="s">
        <v>730</v>
      </c>
      <c r="L118" s="542">
        <v>410</v>
      </c>
      <c r="M118" s="542">
        <v>3280</v>
      </c>
      <c r="N118" s="539">
        <v>8</v>
      </c>
      <c r="O118" s="543">
        <v>7</v>
      </c>
      <c r="P118" s="542">
        <v>3280</v>
      </c>
      <c r="Q118" s="544">
        <v>1</v>
      </c>
      <c r="R118" s="539">
        <v>8</v>
      </c>
      <c r="S118" s="544">
        <v>1</v>
      </c>
      <c r="T118" s="543">
        <v>7</v>
      </c>
      <c r="U118" s="545">
        <v>1</v>
      </c>
    </row>
    <row r="119" spans="1:21" ht="14.4" customHeight="1" x14ac:dyDescent="0.3">
      <c r="A119" s="538">
        <v>29</v>
      </c>
      <c r="B119" s="539" t="s">
        <v>462</v>
      </c>
      <c r="C119" s="539">
        <v>89301292</v>
      </c>
      <c r="D119" s="540" t="s">
        <v>1025</v>
      </c>
      <c r="E119" s="541" t="s">
        <v>609</v>
      </c>
      <c r="F119" s="539" t="s">
        <v>604</v>
      </c>
      <c r="G119" s="539" t="s">
        <v>727</v>
      </c>
      <c r="H119" s="539" t="s">
        <v>463</v>
      </c>
      <c r="I119" s="539" t="s">
        <v>731</v>
      </c>
      <c r="J119" s="539" t="s">
        <v>732</v>
      </c>
      <c r="K119" s="539" t="s">
        <v>733</v>
      </c>
      <c r="L119" s="542">
        <v>566</v>
      </c>
      <c r="M119" s="542">
        <v>566</v>
      </c>
      <c r="N119" s="539">
        <v>1</v>
      </c>
      <c r="O119" s="543">
        <v>1</v>
      </c>
      <c r="P119" s="542">
        <v>566</v>
      </c>
      <c r="Q119" s="544">
        <v>1</v>
      </c>
      <c r="R119" s="539">
        <v>1</v>
      </c>
      <c r="S119" s="544">
        <v>1</v>
      </c>
      <c r="T119" s="543">
        <v>1</v>
      </c>
      <c r="U119" s="545">
        <v>1</v>
      </c>
    </row>
    <row r="120" spans="1:21" ht="14.4" customHeight="1" x14ac:dyDescent="0.3">
      <c r="A120" s="538">
        <v>29</v>
      </c>
      <c r="B120" s="539" t="s">
        <v>462</v>
      </c>
      <c r="C120" s="539">
        <v>89301292</v>
      </c>
      <c r="D120" s="540" t="s">
        <v>1025</v>
      </c>
      <c r="E120" s="541" t="s">
        <v>609</v>
      </c>
      <c r="F120" s="539" t="s">
        <v>604</v>
      </c>
      <c r="G120" s="539" t="s">
        <v>727</v>
      </c>
      <c r="H120" s="539" t="s">
        <v>463</v>
      </c>
      <c r="I120" s="539" t="s">
        <v>855</v>
      </c>
      <c r="J120" s="539" t="s">
        <v>732</v>
      </c>
      <c r="K120" s="539" t="s">
        <v>856</v>
      </c>
      <c r="L120" s="542">
        <v>566</v>
      </c>
      <c r="M120" s="542">
        <v>566</v>
      </c>
      <c r="N120" s="539">
        <v>1</v>
      </c>
      <c r="O120" s="543">
        <v>1</v>
      </c>
      <c r="P120" s="542">
        <v>566</v>
      </c>
      <c r="Q120" s="544">
        <v>1</v>
      </c>
      <c r="R120" s="539">
        <v>1</v>
      </c>
      <c r="S120" s="544">
        <v>1</v>
      </c>
      <c r="T120" s="543">
        <v>1</v>
      </c>
      <c r="U120" s="545">
        <v>1</v>
      </c>
    </row>
    <row r="121" spans="1:21" ht="14.4" customHeight="1" x14ac:dyDescent="0.3">
      <c r="A121" s="538">
        <v>29</v>
      </c>
      <c r="B121" s="539" t="s">
        <v>462</v>
      </c>
      <c r="C121" s="539">
        <v>89301292</v>
      </c>
      <c r="D121" s="540" t="s">
        <v>1025</v>
      </c>
      <c r="E121" s="541" t="s">
        <v>609</v>
      </c>
      <c r="F121" s="539" t="s">
        <v>604</v>
      </c>
      <c r="G121" s="539" t="s">
        <v>737</v>
      </c>
      <c r="H121" s="539" t="s">
        <v>463</v>
      </c>
      <c r="I121" s="539" t="s">
        <v>857</v>
      </c>
      <c r="J121" s="539" t="s">
        <v>858</v>
      </c>
      <c r="K121" s="539" t="s">
        <v>859</v>
      </c>
      <c r="L121" s="542">
        <v>378.48</v>
      </c>
      <c r="M121" s="542">
        <v>1135.44</v>
      </c>
      <c r="N121" s="539">
        <v>3</v>
      </c>
      <c r="O121" s="543">
        <v>3</v>
      </c>
      <c r="P121" s="542">
        <v>756.96</v>
      </c>
      <c r="Q121" s="544">
        <v>0.66666666666666663</v>
      </c>
      <c r="R121" s="539">
        <v>2</v>
      </c>
      <c r="S121" s="544">
        <v>0.66666666666666663</v>
      </c>
      <c r="T121" s="543">
        <v>2</v>
      </c>
      <c r="U121" s="545">
        <v>0.66666666666666663</v>
      </c>
    </row>
    <row r="122" spans="1:21" ht="14.4" customHeight="1" x14ac:dyDescent="0.3">
      <c r="A122" s="538">
        <v>29</v>
      </c>
      <c r="B122" s="539" t="s">
        <v>462</v>
      </c>
      <c r="C122" s="539">
        <v>89301292</v>
      </c>
      <c r="D122" s="540" t="s">
        <v>1025</v>
      </c>
      <c r="E122" s="541" t="s">
        <v>609</v>
      </c>
      <c r="F122" s="539" t="s">
        <v>604</v>
      </c>
      <c r="G122" s="539" t="s">
        <v>737</v>
      </c>
      <c r="H122" s="539" t="s">
        <v>463</v>
      </c>
      <c r="I122" s="539" t="s">
        <v>783</v>
      </c>
      <c r="J122" s="539" t="s">
        <v>784</v>
      </c>
      <c r="K122" s="539" t="s">
        <v>785</v>
      </c>
      <c r="L122" s="542">
        <v>409.87</v>
      </c>
      <c r="M122" s="542">
        <v>409.87</v>
      </c>
      <c r="N122" s="539">
        <v>1</v>
      </c>
      <c r="O122" s="543">
        <v>1</v>
      </c>
      <c r="P122" s="542"/>
      <c r="Q122" s="544">
        <v>0</v>
      </c>
      <c r="R122" s="539"/>
      <c r="S122" s="544">
        <v>0</v>
      </c>
      <c r="T122" s="543"/>
      <c r="U122" s="545">
        <v>0</v>
      </c>
    </row>
    <row r="123" spans="1:21" ht="14.4" customHeight="1" x14ac:dyDescent="0.3">
      <c r="A123" s="538">
        <v>29</v>
      </c>
      <c r="B123" s="539" t="s">
        <v>462</v>
      </c>
      <c r="C123" s="539">
        <v>89301292</v>
      </c>
      <c r="D123" s="540" t="s">
        <v>1025</v>
      </c>
      <c r="E123" s="541" t="s">
        <v>609</v>
      </c>
      <c r="F123" s="539" t="s">
        <v>604</v>
      </c>
      <c r="G123" s="539" t="s">
        <v>737</v>
      </c>
      <c r="H123" s="539" t="s">
        <v>463</v>
      </c>
      <c r="I123" s="539" t="s">
        <v>860</v>
      </c>
      <c r="J123" s="539" t="s">
        <v>861</v>
      </c>
      <c r="K123" s="539" t="s">
        <v>862</v>
      </c>
      <c r="L123" s="542">
        <v>58.5</v>
      </c>
      <c r="M123" s="542">
        <v>58.5</v>
      </c>
      <c r="N123" s="539">
        <v>1</v>
      </c>
      <c r="O123" s="543">
        <v>1</v>
      </c>
      <c r="P123" s="542">
        <v>58.5</v>
      </c>
      <c r="Q123" s="544">
        <v>1</v>
      </c>
      <c r="R123" s="539">
        <v>1</v>
      </c>
      <c r="S123" s="544">
        <v>1</v>
      </c>
      <c r="T123" s="543">
        <v>1</v>
      </c>
      <c r="U123" s="545">
        <v>1</v>
      </c>
    </row>
    <row r="124" spans="1:21" ht="14.4" customHeight="1" x14ac:dyDescent="0.3">
      <c r="A124" s="538">
        <v>29</v>
      </c>
      <c r="B124" s="539" t="s">
        <v>462</v>
      </c>
      <c r="C124" s="539">
        <v>89301292</v>
      </c>
      <c r="D124" s="540" t="s">
        <v>1025</v>
      </c>
      <c r="E124" s="541" t="s">
        <v>609</v>
      </c>
      <c r="F124" s="539" t="s">
        <v>604</v>
      </c>
      <c r="G124" s="539" t="s">
        <v>737</v>
      </c>
      <c r="H124" s="539" t="s">
        <v>463</v>
      </c>
      <c r="I124" s="539" t="s">
        <v>863</v>
      </c>
      <c r="J124" s="539" t="s">
        <v>864</v>
      </c>
      <c r="K124" s="539" t="s">
        <v>865</v>
      </c>
      <c r="L124" s="542">
        <v>748.13</v>
      </c>
      <c r="M124" s="542">
        <v>748.13</v>
      </c>
      <c r="N124" s="539">
        <v>1</v>
      </c>
      <c r="O124" s="543">
        <v>1</v>
      </c>
      <c r="P124" s="542"/>
      <c r="Q124" s="544">
        <v>0</v>
      </c>
      <c r="R124" s="539"/>
      <c r="S124" s="544">
        <v>0</v>
      </c>
      <c r="T124" s="543"/>
      <c r="U124" s="545">
        <v>0</v>
      </c>
    </row>
    <row r="125" spans="1:21" ht="14.4" customHeight="1" x14ac:dyDescent="0.3">
      <c r="A125" s="538">
        <v>29</v>
      </c>
      <c r="B125" s="539" t="s">
        <v>462</v>
      </c>
      <c r="C125" s="539">
        <v>89301292</v>
      </c>
      <c r="D125" s="540" t="s">
        <v>1025</v>
      </c>
      <c r="E125" s="541" t="s">
        <v>609</v>
      </c>
      <c r="F125" s="539" t="s">
        <v>604</v>
      </c>
      <c r="G125" s="539" t="s">
        <v>737</v>
      </c>
      <c r="H125" s="539" t="s">
        <v>463</v>
      </c>
      <c r="I125" s="539" t="s">
        <v>866</v>
      </c>
      <c r="J125" s="539" t="s">
        <v>867</v>
      </c>
      <c r="K125" s="539" t="s">
        <v>868</v>
      </c>
      <c r="L125" s="542">
        <v>713.95</v>
      </c>
      <c r="M125" s="542">
        <v>713.95</v>
      </c>
      <c r="N125" s="539">
        <v>1</v>
      </c>
      <c r="O125" s="543">
        <v>1</v>
      </c>
      <c r="P125" s="542"/>
      <c r="Q125" s="544">
        <v>0</v>
      </c>
      <c r="R125" s="539"/>
      <c r="S125" s="544">
        <v>0</v>
      </c>
      <c r="T125" s="543"/>
      <c r="U125" s="545">
        <v>0</v>
      </c>
    </row>
    <row r="126" spans="1:21" ht="14.4" customHeight="1" x14ac:dyDescent="0.3">
      <c r="A126" s="538">
        <v>29</v>
      </c>
      <c r="B126" s="539" t="s">
        <v>462</v>
      </c>
      <c r="C126" s="539">
        <v>89301292</v>
      </c>
      <c r="D126" s="540" t="s">
        <v>1025</v>
      </c>
      <c r="E126" s="541" t="s">
        <v>609</v>
      </c>
      <c r="F126" s="539" t="s">
        <v>604</v>
      </c>
      <c r="G126" s="539" t="s">
        <v>737</v>
      </c>
      <c r="H126" s="539" t="s">
        <v>463</v>
      </c>
      <c r="I126" s="539" t="s">
        <v>869</v>
      </c>
      <c r="J126" s="539" t="s">
        <v>870</v>
      </c>
      <c r="K126" s="539" t="s">
        <v>871</v>
      </c>
      <c r="L126" s="542">
        <v>331.32</v>
      </c>
      <c r="M126" s="542">
        <v>331.32</v>
      </c>
      <c r="N126" s="539">
        <v>1</v>
      </c>
      <c r="O126" s="543">
        <v>1</v>
      </c>
      <c r="P126" s="542"/>
      <c r="Q126" s="544">
        <v>0</v>
      </c>
      <c r="R126" s="539"/>
      <c r="S126" s="544">
        <v>0</v>
      </c>
      <c r="T126" s="543"/>
      <c r="U126" s="545">
        <v>0</v>
      </c>
    </row>
    <row r="127" spans="1:21" ht="14.4" customHeight="1" x14ac:dyDescent="0.3">
      <c r="A127" s="538">
        <v>29</v>
      </c>
      <c r="B127" s="539" t="s">
        <v>462</v>
      </c>
      <c r="C127" s="539">
        <v>89301292</v>
      </c>
      <c r="D127" s="540" t="s">
        <v>1025</v>
      </c>
      <c r="E127" s="541" t="s">
        <v>609</v>
      </c>
      <c r="F127" s="539" t="s">
        <v>604</v>
      </c>
      <c r="G127" s="539" t="s">
        <v>737</v>
      </c>
      <c r="H127" s="539" t="s">
        <v>463</v>
      </c>
      <c r="I127" s="539" t="s">
        <v>872</v>
      </c>
      <c r="J127" s="539" t="s">
        <v>873</v>
      </c>
      <c r="K127" s="539" t="s">
        <v>874</v>
      </c>
      <c r="L127" s="542">
        <v>731.31</v>
      </c>
      <c r="M127" s="542">
        <v>731.31</v>
      </c>
      <c r="N127" s="539">
        <v>1</v>
      </c>
      <c r="O127" s="543">
        <v>1</v>
      </c>
      <c r="P127" s="542"/>
      <c r="Q127" s="544">
        <v>0</v>
      </c>
      <c r="R127" s="539"/>
      <c r="S127" s="544">
        <v>0</v>
      </c>
      <c r="T127" s="543"/>
      <c r="U127" s="545">
        <v>0</v>
      </c>
    </row>
    <row r="128" spans="1:21" ht="14.4" customHeight="1" x14ac:dyDescent="0.3">
      <c r="A128" s="538">
        <v>29</v>
      </c>
      <c r="B128" s="539" t="s">
        <v>462</v>
      </c>
      <c r="C128" s="539">
        <v>89301292</v>
      </c>
      <c r="D128" s="540" t="s">
        <v>1025</v>
      </c>
      <c r="E128" s="541" t="s">
        <v>609</v>
      </c>
      <c r="F128" s="539" t="s">
        <v>604</v>
      </c>
      <c r="G128" s="539" t="s">
        <v>737</v>
      </c>
      <c r="H128" s="539" t="s">
        <v>463</v>
      </c>
      <c r="I128" s="539" t="s">
        <v>875</v>
      </c>
      <c r="J128" s="539" t="s">
        <v>876</v>
      </c>
      <c r="K128" s="539" t="s">
        <v>877</v>
      </c>
      <c r="L128" s="542">
        <v>63</v>
      </c>
      <c r="M128" s="542">
        <v>63</v>
      </c>
      <c r="N128" s="539">
        <v>1</v>
      </c>
      <c r="O128" s="543">
        <v>1</v>
      </c>
      <c r="P128" s="542"/>
      <c r="Q128" s="544">
        <v>0</v>
      </c>
      <c r="R128" s="539"/>
      <c r="S128" s="544">
        <v>0</v>
      </c>
      <c r="T128" s="543"/>
      <c r="U128" s="545">
        <v>0</v>
      </c>
    </row>
    <row r="129" spans="1:21" ht="14.4" customHeight="1" x14ac:dyDescent="0.3">
      <c r="A129" s="538">
        <v>29</v>
      </c>
      <c r="B129" s="539" t="s">
        <v>462</v>
      </c>
      <c r="C129" s="539">
        <v>89301292</v>
      </c>
      <c r="D129" s="540" t="s">
        <v>1025</v>
      </c>
      <c r="E129" s="541" t="s">
        <v>609</v>
      </c>
      <c r="F129" s="539" t="s">
        <v>604</v>
      </c>
      <c r="G129" s="539" t="s">
        <v>737</v>
      </c>
      <c r="H129" s="539" t="s">
        <v>463</v>
      </c>
      <c r="I129" s="539" t="s">
        <v>756</v>
      </c>
      <c r="J129" s="539" t="s">
        <v>757</v>
      </c>
      <c r="K129" s="539" t="s">
        <v>758</v>
      </c>
      <c r="L129" s="542">
        <v>345.18</v>
      </c>
      <c r="M129" s="542">
        <v>345.18</v>
      </c>
      <c r="N129" s="539">
        <v>1</v>
      </c>
      <c r="O129" s="543">
        <v>1</v>
      </c>
      <c r="P129" s="542"/>
      <c r="Q129" s="544">
        <v>0</v>
      </c>
      <c r="R129" s="539"/>
      <c r="S129" s="544">
        <v>0</v>
      </c>
      <c r="T129" s="543"/>
      <c r="U129" s="545">
        <v>0</v>
      </c>
    </row>
    <row r="130" spans="1:21" ht="14.4" customHeight="1" x14ac:dyDescent="0.3">
      <c r="A130" s="538">
        <v>29</v>
      </c>
      <c r="B130" s="539" t="s">
        <v>462</v>
      </c>
      <c r="C130" s="539">
        <v>89301292</v>
      </c>
      <c r="D130" s="540" t="s">
        <v>1025</v>
      </c>
      <c r="E130" s="541" t="s">
        <v>609</v>
      </c>
      <c r="F130" s="539" t="s">
        <v>604</v>
      </c>
      <c r="G130" s="539" t="s">
        <v>737</v>
      </c>
      <c r="H130" s="539" t="s">
        <v>463</v>
      </c>
      <c r="I130" s="539" t="s">
        <v>878</v>
      </c>
      <c r="J130" s="539" t="s">
        <v>879</v>
      </c>
      <c r="K130" s="539" t="s">
        <v>880</v>
      </c>
      <c r="L130" s="542">
        <v>509.64</v>
      </c>
      <c r="M130" s="542">
        <v>1019.28</v>
      </c>
      <c r="N130" s="539">
        <v>2</v>
      </c>
      <c r="O130" s="543">
        <v>2</v>
      </c>
      <c r="P130" s="542">
        <v>509.64</v>
      </c>
      <c r="Q130" s="544">
        <v>0.5</v>
      </c>
      <c r="R130" s="539">
        <v>1</v>
      </c>
      <c r="S130" s="544">
        <v>0.5</v>
      </c>
      <c r="T130" s="543">
        <v>1</v>
      </c>
      <c r="U130" s="545">
        <v>0.5</v>
      </c>
    </row>
    <row r="131" spans="1:21" ht="14.4" customHeight="1" x14ac:dyDescent="0.3">
      <c r="A131" s="538">
        <v>29</v>
      </c>
      <c r="B131" s="539" t="s">
        <v>462</v>
      </c>
      <c r="C131" s="539">
        <v>89301292</v>
      </c>
      <c r="D131" s="540" t="s">
        <v>1025</v>
      </c>
      <c r="E131" s="541" t="s">
        <v>610</v>
      </c>
      <c r="F131" s="539" t="s">
        <v>602</v>
      </c>
      <c r="G131" s="539" t="s">
        <v>614</v>
      </c>
      <c r="H131" s="539" t="s">
        <v>463</v>
      </c>
      <c r="I131" s="539" t="s">
        <v>881</v>
      </c>
      <c r="J131" s="539" t="s">
        <v>882</v>
      </c>
      <c r="K131" s="539" t="s">
        <v>883</v>
      </c>
      <c r="L131" s="542">
        <v>154.36000000000001</v>
      </c>
      <c r="M131" s="542">
        <v>154.36000000000001</v>
      </c>
      <c r="N131" s="539">
        <v>1</v>
      </c>
      <c r="O131" s="543">
        <v>1</v>
      </c>
      <c r="P131" s="542">
        <v>154.36000000000001</v>
      </c>
      <c r="Q131" s="544">
        <v>1</v>
      </c>
      <c r="R131" s="539">
        <v>1</v>
      </c>
      <c r="S131" s="544">
        <v>1</v>
      </c>
      <c r="T131" s="543">
        <v>1</v>
      </c>
      <c r="U131" s="545">
        <v>1</v>
      </c>
    </row>
    <row r="132" spans="1:21" ht="14.4" customHeight="1" x14ac:dyDescent="0.3">
      <c r="A132" s="538">
        <v>29</v>
      </c>
      <c r="B132" s="539" t="s">
        <v>462</v>
      </c>
      <c r="C132" s="539">
        <v>89301292</v>
      </c>
      <c r="D132" s="540" t="s">
        <v>1025</v>
      </c>
      <c r="E132" s="541" t="s">
        <v>610</v>
      </c>
      <c r="F132" s="539" t="s">
        <v>602</v>
      </c>
      <c r="G132" s="539" t="s">
        <v>618</v>
      </c>
      <c r="H132" s="539" t="s">
        <v>463</v>
      </c>
      <c r="I132" s="539" t="s">
        <v>619</v>
      </c>
      <c r="J132" s="539" t="s">
        <v>620</v>
      </c>
      <c r="K132" s="539" t="s">
        <v>621</v>
      </c>
      <c r="L132" s="542">
        <v>0</v>
      </c>
      <c r="M132" s="542">
        <v>0</v>
      </c>
      <c r="N132" s="539">
        <v>1</v>
      </c>
      <c r="O132" s="543">
        <v>1</v>
      </c>
      <c r="P132" s="542">
        <v>0</v>
      </c>
      <c r="Q132" s="544"/>
      <c r="R132" s="539">
        <v>1</v>
      </c>
      <c r="S132" s="544">
        <v>1</v>
      </c>
      <c r="T132" s="543">
        <v>1</v>
      </c>
      <c r="U132" s="545">
        <v>1</v>
      </c>
    </row>
    <row r="133" spans="1:21" ht="14.4" customHeight="1" x14ac:dyDescent="0.3">
      <c r="A133" s="538">
        <v>29</v>
      </c>
      <c r="B133" s="539" t="s">
        <v>462</v>
      </c>
      <c r="C133" s="539">
        <v>89301292</v>
      </c>
      <c r="D133" s="540" t="s">
        <v>1025</v>
      </c>
      <c r="E133" s="541" t="s">
        <v>610</v>
      </c>
      <c r="F133" s="539" t="s">
        <v>602</v>
      </c>
      <c r="G133" s="539" t="s">
        <v>884</v>
      </c>
      <c r="H133" s="539" t="s">
        <v>463</v>
      </c>
      <c r="I133" s="539" t="s">
        <v>885</v>
      </c>
      <c r="J133" s="539" t="s">
        <v>886</v>
      </c>
      <c r="K133" s="539" t="s">
        <v>887</v>
      </c>
      <c r="L133" s="542">
        <v>0</v>
      </c>
      <c r="M133" s="542">
        <v>0</v>
      </c>
      <c r="N133" s="539">
        <v>1</v>
      </c>
      <c r="O133" s="543">
        <v>1</v>
      </c>
      <c r="P133" s="542"/>
      <c r="Q133" s="544"/>
      <c r="R133" s="539"/>
      <c r="S133" s="544">
        <v>0</v>
      </c>
      <c r="T133" s="543"/>
      <c r="U133" s="545">
        <v>0</v>
      </c>
    </row>
    <row r="134" spans="1:21" ht="14.4" customHeight="1" x14ac:dyDescent="0.3">
      <c r="A134" s="538">
        <v>29</v>
      </c>
      <c r="B134" s="539" t="s">
        <v>462</v>
      </c>
      <c r="C134" s="539">
        <v>89301292</v>
      </c>
      <c r="D134" s="540" t="s">
        <v>1025</v>
      </c>
      <c r="E134" s="541" t="s">
        <v>610</v>
      </c>
      <c r="F134" s="539" t="s">
        <v>602</v>
      </c>
      <c r="G134" s="539" t="s">
        <v>888</v>
      </c>
      <c r="H134" s="539" t="s">
        <v>463</v>
      </c>
      <c r="I134" s="539" t="s">
        <v>889</v>
      </c>
      <c r="J134" s="539" t="s">
        <v>890</v>
      </c>
      <c r="K134" s="539" t="s">
        <v>891</v>
      </c>
      <c r="L134" s="542">
        <v>244.64</v>
      </c>
      <c r="M134" s="542">
        <v>244.64</v>
      </c>
      <c r="N134" s="539">
        <v>1</v>
      </c>
      <c r="O134" s="543">
        <v>1</v>
      </c>
      <c r="P134" s="542"/>
      <c r="Q134" s="544">
        <v>0</v>
      </c>
      <c r="R134" s="539"/>
      <c r="S134" s="544">
        <v>0</v>
      </c>
      <c r="T134" s="543"/>
      <c r="U134" s="545">
        <v>0</v>
      </c>
    </row>
    <row r="135" spans="1:21" ht="14.4" customHeight="1" x14ac:dyDescent="0.3">
      <c r="A135" s="538">
        <v>29</v>
      </c>
      <c r="B135" s="539" t="s">
        <v>462</v>
      </c>
      <c r="C135" s="539">
        <v>89301292</v>
      </c>
      <c r="D135" s="540" t="s">
        <v>1025</v>
      </c>
      <c r="E135" s="541" t="s">
        <v>610</v>
      </c>
      <c r="F135" s="539" t="s">
        <v>602</v>
      </c>
      <c r="G135" s="539" t="s">
        <v>888</v>
      </c>
      <c r="H135" s="539" t="s">
        <v>463</v>
      </c>
      <c r="I135" s="539" t="s">
        <v>892</v>
      </c>
      <c r="J135" s="539" t="s">
        <v>890</v>
      </c>
      <c r="K135" s="539" t="s">
        <v>893</v>
      </c>
      <c r="L135" s="542">
        <v>0</v>
      </c>
      <c r="M135" s="542">
        <v>0</v>
      </c>
      <c r="N135" s="539">
        <v>3</v>
      </c>
      <c r="O135" s="543">
        <v>1</v>
      </c>
      <c r="P135" s="542"/>
      <c r="Q135" s="544"/>
      <c r="R135" s="539"/>
      <c r="S135" s="544">
        <v>0</v>
      </c>
      <c r="T135" s="543"/>
      <c r="U135" s="545">
        <v>0</v>
      </c>
    </row>
    <row r="136" spans="1:21" ht="14.4" customHeight="1" x14ac:dyDescent="0.3">
      <c r="A136" s="538">
        <v>29</v>
      </c>
      <c r="B136" s="539" t="s">
        <v>462</v>
      </c>
      <c r="C136" s="539">
        <v>89301292</v>
      </c>
      <c r="D136" s="540" t="s">
        <v>1025</v>
      </c>
      <c r="E136" s="541" t="s">
        <v>610</v>
      </c>
      <c r="F136" s="539" t="s">
        <v>602</v>
      </c>
      <c r="G136" s="539" t="s">
        <v>642</v>
      </c>
      <c r="H136" s="539" t="s">
        <v>463</v>
      </c>
      <c r="I136" s="539" t="s">
        <v>552</v>
      </c>
      <c r="J136" s="539" t="s">
        <v>553</v>
      </c>
      <c r="K136" s="539" t="s">
        <v>643</v>
      </c>
      <c r="L136" s="542">
        <v>36.97</v>
      </c>
      <c r="M136" s="542">
        <v>147.88</v>
      </c>
      <c r="N136" s="539">
        <v>4</v>
      </c>
      <c r="O136" s="543">
        <v>3</v>
      </c>
      <c r="P136" s="542">
        <v>73.94</v>
      </c>
      <c r="Q136" s="544">
        <v>0.5</v>
      </c>
      <c r="R136" s="539">
        <v>2</v>
      </c>
      <c r="S136" s="544">
        <v>0.5</v>
      </c>
      <c r="T136" s="543">
        <v>1</v>
      </c>
      <c r="U136" s="545">
        <v>0.33333333333333331</v>
      </c>
    </row>
    <row r="137" spans="1:21" ht="14.4" customHeight="1" x14ac:dyDescent="0.3">
      <c r="A137" s="538">
        <v>29</v>
      </c>
      <c r="B137" s="539" t="s">
        <v>462</v>
      </c>
      <c r="C137" s="539">
        <v>89301292</v>
      </c>
      <c r="D137" s="540" t="s">
        <v>1025</v>
      </c>
      <c r="E137" s="541" t="s">
        <v>610</v>
      </c>
      <c r="F137" s="539" t="s">
        <v>602</v>
      </c>
      <c r="G137" s="539" t="s">
        <v>894</v>
      </c>
      <c r="H137" s="539" t="s">
        <v>1026</v>
      </c>
      <c r="I137" s="539" t="s">
        <v>895</v>
      </c>
      <c r="J137" s="539" t="s">
        <v>896</v>
      </c>
      <c r="K137" s="539" t="s">
        <v>897</v>
      </c>
      <c r="L137" s="542">
        <v>21.13</v>
      </c>
      <c r="M137" s="542">
        <v>21.13</v>
      </c>
      <c r="N137" s="539">
        <v>1</v>
      </c>
      <c r="O137" s="543">
        <v>1</v>
      </c>
      <c r="P137" s="542">
        <v>21.13</v>
      </c>
      <c r="Q137" s="544">
        <v>1</v>
      </c>
      <c r="R137" s="539">
        <v>1</v>
      </c>
      <c r="S137" s="544">
        <v>1</v>
      </c>
      <c r="T137" s="543">
        <v>1</v>
      </c>
      <c r="U137" s="545">
        <v>1</v>
      </c>
    </row>
    <row r="138" spans="1:21" ht="14.4" customHeight="1" x14ac:dyDescent="0.3">
      <c r="A138" s="538">
        <v>29</v>
      </c>
      <c r="B138" s="539" t="s">
        <v>462</v>
      </c>
      <c r="C138" s="539">
        <v>89301292</v>
      </c>
      <c r="D138" s="540" t="s">
        <v>1025</v>
      </c>
      <c r="E138" s="541" t="s">
        <v>610</v>
      </c>
      <c r="F138" s="539" t="s">
        <v>602</v>
      </c>
      <c r="G138" s="539" t="s">
        <v>673</v>
      </c>
      <c r="H138" s="539" t="s">
        <v>463</v>
      </c>
      <c r="I138" s="539" t="s">
        <v>560</v>
      </c>
      <c r="J138" s="539" t="s">
        <v>561</v>
      </c>
      <c r="K138" s="539" t="s">
        <v>675</v>
      </c>
      <c r="L138" s="542">
        <v>289.27</v>
      </c>
      <c r="M138" s="542">
        <v>289.27</v>
      </c>
      <c r="N138" s="539">
        <v>1</v>
      </c>
      <c r="O138" s="543">
        <v>1</v>
      </c>
      <c r="P138" s="542">
        <v>289.27</v>
      </c>
      <c r="Q138" s="544">
        <v>1</v>
      </c>
      <c r="R138" s="539">
        <v>1</v>
      </c>
      <c r="S138" s="544">
        <v>1</v>
      </c>
      <c r="T138" s="543">
        <v>1</v>
      </c>
      <c r="U138" s="545">
        <v>1</v>
      </c>
    </row>
    <row r="139" spans="1:21" ht="14.4" customHeight="1" x14ac:dyDescent="0.3">
      <c r="A139" s="538">
        <v>29</v>
      </c>
      <c r="B139" s="539" t="s">
        <v>462</v>
      </c>
      <c r="C139" s="539">
        <v>89301292</v>
      </c>
      <c r="D139" s="540" t="s">
        <v>1025</v>
      </c>
      <c r="E139" s="541" t="s">
        <v>610</v>
      </c>
      <c r="F139" s="539" t="s">
        <v>602</v>
      </c>
      <c r="G139" s="539" t="s">
        <v>676</v>
      </c>
      <c r="H139" s="539" t="s">
        <v>463</v>
      </c>
      <c r="I139" s="539" t="s">
        <v>898</v>
      </c>
      <c r="J139" s="539" t="s">
        <v>678</v>
      </c>
      <c r="K139" s="539" t="s">
        <v>899</v>
      </c>
      <c r="L139" s="542">
        <v>25.07</v>
      </c>
      <c r="M139" s="542">
        <v>25.07</v>
      </c>
      <c r="N139" s="539">
        <v>1</v>
      </c>
      <c r="O139" s="543">
        <v>1</v>
      </c>
      <c r="P139" s="542">
        <v>25.07</v>
      </c>
      <c r="Q139" s="544">
        <v>1</v>
      </c>
      <c r="R139" s="539">
        <v>1</v>
      </c>
      <c r="S139" s="544">
        <v>1</v>
      </c>
      <c r="T139" s="543">
        <v>1</v>
      </c>
      <c r="U139" s="545">
        <v>1</v>
      </c>
    </row>
    <row r="140" spans="1:21" ht="14.4" customHeight="1" x14ac:dyDescent="0.3">
      <c r="A140" s="538">
        <v>29</v>
      </c>
      <c r="B140" s="539" t="s">
        <v>462</v>
      </c>
      <c r="C140" s="539">
        <v>89301292</v>
      </c>
      <c r="D140" s="540" t="s">
        <v>1025</v>
      </c>
      <c r="E140" s="541" t="s">
        <v>610</v>
      </c>
      <c r="F140" s="539" t="s">
        <v>602</v>
      </c>
      <c r="G140" s="539" t="s">
        <v>676</v>
      </c>
      <c r="H140" s="539" t="s">
        <v>463</v>
      </c>
      <c r="I140" s="539" t="s">
        <v>900</v>
      </c>
      <c r="J140" s="539" t="s">
        <v>678</v>
      </c>
      <c r="K140" s="539" t="s">
        <v>681</v>
      </c>
      <c r="L140" s="542">
        <v>75.22</v>
      </c>
      <c r="M140" s="542">
        <v>75.22</v>
      </c>
      <c r="N140" s="539">
        <v>1</v>
      </c>
      <c r="O140" s="543">
        <v>1</v>
      </c>
      <c r="P140" s="542">
        <v>75.22</v>
      </c>
      <c r="Q140" s="544">
        <v>1</v>
      </c>
      <c r="R140" s="539">
        <v>1</v>
      </c>
      <c r="S140" s="544">
        <v>1</v>
      </c>
      <c r="T140" s="543">
        <v>1</v>
      </c>
      <c r="U140" s="545">
        <v>1</v>
      </c>
    </row>
    <row r="141" spans="1:21" ht="14.4" customHeight="1" x14ac:dyDescent="0.3">
      <c r="A141" s="538">
        <v>29</v>
      </c>
      <c r="B141" s="539" t="s">
        <v>462</v>
      </c>
      <c r="C141" s="539">
        <v>89301292</v>
      </c>
      <c r="D141" s="540" t="s">
        <v>1025</v>
      </c>
      <c r="E141" s="541" t="s">
        <v>610</v>
      </c>
      <c r="F141" s="539" t="s">
        <v>604</v>
      </c>
      <c r="G141" s="539" t="s">
        <v>686</v>
      </c>
      <c r="H141" s="539" t="s">
        <v>463</v>
      </c>
      <c r="I141" s="539" t="s">
        <v>690</v>
      </c>
      <c r="J141" s="539" t="s">
        <v>688</v>
      </c>
      <c r="K141" s="539" t="s">
        <v>691</v>
      </c>
      <c r="L141" s="542">
        <v>175.15</v>
      </c>
      <c r="M141" s="542">
        <v>700.6</v>
      </c>
      <c r="N141" s="539">
        <v>4</v>
      </c>
      <c r="O141" s="543">
        <v>2</v>
      </c>
      <c r="P141" s="542">
        <v>700.6</v>
      </c>
      <c r="Q141" s="544">
        <v>1</v>
      </c>
      <c r="R141" s="539">
        <v>4</v>
      </c>
      <c r="S141" s="544">
        <v>1</v>
      </c>
      <c r="T141" s="543">
        <v>2</v>
      </c>
      <c r="U141" s="545">
        <v>1</v>
      </c>
    </row>
    <row r="142" spans="1:21" ht="14.4" customHeight="1" x14ac:dyDescent="0.3">
      <c r="A142" s="538">
        <v>29</v>
      </c>
      <c r="B142" s="539" t="s">
        <v>462</v>
      </c>
      <c r="C142" s="539">
        <v>89301292</v>
      </c>
      <c r="D142" s="540" t="s">
        <v>1025</v>
      </c>
      <c r="E142" s="541" t="s">
        <v>610</v>
      </c>
      <c r="F142" s="539" t="s">
        <v>604</v>
      </c>
      <c r="G142" s="539" t="s">
        <v>686</v>
      </c>
      <c r="H142" s="539" t="s">
        <v>463</v>
      </c>
      <c r="I142" s="539" t="s">
        <v>692</v>
      </c>
      <c r="J142" s="539" t="s">
        <v>688</v>
      </c>
      <c r="K142" s="539" t="s">
        <v>693</v>
      </c>
      <c r="L142" s="542">
        <v>200</v>
      </c>
      <c r="M142" s="542">
        <v>3400</v>
      </c>
      <c r="N142" s="539">
        <v>17</v>
      </c>
      <c r="O142" s="543">
        <v>7</v>
      </c>
      <c r="P142" s="542">
        <v>1800</v>
      </c>
      <c r="Q142" s="544">
        <v>0.52941176470588236</v>
      </c>
      <c r="R142" s="539">
        <v>9</v>
      </c>
      <c r="S142" s="544">
        <v>0.52941176470588236</v>
      </c>
      <c r="T142" s="543">
        <v>4</v>
      </c>
      <c r="U142" s="545">
        <v>0.5714285714285714</v>
      </c>
    </row>
    <row r="143" spans="1:21" ht="14.4" customHeight="1" x14ac:dyDescent="0.3">
      <c r="A143" s="538">
        <v>29</v>
      </c>
      <c r="B143" s="539" t="s">
        <v>462</v>
      </c>
      <c r="C143" s="539">
        <v>89301292</v>
      </c>
      <c r="D143" s="540" t="s">
        <v>1025</v>
      </c>
      <c r="E143" s="541" t="s">
        <v>610</v>
      </c>
      <c r="F143" s="539" t="s">
        <v>604</v>
      </c>
      <c r="G143" s="539" t="s">
        <v>727</v>
      </c>
      <c r="H143" s="539" t="s">
        <v>463</v>
      </c>
      <c r="I143" s="539" t="s">
        <v>728</v>
      </c>
      <c r="J143" s="539" t="s">
        <v>729</v>
      </c>
      <c r="K143" s="539" t="s">
        <v>730</v>
      </c>
      <c r="L143" s="542">
        <v>410</v>
      </c>
      <c r="M143" s="542">
        <v>1640</v>
      </c>
      <c r="N143" s="539">
        <v>4</v>
      </c>
      <c r="O143" s="543">
        <v>4</v>
      </c>
      <c r="P143" s="542">
        <v>1640</v>
      </c>
      <c r="Q143" s="544">
        <v>1</v>
      </c>
      <c r="R143" s="539">
        <v>4</v>
      </c>
      <c r="S143" s="544">
        <v>1</v>
      </c>
      <c r="T143" s="543">
        <v>4</v>
      </c>
      <c r="U143" s="545">
        <v>1</v>
      </c>
    </row>
    <row r="144" spans="1:21" ht="14.4" customHeight="1" x14ac:dyDescent="0.3">
      <c r="A144" s="538">
        <v>29</v>
      </c>
      <c r="B144" s="539" t="s">
        <v>462</v>
      </c>
      <c r="C144" s="539">
        <v>89301292</v>
      </c>
      <c r="D144" s="540" t="s">
        <v>1025</v>
      </c>
      <c r="E144" s="541" t="s">
        <v>610</v>
      </c>
      <c r="F144" s="539" t="s">
        <v>604</v>
      </c>
      <c r="G144" s="539" t="s">
        <v>737</v>
      </c>
      <c r="H144" s="539" t="s">
        <v>463</v>
      </c>
      <c r="I144" s="539" t="s">
        <v>901</v>
      </c>
      <c r="J144" s="539" t="s">
        <v>902</v>
      </c>
      <c r="K144" s="539" t="s">
        <v>903</v>
      </c>
      <c r="L144" s="542">
        <v>378.48</v>
      </c>
      <c r="M144" s="542">
        <v>756.96</v>
      </c>
      <c r="N144" s="539">
        <v>2</v>
      </c>
      <c r="O144" s="543">
        <v>2</v>
      </c>
      <c r="P144" s="542">
        <v>756.96</v>
      </c>
      <c r="Q144" s="544">
        <v>1</v>
      </c>
      <c r="R144" s="539">
        <v>2</v>
      </c>
      <c r="S144" s="544">
        <v>1</v>
      </c>
      <c r="T144" s="543">
        <v>2</v>
      </c>
      <c r="U144" s="545">
        <v>1</v>
      </c>
    </row>
    <row r="145" spans="1:21" ht="14.4" customHeight="1" x14ac:dyDescent="0.3">
      <c r="A145" s="538">
        <v>29</v>
      </c>
      <c r="B145" s="539" t="s">
        <v>462</v>
      </c>
      <c r="C145" s="539">
        <v>89301292</v>
      </c>
      <c r="D145" s="540" t="s">
        <v>1025</v>
      </c>
      <c r="E145" s="541" t="s">
        <v>611</v>
      </c>
      <c r="F145" s="539" t="s">
        <v>602</v>
      </c>
      <c r="G145" s="539" t="s">
        <v>618</v>
      </c>
      <c r="H145" s="539" t="s">
        <v>463</v>
      </c>
      <c r="I145" s="539" t="s">
        <v>619</v>
      </c>
      <c r="J145" s="539" t="s">
        <v>620</v>
      </c>
      <c r="K145" s="539" t="s">
        <v>621</v>
      </c>
      <c r="L145" s="542">
        <v>0</v>
      </c>
      <c r="M145" s="542">
        <v>0</v>
      </c>
      <c r="N145" s="539">
        <v>4</v>
      </c>
      <c r="O145" s="543">
        <v>4</v>
      </c>
      <c r="P145" s="542">
        <v>0</v>
      </c>
      <c r="Q145" s="544"/>
      <c r="R145" s="539">
        <v>4</v>
      </c>
      <c r="S145" s="544">
        <v>1</v>
      </c>
      <c r="T145" s="543">
        <v>4</v>
      </c>
      <c r="U145" s="545">
        <v>1</v>
      </c>
    </row>
    <row r="146" spans="1:21" ht="14.4" customHeight="1" x14ac:dyDescent="0.3">
      <c r="A146" s="538">
        <v>29</v>
      </c>
      <c r="B146" s="539" t="s">
        <v>462</v>
      </c>
      <c r="C146" s="539">
        <v>89301292</v>
      </c>
      <c r="D146" s="540" t="s">
        <v>1025</v>
      </c>
      <c r="E146" s="541" t="s">
        <v>611</v>
      </c>
      <c r="F146" s="539" t="s">
        <v>602</v>
      </c>
      <c r="G146" s="539" t="s">
        <v>763</v>
      </c>
      <c r="H146" s="539" t="s">
        <v>463</v>
      </c>
      <c r="I146" s="539" t="s">
        <v>764</v>
      </c>
      <c r="J146" s="539" t="s">
        <v>765</v>
      </c>
      <c r="K146" s="539" t="s">
        <v>766</v>
      </c>
      <c r="L146" s="542">
        <v>170.52</v>
      </c>
      <c r="M146" s="542">
        <v>341.04</v>
      </c>
      <c r="N146" s="539">
        <v>2</v>
      </c>
      <c r="O146" s="543">
        <v>2</v>
      </c>
      <c r="P146" s="542">
        <v>170.52</v>
      </c>
      <c r="Q146" s="544">
        <v>0.5</v>
      </c>
      <c r="R146" s="539">
        <v>1</v>
      </c>
      <c r="S146" s="544">
        <v>0.5</v>
      </c>
      <c r="T146" s="543">
        <v>1</v>
      </c>
      <c r="U146" s="545">
        <v>0.5</v>
      </c>
    </row>
    <row r="147" spans="1:21" ht="14.4" customHeight="1" x14ac:dyDescent="0.3">
      <c r="A147" s="538">
        <v>29</v>
      </c>
      <c r="B147" s="539" t="s">
        <v>462</v>
      </c>
      <c r="C147" s="539">
        <v>89301292</v>
      </c>
      <c r="D147" s="540" t="s">
        <v>1025</v>
      </c>
      <c r="E147" s="541" t="s">
        <v>611</v>
      </c>
      <c r="F147" s="539" t="s">
        <v>602</v>
      </c>
      <c r="G147" s="539" t="s">
        <v>816</v>
      </c>
      <c r="H147" s="539" t="s">
        <v>463</v>
      </c>
      <c r="I147" s="539" t="s">
        <v>817</v>
      </c>
      <c r="J147" s="539" t="s">
        <v>818</v>
      </c>
      <c r="K147" s="539" t="s">
        <v>766</v>
      </c>
      <c r="L147" s="542">
        <v>78.33</v>
      </c>
      <c r="M147" s="542">
        <v>156.66</v>
      </c>
      <c r="N147" s="539">
        <v>2</v>
      </c>
      <c r="O147" s="543">
        <v>0.5</v>
      </c>
      <c r="P147" s="542"/>
      <c r="Q147" s="544">
        <v>0</v>
      </c>
      <c r="R147" s="539"/>
      <c r="S147" s="544">
        <v>0</v>
      </c>
      <c r="T147" s="543"/>
      <c r="U147" s="545">
        <v>0</v>
      </c>
    </row>
    <row r="148" spans="1:21" ht="14.4" customHeight="1" x14ac:dyDescent="0.3">
      <c r="A148" s="538">
        <v>29</v>
      </c>
      <c r="B148" s="539" t="s">
        <v>462</v>
      </c>
      <c r="C148" s="539">
        <v>89301292</v>
      </c>
      <c r="D148" s="540" t="s">
        <v>1025</v>
      </c>
      <c r="E148" s="541" t="s">
        <v>611</v>
      </c>
      <c r="F148" s="539" t="s">
        <v>602</v>
      </c>
      <c r="G148" s="539" t="s">
        <v>622</v>
      </c>
      <c r="H148" s="539" t="s">
        <v>463</v>
      </c>
      <c r="I148" s="539" t="s">
        <v>623</v>
      </c>
      <c r="J148" s="539" t="s">
        <v>624</v>
      </c>
      <c r="K148" s="539" t="s">
        <v>625</v>
      </c>
      <c r="L148" s="542">
        <v>156.77000000000001</v>
      </c>
      <c r="M148" s="542">
        <v>313.54000000000002</v>
      </c>
      <c r="N148" s="539">
        <v>2</v>
      </c>
      <c r="O148" s="543">
        <v>1</v>
      </c>
      <c r="P148" s="542">
        <v>313.54000000000002</v>
      </c>
      <c r="Q148" s="544">
        <v>1</v>
      </c>
      <c r="R148" s="539">
        <v>2</v>
      </c>
      <c r="S148" s="544">
        <v>1</v>
      </c>
      <c r="T148" s="543">
        <v>1</v>
      </c>
      <c r="U148" s="545">
        <v>1</v>
      </c>
    </row>
    <row r="149" spans="1:21" ht="14.4" customHeight="1" x14ac:dyDescent="0.3">
      <c r="A149" s="538">
        <v>29</v>
      </c>
      <c r="B149" s="539" t="s">
        <v>462</v>
      </c>
      <c r="C149" s="539">
        <v>89301292</v>
      </c>
      <c r="D149" s="540" t="s">
        <v>1025</v>
      </c>
      <c r="E149" s="541" t="s">
        <v>611</v>
      </c>
      <c r="F149" s="539" t="s">
        <v>602</v>
      </c>
      <c r="G149" s="539" t="s">
        <v>629</v>
      </c>
      <c r="H149" s="539" t="s">
        <v>463</v>
      </c>
      <c r="I149" s="539" t="s">
        <v>548</v>
      </c>
      <c r="J149" s="539" t="s">
        <v>549</v>
      </c>
      <c r="K149" s="539" t="s">
        <v>630</v>
      </c>
      <c r="L149" s="542">
        <v>48.09</v>
      </c>
      <c r="M149" s="542">
        <v>48.09</v>
      </c>
      <c r="N149" s="539">
        <v>1</v>
      </c>
      <c r="O149" s="543">
        <v>1</v>
      </c>
      <c r="P149" s="542"/>
      <c r="Q149" s="544">
        <v>0</v>
      </c>
      <c r="R149" s="539"/>
      <c r="S149" s="544">
        <v>0</v>
      </c>
      <c r="T149" s="543"/>
      <c r="U149" s="545">
        <v>0</v>
      </c>
    </row>
    <row r="150" spans="1:21" ht="14.4" customHeight="1" x14ac:dyDescent="0.3">
      <c r="A150" s="538">
        <v>29</v>
      </c>
      <c r="B150" s="539" t="s">
        <v>462</v>
      </c>
      <c r="C150" s="539">
        <v>89301292</v>
      </c>
      <c r="D150" s="540" t="s">
        <v>1025</v>
      </c>
      <c r="E150" s="541" t="s">
        <v>611</v>
      </c>
      <c r="F150" s="539" t="s">
        <v>602</v>
      </c>
      <c r="G150" s="539" t="s">
        <v>635</v>
      </c>
      <c r="H150" s="539" t="s">
        <v>463</v>
      </c>
      <c r="I150" s="539" t="s">
        <v>904</v>
      </c>
      <c r="J150" s="539" t="s">
        <v>503</v>
      </c>
      <c r="K150" s="539" t="s">
        <v>504</v>
      </c>
      <c r="L150" s="542">
        <v>0</v>
      </c>
      <c r="M150" s="542">
        <v>0</v>
      </c>
      <c r="N150" s="539">
        <v>1</v>
      </c>
      <c r="O150" s="543">
        <v>1</v>
      </c>
      <c r="P150" s="542">
        <v>0</v>
      </c>
      <c r="Q150" s="544"/>
      <c r="R150" s="539">
        <v>1</v>
      </c>
      <c r="S150" s="544">
        <v>1</v>
      </c>
      <c r="T150" s="543">
        <v>1</v>
      </c>
      <c r="U150" s="545">
        <v>1</v>
      </c>
    </row>
    <row r="151" spans="1:21" ht="14.4" customHeight="1" x14ac:dyDescent="0.3">
      <c r="A151" s="538">
        <v>29</v>
      </c>
      <c r="B151" s="539" t="s">
        <v>462</v>
      </c>
      <c r="C151" s="539">
        <v>89301292</v>
      </c>
      <c r="D151" s="540" t="s">
        <v>1025</v>
      </c>
      <c r="E151" s="541" t="s">
        <v>611</v>
      </c>
      <c r="F151" s="539" t="s">
        <v>602</v>
      </c>
      <c r="G151" s="539" t="s">
        <v>642</v>
      </c>
      <c r="H151" s="539" t="s">
        <v>463</v>
      </c>
      <c r="I151" s="539" t="s">
        <v>552</v>
      </c>
      <c r="J151" s="539" t="s">
        <v>553</v>
      </c>
      <c r="K151" s="539" t="s">
        <v>643</v>
      </c>
      <c r="L151" s="542">
        <v>36.97</v>
      </c>
      <c r="M151" s="542">
        <v>147.88</v>
      </c>
      <c r="N151" s="539">
        <v>4</v>
      </c>
      <c r="O151" s="543">
        <v>3</v>
      </c>
      <c r="P151" s="542">
        <v>36.97</v>
      </c>
      <c r="Q151" s="544">
        <v>0.25</v>
      </c>
      <c r="R151" s="539">
        <v>1</v>
      </c>
      <c r="S151" s="544">
        <v>0.25</v>
      </c>
      <c r="T151" s="543">
        <v>1</v>
      </c>
      <c r="U151" s="545">
        <v>0.33333333333333331</v>
      </c>
    </row>
    <row r="152" spans="1:21" ht="14.4" customHeight="1" x14ac:dyDescent="0.3">
      <c r="A152" s="538">
        <v>29</v>
      </c>
      <c r="B152" s="539" t="s">
        <v>462</v>
      </c>
      <c r="C152" s="539">
        <v>89301292</v>
      </c>
      <c r="D152" s="540" t="s">
        <v>1025</v>
      </c>
      <c r="E152" s="541" t="s">
        <v>611</v>
      </c>
      <c r="F152" s="539" t="s">
        <v>602</v>
      </c>
      <c r="G152" s="539" t="s">
        <v>905</v>
      </c>
      <c r="H152" s="539" t="s">
        <v>463</v>
      </c>
      <c r="I152" s="539" t="s">
        <v>906</v>
      </c>
      <c r="J152" s="539" t="s">
        <v>907</v>
      </c>
      <c r="K152" s="539" t="s">
        <v>908</v>
      </c>
      <c r="L152" s="542">
        <v>0</v>
      </c>
      <c r="M152" s="542">
        <v>0</v>
      </c>
      <c r="N152" s="539">
        <v>1</v>
      </c>
      <c r="O152" s="543">
        <v>1</v>
      </c>
      <c r="P152" s="542"/>
      <c r="Q152" s="544"/>
      <c r="R152" s="539"/>
      <c r="S152" s="544">
        <v>0</v>
      </c>
      <c r="T152" s="543"/>
      <c r="U152" s="545">
        <v>0</v>
      </c>
    </row>
    <row r="153" spans="1:21" ht="14.4" customHeight="1" x14ac:dyDescent="0.3">
      <c r="A153" s="538">
        <v>29</v>
      </c>
      <c r="B153" s="539" t="s">
        <v>462</v>
      </c>
      <c r="C153" s="539">
        <v>89301292</v>
      </c>
      <c r="D153" s="540" t="s">
        <v>1025</v>
      </c>
      <c r="E153" s="541" t="s">
        <v>611</v>
      </c>
      <c r="F153" s="539" t="s">
        <v>602</v>
      </c>
      <c r="G153" s="539" t="s">
        <v>909</v>
      </c>
      <c r="H153" s="539" t="s">
        <v>463</v>
      </c>
      <c r="I153" s="539" t="s">
        <v>910</v>
      </c>
      <c r="J153" s="539" t="s">
        <v>911</v>
      </c>
      <c r="K153" s="539" t="s">
        <v>912</v>
      </c>
      <c r="L153" s="542">
        <v>0</v>
      </c>
      <c r="M153" s="542">
        <v>0</v>
      </c>
      <c r="N153" s="539">
        <v>1</v>
      </c>
      <c r="O153" s="543">
        <v>0.5</v>
      </c>
      <c r="P153" s="542"/>
      <c r="Q153" s="544"/>
      <c r="R153" s="539"/>
      <c r="S153" s="544">
        <v>0</v>
      </c>
      <c r="T153" s="543"/>
      <c r="U153" s="545">
        <v>0</v>
      </c>
    </row>
    <row r="154" spans="1:21" ht="14.4" customHeight="1" x14ac:dyDescent="0.3">
      <c r="A154" s="538">
        <v>29</v>
      </c>
      <c r="B154" s="539" t="s">
        <v>462</v>
      </c>
      <c r="C154" s="539">
        <v>89301292</v>
      </c>
      <c r="D154" s="540" t="s">
        <v>1025</v>
      </c>
      <c r="E154" s="541" t="s">
        <v>611</v>
      </c>
      <c r="F154" s="539" t="s">
        <v>602</v>
      </c>
      <c r="G154" s="539" t="s">
        <v>913</v>
      </c>
      <c r="H154" s="539" t="s">
        <v>1026</v>
      </c>
      <c r="I154" s="539" t="s">
        <v>914</v>
      </c>
      <c r="J154" s="539" t="s">
        <v>915</v>
      </c>
      <c r="K154" s="539" t="s">
        <v>916</v>
      </c>
      <c r="L154" s="542">
        <v>291.82</v>
      </c>
      <c r="M154" s="542">
        <v>291.82</v>
      </c>
      <c r="N154" s="539">
        <v>1</v>
      </c>
      <c r="O154" s="543">
        <v>1</v>
      </c>
      <c r="P154" s="542"/>
      <c r="Q154" s="544">
        <v>0</v>
      </c>
      <c r="R154" s="539"/>
      <c r="S154" s="544">
        <v>0</v>
      </c>
      <c r="T154" s="543"/>
      <c r="U154" s="545">
        <v>0</v>
      </c>
    </row>
    <row r="155" spans="1:21" ht="14.4" customHeight="1" x14ac:dyDescent="0.3">
      <c r="A155" s="538">
        <v>29</v>
      </c>
      <c r="B155" s="539" t="s">
        <v>462</v>
      </c>
      <c r="C155" s="539">
        <v>89301292</v>
      </c>
      <c r="D155" s="540" t="s">
        <v>1025</v>
      </c>
      <c r="E155" s="541" t="s">
        <v>611</v>
      </c>
      <c r="F155" s="539" t="s">
        <v>602</v>
      </c>
      <c r="G155" s="539" t="s">
        <v>917</v>
      </c>
      <c r="H155" s="539" t="s">
        <v>463</v>
      </c>
      <c r="I155" s="539" t="s">
        <v>918</v>
      </c>
      <c r="J155" s="539" t="s">
        <v>919</v>
      </c>
      <c r="K155" s="539" t="s">
        <v>920</v>
      </c>
      <c r="L155" s="542">
        <v>24.78</v>
      </c>
      <c r="M155" s="542">
        <v>24.78</v>
      </c>
      <c r="N155" s="539">
        <v>1</v>
      </c>
      <c r="O155" s="543">
        <v>1</v>
      </c>
      <c r="P155" s="542">
        <v>24.78</v>
      </c>
      <c r="Q155" s="544">
        <v>1</v>
      </c>
      <c r="R155" s="539">
        <v>1</v>
      </c>
      <c r="S155" s="544">
        <v>1</v>
      </c>
      <c r="T155" s="543">
        <v>1</v>
      </c>
      <c r="U155" s="545">
        <v>1</v>
      </c>
    </row>
    <row r="156" spans="1:21" ht="14.4" customHeight="1" x14ac:dyDescent="0.3">
      <c r="A156" s="538">
        <v>29</v>
      </c>
      <c r="B156" s="539" t="s">
        <v>462</v>
      </c>
      <c r="C156" s="539">
        <v>89301292</v>
      </c>
      <c r="D156" s="540" t="s">
        <v>1025</v>
      </c>
      <c r="E156" s="541" t="s">
        <v>611</v>
      </c>
      <c r="F156" s="539" t="s">
        <v>602</v>
      </c>
      <c r="G156" s="539" t="s">
        <v>921</v>
      </c>
      <c r="H156" s="539" t="s">
        <v>463</v>
      </c>
      <c r="I156" s="539" t="s">
        <v>922</v>
      </c>
      <c r="J156" s="539" t="s">
        <v>923</v>
      </c>
      <c r="K156" s="539" t="s">
        <v>924</v>
      </c>
      <c r="L156" s="542">
        <v>22.44</v>
      </c>
      <c r="M156" s="542">
        <v>22.44</v>
      </c>
      <c r="N156" s="539">
        <v>1</v>
      </c>
      <c r="O156" s="543">
        <v>1</v>
      </c>
      <c r="P156" s="542">
        <v>22.44</v>
      </c>
      <c r="Q156" s="544">
        <v>1</v>
      </c>
      <c r="R156" s="539">
        <v>1</v>
      </c>
      <c r="S156" s="544">
        <v>1</v>
      </c>
      <c r="T156" s="543">
        <v>1</v>
      </c>
      <c r="U156" s="545">
        <v>1</v>
      </c>
    </row>
    <row r="157" spans="1:21" ht="14.4" customHeight="1" x14ac:dyDescent="0.3">
      <c r="A157" s="538">
        <v>29</v>
      </c>
      <c r="B157" s="539" t="s">
        <v>462</v>
      </c>
      <c r="C157" s="539">
        <v>89301292</v>
      </c>
      <c r="D157" s="540" t="s">
        <v>1025</v>
      </c>
      <c r="E157" s="541" t="s">
        <v>611</v>
      </c>
      <c r="F157" s="539" t="s">
        <v>602</v>
      </c>
      <c r="G157" s="539" t="s">
        <v>676</v>
      </c>
      <c r="H157" s="539" t="s">
        <v>463</v>
      </c>
      <c r="I157" s="539" t="s">
        <v>680</v>
      </c>
      <c r="J157" s="539" t="s">
        <v>678</v>
      </c>
      <c r="K157" s="539" t="s">
        <v>681</v>
      </c>
      <c r="L157" s="542">
        <v>75.22</v>
      </c>
      <c r="M157" s="542">
        <v>75.22</v>
      </c>
      <c r="N157" s="539">
        <v>1</v>
      </c>
      <c r="O157" s="543">
        <v>1</v>
      </c>
      <c r="P157" s="542"/>
      <c r="Q157" s="544">
        <v>0</v>
      </c>
      <c r="R157" s="539"/>
      <c r="S157" s="544">
        <v>0</v>
      </c>
      <c r="T157" s="543"/>
      <c r="U157" s="545">
        <v>0</v>
      </c>
    </row>
    <row r="158" spans="1:21" ht="14.4" customHeight="1" x14ac:dyDescent="0.3">
      <c r="A158" s="538">
        <v>29</v>
      </c>
      <c r="B158" s="539" t="s">
        <v>462</v>
      </c>
      <c r="C158" s="539">
        <v>89301292</v>
      </c>
      <c r="D158" s="540" t="s">
        <v>1025</v>
      </c>
      <c r="E158" s="541" t="s">
        <v>611</v>
      </c>
      <c r="F158" s="539" t="s">
        <v>603</v>
      </c>
      <c r="G158" s="539" t="s">
        <v>626</v>
      </c>
      <c r="H158" s="539" t="s">
        <v>463</v>
      </c>
      <c r="I158" s="539" t="s">
        <v>925</v>
      </c>
      <c r="J158" s="539" t="s">
        <v>628</v>
      </c>
      <c r="K158" s="539"/>
      <c r="L158" s="542">
        <v>0</v>
      </c>
      <c r="M158" s="542">
        <v>0</v>
      </c>
      <c r="N158" s="539">
        <v>1</v>
      </c>
      <c r="O158" s="543">
        <v>1</v>
      </c>
      <c r="P158" s="542"/>
      <c r="Q158" s="544"/>
      <c r="R158" s="539"/>
      <c r="S158" s="544">
        <v>0</v>
      </c>
      <c r="T158" s="543"/>
      <c r="U158" s="545">
        <v>0</v>
      </c>
    </row>
    <row r="159" spans="1:21" ht="14.4" customHeight="1" x14ac:dyDescent="0.3">
      <c r="A159" s="538">
        <v>29</v>
      </c>
      <c r="B159" s="539" t="s">
        <v>462</v>
      </c>
      <c r="C159" s="539">
        <v>89301292</v>
      </c>
      <c r="D159" s="540" t="s">
        <v>1025</v>
      </c>
      <c r="E159" s="541" t="s">
        <v>611</v>
      </c>
      <c r="F159" s="539" t="s">
        <v>604</v>
      </c>
      <c r="G159" s="539" t="s">
        <v>926</v>
      </c>
      <c r="H159" s="539" t="s">
        <v>463</v>
      </c>
      <c r="I159" s="539" t="s">
        <v>927</v>
      </c>
      <c r="J159" s="539" t="s">
        <v>928</v>
      </c>
      <c r="K159" s="539" t="s">
        <v>929</v>
      </c>
      <c r="L159" s="542">
        <v>75</v>
      </c>
      <c r="M159" s="542">
        <v>75</v>
      </c>
      <c r="N159" s="539">
        <v>1</v>
      </c>
      <c r="O159" s="543">
        <v>1</v>
      </c>
      <c r="P159" s="542"/>
      <c r="Q159" s="544">
        <v>0</v>
      </c>
      <c r="R159" s="539"/>
      <c r="S159" s="544">
        <v>0</v>
      </c>
      <c r="T159" s="543"/>
      <c r="U159" s="545">
        <v>0</v>
      </c>
    </row>
    <row r="160" spans="1:21" ht="14.4" customHeight="1" x14ac:dyDescent="0.3">
      <c r="A160" s="538">
        <v>29</v>
      </c>
      <c r="B160" s="539" t="s">
        <v>462</v>
      </c>
      <c r="C160" s="539">
        <v>89301292</v>
      </c>
      <c r="D160" s="540" t="s">
        <v>1025</v>
      </c>
      <c r="E160" s="541" t="s">
        <v>611</v>
      </c>
      <c r="F160" s="539" t="s">
        <v>604</v>
      </c>
      <c r="G160" s="539" t="s">
        <v>926</v>
      </c>
      <c r="H160" s="539" t="s">
        <v>463</v>
      </c>
      <c r="I160" s="539" t="s">
        <v>930</v>
      </c>
      <c r="J160" s="539" t="s">
        <v>931</v>
      </c>
      <c r="K160" s="539" t="s">
        <v>932</v>
      </c>
      <c r="L160" s="542">
        <v>63.6</v>
      </c>
      <c r="M160" s="542">
        <v>127.2</v>
      </c>
      <c r="N160" s="539">
        <v>2</v>
      </c>
      <c r="O160" s="543">
        <v>2</v>
      </c>
      <c r="P160" s="542"/>
      <c r="Q160" s="544">
        <v>0</v>
      </c>
      <c r="R160" s="539"/>
      <c r="S160" s="544">
        <v>0</v>
      </c>
      <c r="T160" s="543"/>
      <c r="U160" s="545">
        <v>0</v>
      </c>
    </row>
    <row r="161" spans="1:21" ht="14.4" customHeight="1" x14ac:dyDescent="0.3">
      <c r="A161" s="538">
        <v>29</v>
      </c>
      <c r="B161" s="539" t="s">
        <v>462</v>
      </c>
      <c r="C161" s="539">
        <v>89301292</v>
      </c>
      <c r="D161" s="540" t="s">
        <v>1025</v>
      </c>
      <c r="E161" s="541" t="s">
        <v>611</v>
      </c>
      <c r="F161" s="539" t="s">
        <v>604</v>
      </c>
      <c r="G161" s="539" t="s">
        <v>926</v>
      </c>
      <c r="H161" s="539" t="s">
        <v>463</v>
      </c>
      <c r="I161" s="539" t="s">
        <v>933</v>
      </c>
      <c r="J161" s="539" t="s">
        <v>934</v>
      </c>
      <c r="K161" s="539" t="s">
        <v>935</v>
      </c>
      <c r="L161" s="542">
        <v>63.6</v>
      </c>
      <c r="M161" s="542">
        <v>63.6</v>
      </c>
      <c r="N161" s="539">
        <v>1</v>
      </c>
      <c r="O161" s="543">
        <v>1</v>
      </c>
      <c r="P161" s="542"/>
      <c r="Q161" s="544">
        <v>0</v>
      </c>
      <c r="R161" s="539"/>
      <c r="S161" s="544">
        <v>0</v>
      </c>
      <c r="T161" s="543"/>
      <c r="U161" s="545">
        <v>0</v>
      </c>
    </row>
    <row r="162" spans="1:21" ht="14.4" customHeight="1" x14ac:dyDescent="0.3">
      <c r="A162" s="538">
        <v>29</v>
      </c>
      <c r="B162" s="539" t="s">
        <v>462</v>
      </c>
      <c r="C162" s="539">
        <v>89301292</v>
      </c>
      <c r="D162" s="540" t="s">
        <v>1025</v>
      </c>
      <c r="E162" s="541" t="s">
        <v>611</v>
      </c>
      <c r="F162" s="539" t="s">
        <v>604</v>
      </c>
      <c r="G162" s="539" t="s">
        <v>686</v>
      </c>
      <c r="H162" s="539" t="s">
        <v>463</v>
      </c>
      <c r="I162" s="539" t="s">
        <v>687</v>
      </c>
      <c r="J162" s="539" t="s">
        <v>688</v>
      </c>
      <c r="K162" s="539" t="s">
        <v>689</v>
      </c>
      <c r="L162" s="542">
        <v>133.69</v>
      </c>
      <c r="M162" s="542">
        <v>133.69</v>
      </c>
      <c r="N162" s="539">
        <v>1</v>
      </c>
      <c r="O162" s="543">
        <v>1</v>
      </c>
      <c r="P162" s="542"/>
      <c r="Q162" s="544">
        <v>0</v>
      </c>
      <c r="R162" s="539"/>
      <c r="S162" s="544">
        <v>0</v>
      </c>
      <c r="T162" s="543"/>
      <c r="U162" s="545">
        <v>0</v>
      </c>
    </row>
    <row r="163" spans="1:21" ht="14.4" customHeight="1" x14ac:dyDescent="0.3">
      <c r="A163" s="538">
        <v>29</v>
      </c>
      <c r="B163" s="539" t="s">
        <v>462</v>
      </c>
      <c r="C163" s="539">
        <v>89301292</v>
      </c>
      <c r="D163" s="540" t="s">
        <v>1025</v>
      </c>
      <c r="E163" s="541" t="s">
        <v>611</v>
      </c>
      <c r="F163" s="539" t="s">
        <v>604</v>
      </c>
      <c r="G163" s="539" t="s">
        <v>686</v>
      </c>
      <c r="H163" s="539" t="s">
        <v>463</v>
      </c>
      <c r="I163" s="539" t="s">
        <v>936</v>
      </c>
      <c r="J163" s="539" t="s">
        <v>708</v>
      </c>
      <c r="K163" s="539" t="s">
        <v>937</v>
      </c>
      <c r="L163" s="542">
        <v>4.87</v>
      </c>
      <c r="M163" s="542">
        <v>4.87</v>
      </c>
      <c r="N163" s="539">
        <v>1</v>
      </c>
      <c r="O163" s="543">
        <v>1</v>
      </c>
      <c r="P163" s="542">
        <v>4.87</v>
      </c>
      <c r="Q163" s="544">
        <v>1</v>
      </c>
      <c r="R163" s="539">
        <v>1</v>
      </c>
      <c r="S163" s="544">
        <v>1</v>
      </c>
      <c r="T163" s="543">
        <v>1</v>
      </c>
      <c r="U163" s="545">
        <v>1</v>
      </c>
    </row>
    <row r="164" spans="1:21" ht="14.4" customHeight="1" x14ac:dyDescent="0.3">
      <c r="A164" s="538">
        <v>29</v>
      </c>
      <c r="B164" s="539" t="s">
        <v>462</v>
      </c>
      <c r="C164" s="539">
        <v>89301292</v>
      </c>
      <c r="D164" s="540" t="s">
        <v>1025</v>
      </c>
      <c r="E164" s="541" t="s">
        <v>611</v>
      </c>
      <c r="F164" s="539" t="s">
        <v>604</v>
      </c>
      <c r="G164" s="539" t="s">
        <v>727</v>
      </c>
      <c r="H164" s="539" t="s">
        <v>463</v>
      </c>
      <c r="I164" s="539" t="s">
        <v>728</v>
      </c>
      <c r="J164" s="539" t="s">
        <v>729</v>
      </c>
      <c r="K164" s="539" t="s">
        <v>730</v>
      </c>
      <c r="L164" s="542">
        <v>410</v>
      </c>
      <c r="M164" s="542">
        <v>410</v>
      </c>
      <c r="N164" s="539">
        <v>1</v>
      </c>
      <c r="O164" s="543">
        <v>1</v>
      </c>
      <c r="P164" s="542"/>
      <c r="Q164" s="544">
        <v>0</v>
      </c>
      <c r="R164" s="539"/>
      <c r="S164" s="544">
        <v>0</v>
      </c>
      <c r="T164" s="543"/>
      <c r="U164" s="545">
        <v>0</v>
      </c>
    </row>
    <row r="165" spans="1:21" ht="14.4" customHeight="1" x14ac:dyDescent="0.3">
      <c r="A165" s="538">
        <v>29</v>
      </c>
      <c r="B165" s="539" t="s">
        <v>462</v>
      </c>
      <c r="C165" s="539">
        <v>89301292</v>
      </c>
      <c r="D165" s="540" t="s">
        <v>1025</v>
      </c>
      <c r="E165" s="541" t="s">
        <v>611</v>
      </c>
      <c r="F165" s="539" t="s">
        <v>604</v>
      </c>
      <c r="G165" s="539" t="s">
        <v>759</v>
      </c>
      <c r="H165" s="539" t="s">
        <v>463</v>
      </c>
      <c r="I165" s="539" t="s">
        <v>938</v>
      </c>
      <c r="J165" s="539" t="s">
        <v>939</v>
      </c>
      <c r="K165" s="539" t="s">
        <v>940</v>
      </c>
      <c r="L165" s="542">
        <v>260</v>
      </c>
      <c r="M165" s="542">
        <v>780</v>
      </c>
      <c r="N165" s="539">
        <v>3</v>
      </c>
      <c r="O165" s="543">
        <v>2</v>
      </c>
      <c r="P165" s="542">
        <v>260</v>
      </c>
      <c r="Q165" s="544">
        <v>0.33333333333333331</v>
      </c>
      <c r="R165" s="539">
        <v>1</v>
      </c>
      <c r="S165" s="544">
        <v>0.33333333333333331</v>
      </c>
      <c r="T165" s="543">
        <v>1</v>
      </c>
      <c r="U165" s="545">
        <v>0.5</v>
      </c>
    </row>
    <row r="166" spans="1:21" ht="14.4" customHeight="1" x14ac:dyDescent="0.3">
      <c r="A166" s="538">
        <v>29</v>
      </c>
      <c r="B166" s="539" t="s">
        <v>462</v>
      </c>
      <c r="C166" s="539">
        <v>89301292</v>
      </c>
      <c r="D166" s="540" t="s">
        <v>1025</v>
      </c>
      <c r="E166" s="541" t="s">
        <v>611</v>
      </c>
      <c r="F166" s="539" t="s">
        <v>604</v>
      </c>
      <c r="G166" s="539" t="s">
        <v>759</v>
      </c>
      <c r="H166" s="539" t="s">
        <v>463</v>
      </c>
      <c r="I166" s="539" t="s">
        <v>941</v>
      </c>
      <c r="J166" s="539" t="s">
        <v>942</v>
      </c>
      <c r="K166" s="539" t="s">
        <v>943</v>
      </c>
      <c r="L166" s="542">
        <v>1110</v>
      </c>
      <c r="M166" s="542">
        <v>1110</v>
      </c>
      <c r="N166" s="539">
        <v>1</v>
      </c>
      <c r="O166" s="543">
        <v>1</v>
      </c>
      <c r="P166" s="542"/>
      <c r="Q166" s="544">
        <v>0</v>
      </c>
      <c r="R166" s="539"/>
      <c r="S166" s="544">
        <v>0</v>
      </c>
      <c r="T166" s="543"/>
      <c r="U166" s="545">
        <v>0</v>
      </c>
    </row>
    <row r="167" spans="1:21" ht="14.4" customHeight="1" x14ac:dyDescent="0.3">
      <c r="A167" s="538">
        <v>29</v>
      </c>
      <c r="B167" s="539" t="s">
        <v>462</v>
      </c>
      <c r="C167" s="539">
        <v>89301292</v>
      </c>
      <c r="D167" s="540" t="s">
        <v>1025</v>
      </c>
      <c r="E167" s="541" t="s">
        <v>612</v>
      </c>
      <c r="F167" s="539" t="s">
        <v>602</v>
      </c>
      <c r="G167" s="539" t="s">
        <v>614</v>
      </c>
      <c r="H167" s="539" t="s">
        <v>463</v>
      </c>
      <c r="I167" s="539" t="s">
        <v>881</v>
      </c>
      <c r="J167" s="539" t="s">
        <v>882</v>
      </c>
      <c r="K167" s="539" t="s">
        <v>883</v>
      </c>
      <c r="L167" s="542">
        <v>154.36000000000001</v>
      </c>
      <c r="M167" s="542">
        <v>154.36000000000001</v>
      </c>
      <c r="N167" s="539">
        <v>1</v>
      </c>
      <c r="O167" s="543">
        <v>1</v>
      </c>
      <c r="P167" s="542">
        <v>154.36000000000001</v>
      </c>
      <c r="Q167" s="544">
        <v>1</v>
      </c>
      <c r="R167" s="539">
        <v>1</v>
      </c>
      <c r="S167" s="544">
        <v>1</v>
      </c>
      <c r="T167" s="543">
        <v>1</v>
      </c>
      <c r="U167" s="545">
        <v>1</v>
      </c>
    </row>
    <row r="168" spans="1:21" ht="14.4" customHeight="1" x14ac:dyDescent="0.3">
      <c r="A168" s="538">
        <v>29</v>
      </c>
      <c r="B168" s="539" t="s">
        <v>462</v>
      </c>
      <c r="C168" s="539">
        <v>89301292</v>
      </c>
      <c r="D168" s="540" t="s">
        <v>1025</v>
      </c>
      <c r="E168" s="541" t="s">
        <v>612</v>
      </c>
      <c r="F168" s="539" t="s">
        <v>602</v>
      </c>
      <c r="G168" s="539" t="s">
        <v>614</v>
      </c>
      <c r="H168" s="539" t="s">
        <v>1026</v>
      </c>
      <c r="I168" s="539" t="s">
        <v>615</v>
      </c>
      <c r="J168" s="539" t="s">
        <v>616</v>
      </c>
      <c r="K168" s="539" t="s">
        <v>617</v>
      </c>
      <c r="L168" s="542">
        <v>150.04</v>
      </c>
      <c r="M168" s="542">
        <v>450.12</v>
      </c>
      <c r="N168" s="539">
        <v>3</v>
      </c>
      <c r="O168" s="543">
        <v>2.5</v>
      </c>
      <c r="P168" s="542">
        <v>300.08</v>
      </c>
      <c r="Q168" s="544">
        <v>0.66666666666666663</v>
      </c>
      <c r="R168" s="539">
        <v>2</v>
      </c>
      <c r="S168" s="544">
        <v>0.66666666666666663</v>
      </c>
      <c r="T168" s="543">
        <v>1.5</v>
      </c>
      <c r="U168" s="545">
        <v>0.6</v>
      </c>
    </row>
    <row r="169" spans="1:21" ht="14.4" customHeight="1" x14ac:dyDescent="0.3">
      <c r="A169" s="538">
        <v>29</v>
      </c>
      <c r="B169" s="539" t="s">
        <v>462</v>
      </c>
      <c r="C169" s="539">
        <v>89301292</v>
      </c>
      <c r="D169" s="540" t="s">
        <v>1025</v>
      </c>
      <c r="E169" s="541" t="s">
        <v>612</v>
      </c>
      <c r="F169" s="539" t="s">
        <v>602</v>
      </c>
      <c r="G169" s="539" t="s">
        <v>614</v>
      </c>
      <c r="H169" s="539" t="s">
        <v>1026</v>
      </c>
      <c r="I169" s="539" t="s">
        <v>615</v>
      </c>
      <c r="J169" s="539" t="s">
        <v>616</v>
      </c>
      <c r="K169" s="539" t="s">
        <v>617</v>
      </c>
      <c r="L169" s="542">
        <v>154.36000000000001</v>
      </c>
      <c r="M169" s="542">
        <v>771.80000000000007</v>
      </c>
      <c r="N169" s="539">
        <v>5</v>
      </c>
      <c r="O169" s="543">
        <v>4</v>
      </c>
      <c r="P169" s="542">
        <v>617.44000000000005</v>
      </c>
      <c r="Q169" s="544">
        <v>0.8</v>
      </c>
      <c r="R169" s="539">
        <v>4</v>
      </c>
      <c r="S169" s="544">
        <v>0.8</v>
      </c>
      <c r="T169" s="543">
        <v>3.5</v>
      </c>
      <c r="U169" s="545">
        <v>0.875</v>
      </c>
    </row>
    <row r="170" spans="1:21" ht="14.4" customHeight="1" x14ac:dyDescent="0.3">
      <c r="A170" s="538">
        <v>29</v>
      </c>
      <c r="B170" s="539" t="s">
        <v>462</v>
      </c>
      <c r="C170" s="539">
        <v>89301292</v>
      </c>
      <c r="D170" s="540" t="s">
        <v>1025</v>
      </c>
      <c r="E170" s="541" t="s">
        <v>612</v>
      </c>
      <c r="F170" s="539" t="s">
        <v>602</v>
      </c>
      <c r="G170" s="539" t="s">
        <v>614</v>
      </c>
      <c r="H170" s="539" t="s">
        <v>463</v>
      </c>
      <c r="I170" s="539" t="s">
        <v>944</v>
      </c>
      <c r="J170" s="539" t="s">
        <v>945</v>
      </c>
      <c r="K170" s="539" t="s">
        <v>946</v>
      </c>
      <c r="L170" s="542">
        <v>107.86</v>
      </c>
      <c r="M170" s="542">
        <v>107.86</v>
      </c>
      <c r="N170" s="539">
        <v>1</v>
      </c>
      <c r="O170" s="543">
        <v>1</v>
      </c>
      <c r="P170" s="542"/>
      <c r="Q170" s="544">
        <v>0</v>
      </c>
      <c r="R170" s="539"/>
      <c r="S170" s="544">
        <v>0</v>
      </c>
      <c r="T170" s="543"/>
      <c r="U170" s="545">
        <v>0</v>
      </c>
    </row>
    <row r="171" spans="1:21" ht="14.4" customHeight="1" x14ac:dyDescent="0.3">
      <c r="A171" s="538">
        <v>29</v>
      </c>
      <c r="B171" s="539" t="s">
        <v>462</v>
      </c>
      <c r="C171" s="539">
        <v>89301292</v>
      </c>
      <c r="D171" s="540" t="s">
        <v>1025</v>
      </c>
      <c r="E171" s="541" t="s">
        <v>612</v>
      </c>
      <c r="F171" s="539" t="s">
        <v>602</v>
      </c>
      <c r="G171" s="539" t="s">
        <v>614</v>
      </c>
      <c r="H171" s="539" t="s">
        <v>1026</v>
      </c>
      <c r="I171" s="539" t="s">
        <v>947</v>
      </c>
      <c r="J171" s="539" t="s">
        <v>948</v>
      </c>
      <c r="K171" s="539" t="s">
        <v>946</v>
      </c>
      <c r="L171" s="542">
        <v>149.52000000000001</v>
      </c>
      <c r="M171" s="542">
        <v>299.04000000000002</v>
      </c>
      <c r="N171" s="539">
        <v>2</v>
      </c>
      <c r="O171" s="543">
        <v>1.5</v>
      </c>
      <c r="P171" s="542">
        <v>299.04000000000002</v>
      </c>
      <c r="Q171" s="544">
        <v>1</v>
      </c>
      <c r="R171" s="539">
        <v>2</v>
      </c>
      <c r="S171" s="544">
        <v>1</v>
      </c>
      <c r="T171" s="543">
        <v>1.5</v>
      </c>
      <c r="U171" s="545">
        <v>1</v>
      </c>
    </row>
    <row r="172" spans="1:21" ht="14.4" customHeight="1" x14ac:dyDescent="0.3">
      <c r="A172" s="538">
        <v>29</v>
      </c>
      <c r="B172" s="539" t="s">
        <v>462</v>
      </c>
      <c r="C172" s="539">
        <v>89301292</v>
      </c>
      <c r="D172" s="540" t="s">
        <v>1025</v>
      </c>
      <c r="E172" s="541" t="s">
        <v>612</v>
      </c>
      <c r="F172" s="539" t="s">
        <v>602</v>
      </c>
      <c r="G172" s="539" t="s">
        <v>618</v>
      </c>
      <c r="H172" s="539" t="s">
        <v>463</v>
      </c>
      <c r="I172" s="539" t="s">
        <v>619</v>
      </c>
      <c r="J172" s="539" t="s">
        <v>620</v>
      </c>
      <c r="K172" s="539" t="s">
        <v>621</v>
      </c>
      <c r="L172" s="542">
        <v>0</v>
      </c>
      <c r="M172" s="542">
        <v>0</v>
      </c>
      <c r="N172" s="539">
        <v>3</v>
      </c>
      <c r="O172" s="543">
        <v>3</v>
      </c>
      <c r="P172" s="542">
        <v>0</v>
      </c>
      <c r="Q172" s="544"/>
      <c r="R172" s="539">
        <v>3</v>
      </c>
      <c r="S172" s="544">
        <v>1</v>
      </c>
      <c r="T172" s="543">
        <v>3</v>
      </c>
      <c r="U172" s="545">
        <v>1</v>
      </c>
    </row>
    <row r="173" spans="1:21" ht="14.4" customHeight="1" x14ac:dyDescent="0.3">
      <c r="A173" s="538">
        <v>29</v>
      </c>
      <c r="B173" s="539" t="s">
        <v>462</v>
      </c>
      <c r="C173" s="539">
        <v>89301292</v>
      </c>
      <c r="D173" s="540" t="s">
        <v>1025</v>
      </c>
      <c r="E173" s="541" t="s">
        <v>612</v>
      </c>
      <c r="F173" s="539" t="s">
        <v>602</v>
      </c>
      <c r="G173" s="539" t="s">
        <v>763</v>
      </c>
      <c r="H173" s="539" t="s">
        <v>463</v>
      </c>
      <c r="I173" s="539" t="s">
        <v>764</v>
      </c>
      <c r="J173" s="539" t="s">
        <v>765</v>
      </c>
      <c r="K173" s="539" t="s">
        <v>766</v>
      </c>
      <c r="L173" s="542">
        <v>170.52</v>
      </c>
      <c r="M173" s="542">
        <v>170.52</v>
      </c>
      <c r="N173" s="539">
        <v>1</v>
      </c>
      <c r="O173" s="543">
        <v>1</v>
      </c>
      <c r="P173" s="542"/>
      <c r="Q173" s="544">
        <v>0</v>
      </c>
      <c r="R173" s="539"/>
      <c r="S173" s="544">
        <v>0</v>
      </c>
      <c r="T173" s="543"/>
      <c r="U173" s="545">
        <v>0</v>
      </c>
    </row>
    <row r="174" spans="1:21" ht="14.4" customHeight="1" x14ac:dyDescent="0.3">
      <c r="A174" s="538">
        <v>29</v>
      </c>
      <c r="B174" s="539" t="s">
        <v>462</v>
      </c>
      <c r="C174" s="539">
        <v>89301292</v>
      </c>
      <c r="D174" s="540" t="s">
        <v>1025</v>
      </c>
      <c r="E174" s="541" t="s">
        <v>612</v>
      </c>
      <c r="F174" s="539" t="s">
        <v>602</v>
      </c>
      <c r="G174" s="539" t="s">
        <v>816</v>
      </c>
      <c r="H174" s="539" t="s">
        <v>463</v>
      </c>
      <c r="I174" s="539" t="s">
        <v>817</v>
      </c>
      <c r="J174" s="539" t="s">
        <v>818</v>
      </c>
      <c r="K174" s="539" t="s">
        <v>766</v>
      </c>
      <c r="L174" s="542">
        <v>66.819999999999993</v>
      </c>
      <c r="M174" s="542">
        <v>267.27999999999997</v>
      </c>
      <c r="N174" s="539">
        <v>4</v>
      </c>
      <c r="O174" s="543">
        <v>1.5</v>
      </c>
      <c r="P174" s="542">
        <v>133.63999999999999</v>
      </c>
      <c r="Q174" s="544">
        <v>0.5</v>
      </c>
      <c r="R174" s="539">
        <v>2</v>
      </c>
      <c r="S174" s="544">
        <v>0.5</v>
      </c>
      <c r="T174" s="543">
        <v>1</v>
      </c>
      <c r="U174" s="545">
        <v>0.66666666666666663</v>
      </c>
    </row>
    <row r="175" spans="1:21" ht="14.4" customHeight="1" x14ac:dyDescent="0.3">
      <c r="A175" s="538">
        <v>29</v>
      </c>
      <c r="B175" s="539" t="s">
        <v>462</v>
      </c>
      <c r="C175" s="539">
        <v>89301292</v>
      </c>
      <c r="D175" s="540" t="s">
        <v>1025</v>
      </c>
      <c r="E175" s="541" t="s">
        <v>612</v>
      </c>
      <c r="F175" s="539" t="s">
        <v>602</v>
      </c>
      <c r="G175" s="539" t="s">
        <v>767</v>
      </c>
      <c r="H175" s="539" t="s">
        <v>463</v>
      </c>
      <c r="I175" s="539" t="s">
        <v>768</v>
      </c>
      <c r="J175" s="539" t="s">
        <v>769</v>
      </c>
      <c r="K175" s="539" t="s">
        <v>770</v>
      </c>
      <c r="L175" s="542">
        <v>110.28</v>
      </c>
      <c r="M175" s="542">
        <v>220.56</v>
      </c>
      <c r="N175" s="539">
        <v>2</v>
      </c>
      <c r="O175" s="543">
        <v>2</v>
      </c>
      <c r="P175" s="542">
        <v>110.28</v>
      </c>
      <c r="Q175" s="544">
        <v>0.5</v>
      </c>
      <c r="R175" s="539">
        <v>1</v>
      </c>
      <c r="S175" s="544">
        <v>0.5</v>
      </c>
      <c r="T175" s="543">
        <v>1</v>
      </c>
      <c r="U175" s="545">
        <v>0.5</v>
      </c>
    </row>
    <row r="176" spans="1:21" ht="14.4" customHeight="1" x14ac:dyDescent="0.3">
      <c r="A176" s="538">
        <v>29</v>
      </c>
      <c r="B176" s="539" t="s">
        <v>462</v>
      </c>
      <c r="C176" s="539">
        <v>89301292</v>
      </c>
      <c r="D176" s="540" t="s">
        <v>1025</v>
      </c>
      <c r="E176" s="541" t="s">
        <v>612</v>
      </c>
      <c r="F176" s="539" t="s">
        <v>602</v>
      </c>
      <c r="G176" s="539" t="s">
        <v>767</v>
      </c>
      <c r="H176" s="539" t="s">
        <v>463</v>
      </c>
      <c r="I176" s="539" t="s">
        <v>949</v>
      </c>
      <c r="J176" s="539" t="s">
        <v>769</v>
      </c>
      <c r="K176" s="539" t="s">
        <v>770</v>
      </c>
      <c r="L176" s="542">
        <v>110.28</v>
      </c>
      <c r="M176" s="542">
        <v>110.28</v>
      </c>
      <c r="N176" s="539">
        <v>1</v>
      </c>
      <c r="O176" s="543">
        <v>0.5</v>
      </c>
      <c r="P176" s="542"/>
      <c r="Q176" s="544">
        <v>0</v>
      </c>
      <c r="R176" s="539"/>
      <c r="S176" s="544">
        <v>0</v>
      </c>
      <c r="T176" s="543"/>
      <c r="U176" s="545">
        <v>0</v>
      </c>
    </row>
    <row r="177" spans="1:21" ht="14.4" customHeight="1" x14ac:dyDescent="0.3">
      <c r="A177" s="538">
        <v>29</v>
      </c>
      <c r="B177" s="539" t="s">
        <v>462</v>
      </c>
      <c r="C177" s="539">
        <v>89301292</v>
      </c>
      <c r="D177" s="540" t="s">
        <v>1025</v>
      </c>
      <c r="E177" s="541" t="s">
        <v>612</v>
      </c>
      <c r="F177" s="539" t="s">
        <v>602</v>
      </c>
      <c r="G177" s="539" t="s">
        <v>950</v>
      </c>
      <c r="H177" s="539" t="s">
        <v>463</v>
      </c>
      <c r="I177" s="539" t="s">
        <v>951</v>
      </c>
      <c r="J177" s="539" t="s">
        <v>952</v>
      </c>
      <c r="K177" s="539" t="s">
        <v>953</v>
      </c>
      <c r="L177" s="542">
        <v>0</v>
      </c>
      <c r="M177" s="542">
        <v>0</v>
      </c>
      <c r="N177" s="539">
        <v>2</v>
      </c>
      <c r="O177" s="543">
        <v>1.5</v>
      </c>
      <c r="P177" s="542">
        <v>0</v>
      </c>
      <c r="Q177" s="544"/>
      <c r="R177" s="539">
        <v>1</v>
      </c>
      <c r="S177" s="544">
        <v>0.5</v>
      </c>
      <c r="T177" s="543">
        <v>1</v>
      </c>
      <c r="U177" s="545">
        <v>0.66666666666666663</v>
      </c>
    </row>
    <row r="178" spans="1:21" ht="14.4" customHeight="1" x14ac:dyDescent="0.3">
      <c r="A178" s="538">
        <v>29</v>
      </c>
      <c r="B178" s="539" t="s">
        <v>462</v>
      </c>
      <c r="C178" s="539">
        <v>89301292</v>
      </c>
      <c r="D178" s="540" t="s">
        <v>1025</v>
      </c>
      <c r="E178" s="541" t="s">
        <v>612</v>
      </c>
      <c r="F178" s="539" t="s">
        <v>602</v>
      </c>
      <c r="G178" s="539" t="s">
        <v>954</v>
      </c>
      <c r="H178" s="539" t="s">
        <v>463</v>
      </c>
      <c r="I178" s="539" t="s">
        <v>955</v>
      </c>
      <c r="J178" s="539" t="s">
        <v>956</v>
      </c>
      <c r="K178" s="539" t="s">
        <v>957</v>
      </c>
      <c r="L178" s="542">
        <v>0</v>
      </c>
      <c r="M178" s="542">
        <v>0</v>
      </c>
      <c r="N178" s="539">
        <v>1</v>
      </c>
      <c r="O178" s="543">
        <v>0.5</v>
      </c>
      <c r="P178" s="542"/>
      <c r="Q178" s="544"/>
      <c r="R178" s="539"/>
      <c r="S178" s="544">
        <v>0</v>
      </c>
      <c r="T178" s="543"/>
      <c r="U178" s="545">
        <v>0</v>
      </c>
    </row>
    <row r="179" spans="1:21" ht="14.4" customHeight="1" x14ac:dyDescent="0.3">
      <c r="A179" s="538">
        <v>29</v>
      </c>
      <c r="B179" s="539" t="s">
        <v>462</v>
      </c>
      <c r="C179" s="539">
        <v>89301292</v>
      </c>
      <c r="D179" s="540" t="s">
        <v>1025</v>
      </c>
      <c r="E179" s="541" t="s">
        <v>612</v>
      </c>
      <c r="F179" s="539" t="s">
        <v>602</v>
      </c>
      <c r="G179" s="539" t="s">
        <v>629</v>
      </c>
      <c r="H179" s="539" t="s">
        <v>463</v>
      </c>
      <c r="I179" s="539" t="s">
        <v>548</v>
      </c>
      <c r="J179" s="539" t="s">
        <v>549</v>
      </c>
      <c r="K179" s="539" t="s">
        <v>630</v>
      </c>
      <c r="L179" s="542">
        <v>48.09</v>
      </c>
      <c r="M179" s="542">
        <v>144.27000000000001</v>
      </c>
      <c r="N179" s="539">
        <v>3</v>
      </c>
      <c r="O179" s="543">
        <v>3</v>
      </c>
      <c r="P179" s="542"/>
      <c r="Q179" s="544">
        <v>0</v>
      </c>
      <c r="R179" s="539"/>
      <c r="S179" s="544">
        <v>0</v>
      </c>
      <c r="T179" s="543"/>
      <c r="U179" s="545">
        <v>0</v>
      </c>
    </row>
    <row r="180" spans="1:21" ht="14.4" customHeight="1" x14ac:dyDescent="0.3">
      <c r="A180" s="538">
        <v>29</v>
      </c>
      <c r="B180" s="539" t="s">
        <v>462</v>
      </c>
      <c r="C180" s="539">
        <v>89301292</v>
      </c>
      <c r="D180" s="540" t="s">
        <v>1025</v>
      </c>
      <c r="E180" s="541" t="s">
        <v>612</v>
      </c>
      <c r="F180" s="539" t="s">
        <v>602</v>
      </c>
      <c r="G180" s="539" t="s">
        <v>827</v>
      </c>
      <c r="H180" s="539" t="s">
        <v>463</v>
      </c>
      <c r="I180" s="539" t="s">
        <v>828</v>
      </c>
      <c r="J180" s="539" t="s">
        <v>829</v>
      </c>
      <c r="K180" s="539" t="s">
        <v>830</v>
      </c>
      <c r="L180" s="542">
        <v>0</v>
      </c>
      <c r="M180" s="542">
        <v>0</v>
      </c>
      <c r="N180" s="539">
        <v>1</v>
      </c>
      <c r="O180" s="543">
        <v>0.5</v>
      </c>
      <c r="P180" s="542"/>
      <c r="Q180" s="544"/>
      <c r="R180" s="539"/>
      <c r="S180" s="544">
        <v>0</v>
      </c>
      <c r="T180" s="543"/>
      <c r="U180" s="545">
        <v>0</v>
      </c>
    </row>
    <row r="181" spans="1:21" ht="14.4" customHeight="1" x14ac:dyDescent="0.3">
      <c r="A181" s="538">
        <v>29</v>
      </c>
      <c r="B181" s="539" t="s">
        <v>462</v>
      </c>
      <c r="C181" s="539">
        <v>89301292</v>
      </c>
      <c r="D181" s="540" t="s">
        <v>1025</v>
      </c>
      <c r="E181" s="541" t="s">
        <v>612</v>
      </c>
      <c r="F181" s="539" t="s">
        <v>602</v>
      </c>
      <c r="G181" s="539" t="s">
        <v>827</v>
      </c>
      <c r="H181" s="539" t="s">
        <v>463</v>
      </c>
      <c r="I181" s="539" t="s">
        <v>958</v>
      </c>
      <c r="J181" s="539" t="s">
        <v>829</v>
      </c>
      <c r="K181" s="539" t="s">
        <v>959</v>
      </c>
      <c r="L181" s="542">
        <v>0</v>
      </c>
      <c r="M181" s="542">
        <v>0</v>
      </c>
      <c r="N181" s="539">
        <v>1</v>
      </c>
      <c r="O181" s="543">
        <v>0.5</v>
      </c>
      <c r="P181" s="542"/>
      <c r="Q181" s="544"/>
      <c r="R181" s="539"/>
      <c r="S181" s="544">
        <v>0</v>
      </c>
      <c r="T181" s="543"/>
      <c r="U181" s="545">
        <v>0</v>
      </c>
    </row>
    <row r="182" spans="1:21" ht="14.4" customHeight="1" x14ac:dyDescent="0.3">
      <c r="A182" s="538">
        <v>29</v>
      </c>
      <c r="B182" s="539" t="s">
        <v>462</v>
      </c>
      <c r="C182" s="539">
        <v>89301292</v>
      </c>
      <c r="D182" s="540" t="s">
        <v>1025</v>
      </c>
      <c r="E182" s="541" t="s">
        <v>612</v>
      </c>
      <c r="F182" s="539" t="s">
        <v>602</v>
      </c>
      <c r="G182" s="539" t="s">
        <v>635</v>
      </c>
      <c r="H182" s="539" t="s">
        <v>463</v>
      </c>
      <c r="I182" s="539" t="s">
        <v>506</v>
      </c>
      <c r="J182" s="539" t="s">
        <v>503</v>
      </c>
      <c r="K182" s="539" t="s">
        <v>775</v>
      </c>
      <c r="L182" s="542">
        <v>105.7</v>
      </c>
      <c r="M182" s="542">
        <v>105.7</v>
      </c>
      <c r="N182" s="539">
        <v>1</v>
      </c>
      <c r="O182" s="543">
        <v>1</v>
      </c>
      <c r="P182" s="542">
        <v>105.7</v>
      </c>
      <c r="Q182" s="544">
        <v>1</v>
      </c>
      <c r="R182" s="539">
        <v>1</v>
      </c>
      <c r="S182" s="544">
        <v>1</v>
      </c>
      <c r="T182" s="543">
        <v>1</v>
      </c>
      <c r="U182" s="545">
        <v>1</v>
      </c>
    </row>
    <row r="183" spans="1:21" ht="14.4" customHeight="1" x14ac:dyDescent="0.3">
      <c r="A183" s="538">
        <v>29</v>
      </c>
      <c r="B183" s="539" t="s">
        <v>462</v>
      </c>
      <c r="C183" s="539">
        <v>89301292</v>
      </c>
      <c r="D183" s="540" t="s">
        <v>1025</v>
      </c>
      <c r="E183" s="541" t="s">
        <v>612</v>
      </c>
      <c r="F183" s="539" t="s">
        <v>602</v>
      </c>
      <c r="G183" s="539" t="s">
        <v>635</v>
      </c>
      <c r="H183" s="539" t="s">
        <v>463</v>
      </c>
      <c r="I183" s="539" t="s">
        <v>502</v>
      </c>
      <c r="J183" s="539" t="s">
        <v>503</v>
      </c>
      <c r="K183" s="539" t="s">
        <v>504</v>
      </c>
      <c r="L183" s="542">
        <v>210.22</v>
      </c>
      <c r="M183" s="542">
        <v>420.44</v>
      </c>
      <c r="N183" s="539">
        <v>2</v>
      </c>
      <c r="O183" s="543">
        <v>2</v>
      </c>
      <c r="P183" s="542">
        <v>420.44</v>
      </c>
      <c r="Q183" s="544">
        <v>1</v>
      </c>
      <c r="R183" s="539">
        <v>2</v>
      </c>
      <c r="S183" s="544">
        <v>1</v>
      </c>
      <c r="T183" s="543">
        <v>2</v>
      </c>
      <c r="U183" s="545">
        <v>1</v>
      </c>
    </row>
    <row r="184" spans="1:21" ht="14.4" customHeight="1" x14ac:dyDescent="0.3">
      <c r="A184" s="538">
        <v>29</v>
      </c>
      <c r="B184" s="539" t="s">
        <v>462</v>
      </c>
      <c r="C184" s="539">
        <v>89301292</v>
      </c>
      <c r="D184" s="540" t="s">
        <v>1025</v>
      </c>
      <c r="E184" s="541" t="s">
        <v>612</v>
      </c>
      <c r="F184" s="539" t="s">
        <v>602</v>
      </c>
      <c r="G184" s="539" t="s">
        <v>635</v>
      </c>
      <c r="H184" s="539" t="s">
        <v>463</v>
      </c>
      <c r="I184" s="539" t="s">
        <v>904</v>
      </c>
      <c r="J184" s="539" t="s">
        <v>503</v>
      </c>
      <c r="K184" s="539" t="s">
        <v>504</v>
      </c>
      <c r="L184" s="542">
        <v>0</v>
      </c>
      <c r="M184" s="542">
        <v>0</v>
      </c>
      <c r="N184" s="539">
        <v>1</v>
      </c>
      <c r="O184" s="543">
        <v>1</v>
      </c>
      <c r="P184" s="542">
        <v>0</v>
      </c>
      <c r="Q184" s="544"/>
      <c r="R184" s="539">
        <v>1</v>
      </c>
      <c r="S184" s="544">
        <v>1</v>
      </c>
      <c r="T184" s="543">
        <v>1</v>
      </c>
      <c r="U184" s="545">
        <v>1</v>
      </c>
    </row>
    <row r="185" spans="1:21" ht="14.4" customHeight="1" x14ac:dyDescent="0.3">
      <c r="A185" s="538">
        <v>29</v>
      </c>
      <c r="B185" s="539" t="s">
        <v>462</v>
      </c>
      <c r="C185" s="539">
        <v>89301292</v>
      </c>
      <c r="D185" s="540" t="s">
        <v>1025</v>
      </c>
      <c r="E185" s="541" t="s">
        <v>612</v>
      </c>
      <c r="F185" s="539" t="s">
        <v>602</v>
      </c>
      <c r="G185" s="539" t="s">
        <v>635</v>
      </c>
      <c r="H185" s="539" t="s">
        <v>463</v>
      </c>
      <c r="I185" s="539" t="s">
        <v>960</v>
      </c>
      <c r="J185" s="539" t="s">
        <v>961</v>
      </c>
      <c r="K185" s="539" t="s">
        <v>962</v>
      </c>
      <c r="L185" s="542">
        <v>0</v>
      </c>
      <c r="M185" s="542">
        <v>0</v>
      </c>
      <c r="N185" s="539">
        <v>1</v>
      </c>
      <c r="O185" s="543">
        <v>1</v>
      </c>
      <c r="P185" s="542"/>
      <c r="Q185" s="544"/>
      <c r="R185" s="539"/>
      <c r="S185" s="544">
        <v>0</v>
      </c>
      <c r="T185" s="543"/>
      <c r="U185" s="545">
        <v>0</v>
      </c>
    </row>
    <row r="186" spans="1:21" ht="14.4" customHeight="1" x14ac:dyDescent="0.3">
      <c r="A186" s="538">
        <v>29</v>
      </c>
      <c r="B186" s="539" t="s">
        <v>462</v>
      </c>
      <c r="C186" s="539">
        <v>89301292</v>
      </c>
      <c r="D186" s="540" t="s">
        <v>1025</v>
      </c>
      <c r="E186" s="541" t="s">
        <v>612</v>
      </c>
      <c r="F186" s="539" t="s">
        <v>602</v>
      </c>
      <c r="G186" s="539" t="s">
        <v>635</v>
      </c>
      <c r="H186" s="539" t="s">
        <v>463</v>
      </c>
      <c r="I186" s="539" t="s">
        <v>963</v>
      </c>
      <c r="J186" s="539" t="s">
        <v>961</v>
      </c>
      <c r="K186" s="539" t="s">
        <v>964</v>
      </c>
      <c r="L186" s="542">
        <v>0</v>
      </c>
      <c r="M186" s="542">
        <v>0</v>
      </c>
      <c r="N186" s="539">
        <v>2</v>
      </c>
      <c r="O186" s="543">
        <v>2</v>
      </c>
      <c r="P186" s="542">
        <v>0</v>
      </c>
      <c r="Q186" s="544"/>
      <c r="R186" s="539">
        <v>1</v>
      </c>
      <c r="S186" s="544">
        <v>0.5</v>
      </c>
      <c r="T186" s="543">
        <v>1</v>
      </c>
      <c r="U186" s="545">
        <v>0.5</v>
      </c>
    </row>
    <row r="187" spans="1:21" ht="14.4" customHeight="1" x14ac:dyDescent="0.3">
      <c r="A187" s="538">
        <v>29</v>
      </c>
      <c r="B187" s="539" t="s">
        <v>462</v>
      </c>
      <c r="C187" s="539">
        <v>89301292</v>
      </c>
      <c r="D187" s="540" t="s">
        <v>1025</v>
      </c>
      <c r="E187" s="541" t="s">
        <v>612</v>
      </c>
      <c r="F187" s="539" t="s">
        <v>602</v>
      </c>
      <c r="G187" s="539" t="s">
        <v>638</v>
      </c>
      <c r="H187" s="539" t="s">
        <v>463</v>
      </c>
      <c r="I187" s="539" t="s">
        <v>639</v>
      </c>
      <c r="J187" s="539" t="s">
        <v>640</v>
      </c>
      <c r="K187" s="539" t="s">
        <v>641</v>
      </c>
      <c r="L187" s="542">
        <v>147.31</v>
      </c>
      <c r="M187" s="542">
        <v>441.93</v>
      </c>
      <c r="N187" s="539">
        <v>3</v>
      </c>
      <c r="O187" s="543">
        <v>1</v>
      </c>
      <c r="P187" s="542">
        <v>441.93</v>
      </c>
      <c r="Q187" s="544">
        <v>1</v>
      </c>
      <c r="R187" s="539">
        <v>3</v>
      </c>
      <c r="S187" s="544">
        <v>1</v>
      </c>
      <c r="T187" s="543">
        <v>1</v>
      </c>
      <c r="U187" s="545">
        <v>1</v>
      </c>
    </row>
    <row r="188" spans="1:21" ht="14.4" customHeight="1" x14ac:dyDescent="0.3">
      <c r="A188" s="538">
        <v>29</v>
      </c>
      <c r="B188" s="539" t="s">
        <v>462</v>
      </c>
      <c r="C188" s="539">
        <v>89301292</v>
      </c>
      <c r="D188" s="540" t="s">
        <v>1025</v>
      </c>
      <c r="E188" s="541" t="s">
        <v>612</v>
      </c>
      <c r="F188" s="539" t="s">
        <v>602</v>
      </c>
      <c r="G188" s="539" t="s">
        <v>642</v>
      </c>
      <c r="H188" s="539" t="s">
        <v>463</v>
      </c>
      <c r="I188" s="539" t="s">
        <v>552</v>
      </c>
      <c r="J188" s="539" t="s">
        <v>553</v>
      </c>
      <c r="K188" s="539" t="s">
        <v>643</v>
      </c>
      <c r="L188" s="542">
        <v>36.97</v>
      </c>
      <c r="M188" s="542">
        <v>295.76</v>
      </c>
      <c r="N188" s="539">
        <v>8</v>
      </c>
      <c r="O188" s="543">
        <v>7.5</v>
      </c>
      <c r="P188" s="542">
        <v>258.78999999999996</v>
      </c>
      <c r="Q188" s="544">
        <v>0.87499999999999989</v>
      </c>
      <c r="R188" s="539">
        <v>7</v>
      </c>
      <c r="S188" s="544">
        <v>0.875</v>
      </c>
      <c r="T188" s="543">
        <v>6.5</v>
      </c>
      <c r="U188" s="545">
        <v>0.8666666666666667</v>
      </c>
    </row>
    <row r="189" spans="1:21" ht="14.4" customHeight="1" x14ac:dyDescent="0.3">
      <c r="A189" s="538">
        <v>29</v>
      </c>
      <c r="B189" s="539" t="s">
        <v>462</v>
      </c>
      <c r="C189" s="539">
        <v>89301292</v>
      </c>
      <c r="D189" s="540" t="s">
        <v>1025</v>
      </c>
      <c r="E189" s="541" t="s">
        <v>612</v>
      </c>
      <c r="F189" s="539" t="s">
        <v>602</v>
      </c>
      <c r="G189" s="539" t="s">
        <v>644</v>
      </c>
      <c r="H189" s="539" t="s">
        <v>463</v>
      </c>
      <c r="I189" s="539" t="s">
        <v>556</v>
      </c>
      <c r="J189" s="539" t="s">
        <v>557</v>
      </c>
      <c r="K189" s="539" t="s">
        <v>558</v>
      </c>
      <c r="L189" s="542">
        <v>115.13</v>
      </c>
      <c r="M189" s="542">
        <v>805.91</v>
      </c>
      <c r="N189" s="539">
        <v>7</v>
      </c>
      <c r="O189" s="543">
        <v>6</v>
      </c>
      <c r="P189" s="542">
        <v>345.39</v>
      </c>
      <c r="Q189" s="544">
        <v>0.42857142857142855</v>
      </c>
      <c r="R189" s="539">
        <v>3</v>
      </c>
      <c r="S189" s="544">
        <v>0.42857142857142855</v>
      </c>
      <c r="T189" s="543">
        <v>3</v>
      </c>
      <c r="U189" s="545">
        <v>0.5</v>
      </c>
    </row>
    <row r="190" spans="1:21" ht="14.4" customHeight="1" x14ac:dyDescent="0.3">
      <c r="A190" s="538">
        <v>29</v>
      </c>
      <c r="B190" s="539" t="s">
        <v>462</v>
      </c>
      <c r="C190" s="539">
        <v>89301292</v>
      </c>
      <c r="D190" s="540" t="s">
        <v>1025</v>
      </c>
      <c r="E190" s="541" t="s">
        <v>612</v>
      </c>
      <c r="F190" s="539" t="s">
        <v>602</v>
      </c>
      <c r="G190" s="539" t="s">
        <v>645</v>
      </c>
      <c r="H190" s="539" t="s">
        <v>1026</v>
      </c>
      <c r="I190" s="539" t="s">
        <v>965</v>
      </c>
      <c r="J190" s="539" t="s">
        <v>647</v>
      </c>
      <c r="K190" s="539" t="s">
        <v>966</v>
      </c>
      <c r="L190" s="542">
        <v>0</v>
      </c>
      <c r="M190" s="542">
        <v>0</v>
      </c>
      <c r="N190" s="539">
        <v>3</v>
      </c>
      <c r="O190" s="543">
        <v>2.5</v>
      </c>
      <c r="P190" s="542">
        <v>0</v>
      </c>
      <c r="Q190" s="544"/>
      <c r="R190" s="539">
        <v>2</v>
      </c>
      <c r="S190" s="544">
        <v>0.66666666666666663</v>
      </c>
      <c r="T190" s="543">
        <v>2</v>
      </c>
      <c r="U190" s="545">
        <v>0.8</v>
      </c>
    </row>
    <row r="191" spans="1:21" ht="14.4" customHeight="1" x14ac:dyDescent="0.3">
      <c r="A191" s="538">
        <v>29</v>
      </c>
      <c r="B191" s="539" t="s">
        <v>462</v>
      </c>
      <c r="C191" s="539">
        <v>89301292</v>
      </c>
      <c r="D191" s="540" t="s">
        <v>1025</v>
      </c>
      <c r="E191" s="541" t="s">
        <v>612</v>
      </c>
      <c r="F191" s="539" t="s">
        <v>602</v>
      </c>
      <c r="G191" s="539" t="s">
        <v>645</v>
      </c>
      <c r="H191" s="539" t="s">
        <v>1026</v>
      </c>
      <c r="I191" s="539" t="s">
        <v>967</v>
      </c>
      <c r="J191" s="539" t="s">
        <v>647</v>
      </c>
      <c r="K191" s="539" t="s">
        <v>968</v>
      </c>
      <c r="L191" s="542">
        <v>815.1</v>
      </c>
      <c r="M191" s="542">
        <v>815.1</v>
      </c>
      <c r="N191" s="539">
        <v>1</v>
      </c>
      <c r="O191" s="543">
        <v>1</v>
      </c>
      <c r="P191" s="542">
        <v>815.1</v>
      </c>
      <c r="Q191" s="544">
        <v>1</v>
      </c>
      <c r="R191" s="539">
        <v>1</v>
      </c>
      <c r="S191" s="544">
        <v>1</v>
      </c>
      <c r="T191" s="543">
        <v>1</v>
      </c>
      <c r="U191" s="545">
        <v>1</v>
      </c>
    </row>
    <row r="192" spans="1:21" ht="14.4" customHeight="1" x14ac:dyDescent="0.3">
      <c r="A192" s="538">
        <v>29</v>
      </c>
      <c r="B192" s="539" t="s">
        <v>462</v>
      </c>
      <c r="C192" s="539">
        <v>89301292</v>
      </c>
      <c r="D192" s="540" t="s">
        <v>1025</v>
      </c>
      <c r="E192" s="541" t="s">
        <v>612</v>
      </c>
      <c r="F192" s="539" t="s">
        <v>602</v>
      </c>
      <c r="G192" s="539" t="s">
        <v>645</v>
      </c>
      <c r="H192" s="539" t="s">
        <v>1026</v>
      </c>
      <c r="I192" s="539" t="s">
        <v>969</v>
      </c>
      <c r="J192" s="539" t="s">
        <v>647</v>
      </c>
      <c r="K192" s="539" t="s">
        <v>778</v>
      </c>
      <c r="L192" s="542">
        <v>923.74</v>
      </c>
      <c r="M192" s="542">
        <v>923.74</v>
      </c>
      <c r="N192" s="539">
        <v>1</v>
      </c>
      <c r="O192" s="543">
        <v>1</v>
      </c>
      <c r="P192" s="542">
        <v>923.74</v>
      </c>
      <c r="Q192" s="544">
        <v>1</v>
      </c>
      <c r="R192" s="539">
        <v>1</v>
      </c>
      <c r="S192" s="544">
        <v>1</v>
      </c>
      <c r="T192" s="543">
        <v>1</v>
      </c>
      <c r="U192" s="545">
        <v>1</v>
      </c>
    </row>
    <row r="193" spans="1:21" ht="14.4" customHeight="1" x14ac:dyDescent="0.3">
      <c r="A193" s="538">
        <v>29</v>
      </c>
      <c r="B193" s="539" t="s">
        <v>462</v>
      </c>
      <c r="C193" s="539">
        <v>89301292</v>
      </c>
      <c r="D193" s="540" t="s">
        <v>1025</v>
      </c>
      <c r="E193" s="541" t="s">
        <v>612</v>
      </c>
      <c r="F193" s="539" t="s">
        <v>602</v>
      </c>
      <c r="G193" s="539" t="s">
        <v>970</v>
      </c>
      <c r="H193" s="539" t="s">
        <v>1026</v>
      </c>
      <c r="I193" s="539" t="s">
        <v>971</v>
      </c>
      <c r="J193" s="539" t="s">
        <v>972</v>
      </c>
      <c r="K193" s="539" t="s">
        <v>973</v>
      </c>
      <c r="L193" s="542">
        <v>15.61</v>
      </c>
      <c r="M193" s="542">
        <v>15.61</v>
      </c>
      <c r="N193" s="539">
        <v>1</v>
      </c>
      <c r="O193" s="543">
        <v>1</v>
      </c>
      <c r="P193" s="542">
        <v>15.61</v>
      </c>
      <c r="Q193" s="544">
        <v>1</v>
      </c>
      <c r="R193" s="539">
        <v>1</v>
      </c>
      <c r="S193" s="544">
        <v>1</v>
      </c>
      <c r="T193" s="543">
        <v>1</v>
      </c>
      <c r="U193" s="545">
        <v>1</v>
      </c>
    </row>
    <row r="194" spans="1:21" ht="14.4" customHeight="1" x14ac:dyDescent="0.3">
      <c r="A194" s="538">
        <v>29</v>
      </c>
      <c r="B194" s="539" t="s">
        <v>462</v>
      </c>
      <c r="C194" s="539">
        <v>89301292</v>
      </c>
      <c r="D194" s="540" t="s">
        <v>1025</v>
      </c>
      <c r="E194" s="541" t="s">
        <v>612</v>
      </c>
      <c r="F194" s="539" t="s">
        <v>602</v>
      </c>
      <c r="G194" s="539" t="s">
        <v>673</v>
      </c>
      <c r="H194" s="539" t="s">
        <v>463</v>
      </c>
      <c r="I194" s="539" t="s">
        <v>588</v>
      </c>
      <c r="J194" s="539" t="s">
        <v>561</v>
      </c>
      <c r="K194" s="539" t="s">
        <v>674</v>
      </c>
      <c r="L194" s="542">
        <v>96.42</v>
      </c>
      <c r="M194" s="542">
        <v>964.2</v>
      </c>
      <c r="N194" s="539">
        <v>10</v>
      </c>
      <c r="O194" s="543">
        <v>7</v>
      </c>
      <c r="P194" s="542">
        <v>674.94</v>
      </c>
      <c r="Q194" s="544">
        <v>0.70000000000000007</v>
      </c>
      <c r="R194" s="539">
        <v>7</v>
      </c>
      <c r="S194" s="544">
        <v>0.7</v>
      </c>
      <c r="T194" s="543">
        <v>4</v>
      </c>
      <c r="U194" s="545">
        <v>0.5714285714285714</v>
      </c>
    </row>
    <row r="195" spans="1:21" ht="14.4" customHeight="1" x14ac:dyDescent="0.3">
      <c r="A195" s="538">
        <v>29</v>
      </c>
      <c r="B195" s="539" t="s">
        <v>462</v>
      </c>
      <c r="C195" s="539">
        <v>89301292</v>
      </c>
      <c r="D195" s="540" t="s">
        <v>1025</v>
      </c>
      <c r="E195" s="541" t="s">
        <v>612</v>
      </c>
      <c r="F195" s="539" t="s">
        <v>602</v>
      </c>
      <c r="G195" s="539" t="s">
        <v>673</v>
      </c>
      <c r="H195" s="539" t="s">
        <v>463</v>
      </c>
      <c r="I195" s="539" t="s">
        <v>974</v>
      </c>
      <c r="J195" s="539" t="s">
        <v>561</v>
      </c>
      <c r="K195" s="539" t="s">
        <v>975</v>
      </c>
      <c r="L195" s="542">
        <v>0</v>
      </c>
      <c r="M195" s="542">
        <v>0</v>
      </c>
      <c r="N195" s="539">
        <v>1</v>
      </c>
      <c r="O195" s="543">
        <v>1</v>
      </c>
      <c r="P195" s="542">
        <v>0</v>
      </c>
      <c r="Q195" s="544"/>
      <c r="R195" s="539">
        <v>1</v>
      </c>
      <c r="S195" s="544">
        <v>1</v>
      </c>
      <c r="T195" s="543">
        <v>1</v>
      </c>
      <c r="U195" s="545">
        <v>1</v>
      </c>
    </row>
    <row r="196" spans="1:21" ht="14.4" customHeight="1" x14ac:dyDescent="0.3">
      <c r="A196" s="538">
        <v>29</v>
      </c>
      <c r="B196" s="539" t="s">
        <v>462</v>
      </c>
      <c r="C196" s="539">
        <v>89301292</v>
      </c>
      <c r="D196" s="540" t="s">
        <v>1025</v>
      </c>
      <c r="E196" s="541" t="s">
        <v>612</v>
      </c>
      <c r="F196" s="539" t="s">
        <v>602</v>
      </c>
      <c r="G196" s="539" t="s">
        <v>673</v>
      </c>
      <c r="H196" s="539" t="s">
        <v>463</v>
      </c>
      <c r="I196" s="539" t="s">
        <v>560</v>
      </c>
      <c r="J196" s="539" t="s">
        <v>561</v>
      </c>
      <c r="K196" s="539" t="s">
        <v>675</v>
      </c>
      <c r="L196" s="542">
        <v>289.27</v>
      </c>
      <c r="M196" s="542">
        <v>2314.16</v>
      </c>
      <c r="N196" s="539">
        <v>8</v>
      </c>
      <c r="O196" s="543">
        <v>4.5</v>
      </c>
      <c r="P196" s="542">
        <v>1157.08</v>
      </c>
      <c r="Q196" s="544">
        <v>0.5</v>
      </c>
      <c r="R196" s="539">
        <v>4</v>
      </c>
      <c r="S196" s="544">
        <v>0.5</v>
      </c>
      <c r="T196" s="543">
        <v>1.5</v>
      </c>
      <c r="U196" s="545">
        <v>0.33333333333333331</v>
      </c>
    </row>
    <row r="197" spans="1:21" ht="14.4" customHeight="1" x14ac:dyDescent="0.3">
      <c r="A197" s="538">
        <v>29</v>
      </c>
      <c r="B197" s="539" t="s">
        <v>462</v>
      </c>
      <c r="C197" s="539">
        <v>89301292</v>
      </c>
      <c r="D197" s="540" t="s">
        <v>1025</v>
      </c>
      <c r="E197" s="541" t="s">
        <v>612</v>
      </c>
      <c r="F197" s="539" t="s">
        <v>602</v>
      </c>
      <c r="G197" s="539" t="s">
        <v>676</v>
      </c>
      <c r="H197" s="539" t="s">
        <v>463</v>
      </c>
      <c r="I197" s="539" t="s">
        <v>898</v>
      </c>
      <c r="J197" s="539" t="s">
        <v>678</v>
      </c>
      <c r="K197" s="539" t="s">
        <v>899</v>
      </c>
      <c r="L197" s="542">
        <v>25.07</v>
      </c>
      <c r="M197" s="542">
        <v>75.210000000000008</v>
      </c>
      <c r="N197" s="539">
        <v>3</v>
      </c>
      <c r="O197" s="543">
        <v>3</v>
      </c>
      <c r="P197" s="542">
        <v>50.14</v>
      </c>
      <c r="Q197" s="544">
        <v>0.66666666666666663</v>
      </c>
      <c r="R197" s="539">
        <v>2</v>
      </c>
      <c r="S197" s="544">
        <v>0.66666666666666663</v>
      </c>
      <c r="T197" s="543">
        <v>2</v>
      </c>
      <c r="U197" s="545">
        <v>0.66666666666666663</v>
      </c>
    </row>
    <row r="198" spans="1:21" ht="14.4" customHeight="1" x14ac:dyDescent="0.3">
      <c r="A198" s="538">
        <v>29</v>
      </c>
      <c r="B198" s="539" t="s">
        <v>462</v>
      </c>
      <c r="C198" s="539">
        <v>89301292</v>
      </c>
      <c r="D198" s="540" t="s">
        <v>1025</v>
      </c>
      <c r="E198" s="541" t="s">
        <v>612</v>
      </c>
      <c r="F198" s="539" t="s">
        <v>602</v>
      </c>
      <c r="G198" s="539" t="s">
        <v>676</v>
      </c>
      <c r="H198" s="539" t="s">
        <v>463</v>
      </c>
      <c r="I198" s="539" t="s">
        <v>677</v>
      </c>
      <c r="J198" s="539" t="s">
        <v>678</v>
      </c>
      <c r="K198" s="539" t="s">
        <v>679</v>
      </c>
      <c r="L198" s="542">
        <v>50.14</v>
      </c>
      <c r="M198" s="542">
        <v>150.42000000000002</v>
      </c>
      <c r="N198" s="539">
        <v>3</v>
      </c>
      <c r="O198" s="543">
        <v>2.5</v>
      </c>
      <c r="P198" s="542">
        <v>100.28</v>
      </c>
      <c r="Q198" s="544">
        <v>0.66666666666666663</v>
      </c>
      <c r="R198" s="539">
        <v>2</v>
      </c>
      <c r="S198" s="544">
        <v>0.66666666666666663</v>
      </c>
      <c r="T198" s="543">
        <v>1.5</v>
      </c>
      <c r="U198" s="545">
        <v>0.6</v>
      </c>
    </row>
    <row r="199" spans="1:21" ht="14.4" customHeight="1" x14ac:dyDescent="0.3">
      <c r="A199" s="538">
        <v>29</v>
      </c>
      <c r="B199" s="539" t="s">
        <v>462</v>
      </c>
      <c r="C199" s="539">
        <v>89301292</v>
      </c>
      <c r="D199" s="540" t="s">
        <v>1025</v>
      </c>
      <c r="E199" s="541" t="s">
        <v>612</v>
      </c>
      <c r="F199" s="539" t="s">
        <v>602</v>
      </c>
      <c r="G199" s="539" t="s">
        <v>676</v>
      </c>
      <c r="H199" s="539" t="s">
        <v>463</v>
      </c>
      <c r="I199" s="539" t="s">
        <v>680</v>
      </c>
      <c r="J199" s="539" t="s">
        <v>678</v>
      </c>
      <c r="K199" s="539" t="s">
        <v>681</v>
      </c>
      <c r="L199" s="542">
        <v>75.22</v>
      </c>
      <c r="M199" s="542">
        <v>75.22</v>
      </c>
      <c r="N199" s="539">
        <v>1</v>
      </c>
      <c r="O199" s="543">
        <v>1</v>
      </c>
      <c r="P199" s="542"/>
      <c r="Q199" s="544">
        <v>0</v>
      </c>
      <c r="R199" s="539"/>
      <c r="S199" s="544">
        <v>0</v>
      </c>
      <c r="T199" s="543"/>
      <c r="U199" s="545">
        <v>0</v>
      </c>
    </row>
    <row r="200" spans="1:21" ht="14.4" customHeight="1" x14ac:dyDescent="0.3">
      <c r="A200" s="538">
        <v>29</v>
      </c>
      <c r="B200" s="539" t="s">
        <v>462</v>
      </c>
      <c r="C200" s="539">
        <v>89301292</v>
      </c>
      <c r="D200" s="540" t="s">
        <v>1025</v>
      </c>
      <c r="E200" s="541" t="s">
        <v>612</v>
      </c>
      <c r="F200" s="539" t="s">
        <v>604</v>
      </c>
      <c r="G200" s="539" t="s">
        <v>686</v>
      </c>
      <c r="H200" s="539" t="s">
        <v>463</v>
      </c>
      <c r="I200" s="539" t="s">
        <v>687</v>
      </c>
      <c r="J200" s="539" t="s">
        <v>688</v>
      </c>
      <c r="K200" s="539" t="s">
        <v>689</v>
      </c>
      <c r="L200" s="542">
        <v>133.69</v>
      </c>
      <c r="M200" s="542">
        <v>267.38</v>
      </c>
      <c r="N200" s="539">
        <v>2</v>
      </c>
      <c r="O200" s="543">
        <v>1</v>
      </c>
      <c r="P200" s="542">
        <v>267.38</v>
      </c>
      <c r="Q200" s="544">
        <v>1</v>
      </c>
      <c r="R200" s="539">
        <v>2</v>
      </c>
      <c r="S200" s="544">
        <v>1</v>
      </c>
      <c r="T200" s="543">
        <v>1</v>
      </c>
      <c r="U200" s="545">
        <v>1</v>
      </c>
    </row>
    <row r="201" spans="1:21" ht="14.4" customHeight="1" x14ac:dyDescent="0.3">
      <c r="A201" s="538">
        <v>29</v>
      </c>
      <c r="B201" s="539" t="s">
        <v>462</v>
      </c>
      <c r="C201" s="539">
        <v>89301292</v>
      </c>
      <c r="D201" s="540" t="s">
        <v>1025</v>
      </c>
      <c r="E201" s="541" t="s">
        <v>612</v>
      </c>
      <c r="F201" s="539" t="s">
        <v>604</v>
      </c>
      <c r="G201" s="539" t="s">
        <v>686</v>
      </c>
      <c r="H201" s="539" t="s">
        <v>463</v>
      </c>
      <c r="I201" s="539" t="s">
        <v>690</v>
      </c>
      <c r="J201" s="539" t="s">
        <v>688</v>
      </c>
      <c r="K201" s="539" t="s">
        <v>691</v>
      </c>
      <c r="L201" s="542">
        <v>175.15</v>
      </c>
      <c r="M201" s="542">
        <v>700.6</v>
      </c>
      <c r="N201" s="539">
        <v>4</v>
      </c>
      <c r="O201" s="543">
        <v>4</v>
      </c>
      <c r="P201" s="542">
        <v>175.15</v>
      </c>
      <c r="Q201" s="544">
        <v>0.25</v>
      </c>
      <c r="R201" s="539">
        <v>1</v>
      </c>
      <c r="S201" s="544">
        <v>0.25</v>
      </c>
      <c r="T201" s="543">
        <v>1</v>
      </c>
      <c r="U201" s="545">
        <v>0.25</v>
      </c>
    </row>
    <row r="202" spans="1:21" ht="14.4" customHeight="1" x14ac:dyDescent="0.3">
      <c r="A202" s="538">
        <v>29</v>
      </c>
      <c r="B202" s="539" t="s">
        <v>462</v>
      </c>
      <c r="C202" s="539">
        <v>89301292</v>
      </c>
      <c r="D202" s="540" t="s">
        <v>1025</v>
      </c>
      <c r="E202" s="541" t="s">
        <v>612</v>
      </c>
      <c r="F202" s="539" t="s">
        <v>604</v>
      </c>
      <c r="G202" s="539" t="s">
        <v>686</v>
      </c>
      <c r="H202" s="539" t="s">
        <v>463</v>
      </c>
      <c r="I202" s="539" t="s">
        <v>692</v>
      </c>
      <c r="J202" s="539" t="s">
        <v>688</v>
      </c>
      <c r="K202" s="539" t="s">
        <v>693</v>
      </c>
      <c r="L202" s="542">
        <v>200</v>
      </c>
      <c r="M202" s="542">
        <v>5600</v>
      </c>
      <c r="N202" s="539">
        <v>28</v>
      </c>
      <c r="O202" s="543">
        <v>19</v>
      </c>
      <c r="P202" s="542">
        <v>4600</v>
      </c>
      <c r="Q202" s="544">
        <v>0.8214285714285714</v>
      </c>
      <c r="R202" s="539">
        <v>23</v>
      </c>
      <c r="S202" s="544">
        <v>0.8214285714285714</v>
      </c>
      <c r="T202" s="543">
        <v>16</v>
      </c>
      <c r="U202" s="545">
        <v>0.84210526315789469</v>
      </c>
    </row>
    <row r="203" spans="1:21" ht="14.4" customHeight="1" x14ac:dyDescent="0.3">
      <c r="A203" s="538">
        <v>29</v>
      </c>
      <c r="B203" s="539" t="s">
        <v>462</v>
      </c>
      <c r="C203" s="539">
        <v>89301292</v>
      </c>
      <c r="D203" s="540" t="s">
        <v>1025</v>
      </c>
      <c r="E203" s="541" t="s">
        <v>612</v>
      </c>
      <c r="F203" s="539" t="s">
        <v>604</v>
      </c>
      <c r="G203" s="539" t="s">
        <v>686</v>
      </c>
      <c r="H203" s="539" t="s">
        <v>463</v>
      </c>
      <c r="I203" s="539" t="s">
        <v>976</v>
      </c>
      <c r="J203" s="539" t="s">
        <v>977</v>
      </c>
      <c r="K203" s="539" t="s">
        <v>978</v>
      </c>
      <c r="L203" s="542">
        <v>1041.3900000000001</v>
      </c>
      <c r="M203" s="542">
        <v>3124.17</v>
      </c>
      <c r="N203" s="539">
        <v>3</v>
      </c>
      <c r="O203" s="543">
        <v>1</v>
      </c>
      <c r="P203" s="542">
        <v>3124.17</v>
      </c>
      <c r="Q203" s="544">
        <v>1</v>
      </c>
      <c r="R203" s="539">
        <v>3</v>
      </c>
      <c r="S203" s="544">
        <v>1</v>
      </c>
      <c r="T203" s="543">
        <v>1</v>
      </c>
      <c r="U203" s="545">
        <v>1</v>
      </c>
    </row>
    <row r="204" spans="1:21" ht="14.4" customHeight="1" x14ac:dyDescent="0.3">
      <c r="A204" s="538">
        <v>29</v>
      </c>
      <c r="B204" s="539" t="s">
        <v>462</v>
      </c>
      <c r="C204" s="539">
        <v>89301292</v>
      </c>
      <c r="D204" s="540" t="s">
        <v>1025</v>
      </c>
      <c r="E204" s="541" t="s">
        <v>612</v>
      </c>
      <c r="F204" s="539" t="s">
        <v>604</v>
      </c>
      <c r="G204" s="539" t="s">
        <v>686</v>
      </c>
      <c r="H204" s="539" t="s">
        <v>463</v>
      </c>
      <c r="I204" s="539" t="s">
        <v>979</v>
      </c>
      <c r="J204" s="539" t="s">
        <v>977</v>
      </c>
      <c r="K204" s="539" t="s">
        <v>980</v>
      </c>
      <c r="L204" s="542">
        <v>1269.81</v>
      </c>
      <c r="M204" s="542">
        <v>3809.43</v>
      </c>
      <c r="N204" s="539">
        <v>3</v>
      </c>
      <c r="O204" s="543">
        <v>1</v>
      </c>
      <c r="P204" s="542">
        <v>3809.43</v>
      </c>
      <c r="Q204" s="544">
        <v>1</v>
      </c>
      <c r="R204" s="539">
        <v>3</v>
      </c>
      <c r="S204" s="544">
        <v>1</v>
      </c>
      <c r="T204" s="543">
        <v>1</v>
      </c>
      <c r="U204" s="545">
        <v>1</v>
      </c>
    </row>
    <row r="205" spans="1:21" ht="14.4" customHeight="1" x14ac:dyDescent="0.3">
      <c r="A205" s="538">
        <v>29</v>
      </c>
      <c r="B205" s="539" t="s">
        <v>462</v>
      </c>
      <c r="C205" s="539">
        <v>89301292</v>
      </c>
      <c r="D205" s="540" t="s">
        <v>1025</v>
      </c>
      <c r="E205" s="541" t="s">
        <v>612</v>
      </c>
      <c r="F205" s="539" t="s">
        <v>604</v>
      </c>
      <c r="G205" s="539" t="s">
        <v>686</v>
      </c>
      <c r="H205" s="539" t="s">
        <v>463</v>
      </c>
      <c r="I205" s="539" t="s">
        <v>697</v>
      </c>
      <c r="J205" s="539" t="s">
        <v>698</v>
      </c>
      <c r="K205" s="539" t="s">
        <v>699</v>
      </c>
      <c r="L205" s="542">
        <v>156</v>
      </c>
      <c r="M205" s="542">
        <v>1404</v>
      </c>
      <c r="N205" s="539">
        <v>9</v>
      </c>
      <c r="O205" s="543">
        <v>9</v>
      </c>
      <c r="P205" s="542">
        <v>1092</v>
      </c>
      <c r="Q205" s="544">
        <v>0.77777777777777779</v>
      </c>
      <c r="R205" s="539">
        <v>7</v>
      </c>
      <c r="S205" s="544">
        <v>0.77777777777777779</v>
      </c>
      <c r="T205" s="543">
        <v>7</v>
      </c>
      <c r="U205" s="545">
        <v>0.77777777777777779</v>
      </c>
    </row>
    <row r="206" spans="1:21" ht="14.4" customHeight="1" x14ac:dyDescent="0.3">
      <c r="A206" s="538">
        <v>29</v>
      </c>
      <c r="B206" s="539" t="s">
        <v>462</v>
      </c>
      <c r="C206" s="539">
        <v>89301292</v>
      </c>
      <c r="D206" s="540" t="s">
        <v>1025</v>
      </c>
      <c r="E206" s="541" t="s">
        <v>612</v>
      </c>
      <c r="F206" s="539" t="s">
        <v>604</v>
      </c>
      <c r="G206" s="539" t="s">
        <v>686</v>
      </c>
      <c r="H206" s="539" t="s">
        <v>463</v>
      </c>
      <c r="I206" s="539" t="s">
        <v>981</v>
      </c>
      <c r="J206" s="539" t="s">
        <v>982</v>
      </c>
      <c r="K206" s="539" t="s">
        <v>983</v>
      </c>
      <c r="L206" s="542">
        <v>1600</v>
      </c>
      <c r="M206" s="542">
        <v>3200</v>
      </c>
      <c r="N206" s="539">
        <v>2</v>
      </c>
      <c r="O206" s="543">
        <v>1</v>
      </c>
      <c r="P206" s="542">
        <v>3200</v>
      </c>
      <c r="Q206" s="544">
        <v>1</v>
      </c>
      <c r="R206" s="539">
        <v>2</v>
      </c>
      <c r="S206" s="544">
        <v>1</v>
      </c>
      <c r="T206" s="543">
        <v>1</v>
      </c>
      <c r="U206" s="545">
        <v>1</v>
      </c>
    </row>
    <row r="207" spans="1:21" ht="14.4" customHeight="1" x14ac:dyDescent="0.3">
      <c r="A207" s="538">
        <v>29</v>
      </c>
      <c r="B207" s="539" t="s">
        <v>462</v>
      </c>
      <c r="C207" s="539">
        <v>89301292</v>
      </c>
      <c r="D207" s="540" t="s">
        <v>1025</v>
      </c>
      <c r="E207" s="541" t="s">
        <v>612</v>
      </c>
      <c r="F207" s="539" t="s">
        <v>604</v>
      </c>
      <c r="G207" s="539" t="s">
        <v>686</v>
      </c>
      <c r="H207" s="539" t="s">
        <v>463</v>
      </c>
      <c r="I207" s="539" t="s">
        <v>984</v>
      </c>
      <c r="J207" s="539" t="s">
        <v>985</v>
      </c>
      <c r="K207" s="539" t="s">
        <v>986</v>
      </c>
      <c r="L207" s="542">
        <v>1512.58</v>
      </c>
      <c r="M207" s="542">
        <v>3025.16</v>
      </c>
      <c r="N207" s="539">
        <v>2</v>
      </c>
      <c r="O207" s="543">
        <v>1</v>
      </c>
      <c r="P207" s="542">
        <v>3025.16</v>
      </c>
      <c r="Q207" s="544">
        <v>1</v>
      </c>
      <c r="R207" s="539">
        <v>2</v>
      </c>
      <c r="S207" s="544">
        <v>1</v>
      </c>
      <c r="T207" s="543">
        <v>1</v>
      </c>
      <c r="U207" s="545">
        <v>1</v>
      </c>
    </row>
    <row r="208" spans="1:21" ht="14.4" customHeight="1" x14ac:dyDescent="0.3">
      <c r="A208" s="538">
        <v>29</v>
      </c>
      <c r="B208" s="539" t="s">
        <v>462</v>
      </c>
      <c r="C208" s="539">
        <v>89301292</v>
      </c>
      <c r="D208" s="540" t="s">
        <v>1025</v>
      </c>
      <c r="E208" s="541" t="s">
        <v>612</v>
      </c>
      <c r="F208" s="539" t="s">
        <v>604</v>
      </c>
      <c r="G208" s="539" t="s">
        <v>686</v>
      </c>
      <c r="H208" s="539" t="s">
        <v>463</v>
      </c>
      <c r="I208" s="539" t="s">
        <v>987</v>
      </c>
      <c r="J208" s="539" t="s">
        <v>988</v>
      </c>
      <c r="K208" s="539" t="s">
        <v>989</v>
      </c>
      <c r="L208" s="542">
        <v>159.6</v>
      </c>
      <c r="M208" s="542">
        <v>159.6</v>
      </c>
      <c r="N208" s="539">
        <v>1</v>
      </c>
      <c r="O208" s="543">
        <v>1</v>
      </c>
      <c r="P208" s="542">
        <v>159.6</v>
      </c>
      <c r="Q208" s="544">
        <v>1</v>
      </c>
      <c r="R208" s="539">
        <v>1</v>
      </c>
      <c r="S208" s="544">
        <v>1</v>
      </c>
      <c r="T208" s="543">
        <v>1</v>
      </c>
      <c r="U208" s="545">
        <v>1</v>
      </c>
    </row>
    <row r="209" spans="1:21" ht="14.4" customHeight="1" x14ac:dyDescent="0.3">
      <c r="A209" s="538">
        <v>29</v>
      </c>
      <c r="B209" s="539" t="s">
        <v>462</v>
      </c>
      <c r="C209" s="539">
        <v>89301292</v>
      </c>
      <c r="D209" s="540" t="s">
        <v>1025</v>
      </c>
      <c r="E209" s="541" t="s">
        <v>612</v>
      </c>
      <c r="F209" s="539" t="s">
        <v>604</v>
      </c>
      <c r="G209" s="539" t="s">
        <v>686</v>
      </c>
      <c r="H209" s="539" t="s">
        <v>463</v>
      </c>
      <c r="I209" s="539" t="s">
        <v>707</v>
      </c>
      <c r="J209" s="539" t="s">
        <v>708</v>
      </c>
      <c r="K209" s="539" t="s">
        <v>709</v>
      </c>
      <c r="L209" s="542">
        <v>8</v>
      </c>
      <c r="M209" s="542">
        <v>16</v>
      </c>
      <c r="N209" s="539">
        <v>2</v>
      </c>
      <c r="O209" s="543">
        <v>1</v>
      </c>
      <c r="P209" s="542">
        <v>16</v>
      </c>
      <c r="Q209" s="544">
        <v>1</v>
      </c>
      <c r="R209" s="539">
        <v>2</v>
      </c>
      <c r="S209" s="544">
        <v>1</v>
      </c>
      <c r="T209" s="543">
        <v>1</v>
      </c>
      <c r="U209" s="545">
        <v>1</v>
      </c>
    </row>
    <row r="210" spans="1:21" ht="14.4" customHeight="1" x14ac:dyDescent="0.3">
      <c r="A210" s="538">
        <v>29</v>
      </c>
      <c r="B210" s="539" t="s">
        <v>462</v>
      </c>
      <c r="C210" s="539">
        <v>89301292</v>
      </c>
      <c r="D210" s="540" t="s">
        <v>1025</v>
      </c>
      <c r="E210" s="541" t="s">
        <v>612</v>
      </c>
      <c r="F210" s="539" t="s">
        <v>604</v>
      </c>
      <c r="G210" s="539" t="s">
        <v>686</v>
      </c>
      <c r="H210" s="539" t="s">
        <v>463</v>
      </c>
      <c r="I210" s="539" t="s">
        <v>990</v>
      </c>
      <c r="J210" s="539" t="s">
        <v>991</v>
      </c>
      <c r="K210" s="539" t="s">
        <v>992</v>
      </c>
      <c r="L210" s="542">
        <v>734.52</v>
      </c>
      <c r="M210" s="542">
        <v>734.52</v>
      </c>
      <c r="N210" s="539">
        <v>1</v>
      </c>
      <c r="O210" s="543">
        <v>1</v>
      </c>
      <c r="P210" s="542">
        <v>734.52</v>
      </c>
      <c r="Q210" s="544">
        <v>1</v>
      </c>
      <c r="R210" s="539">
        <v>1</v>
      </c>
      <c r="S210" s="544">
        <v>1</v>
      </c>
      <c r="T210" s="543">
        <v>1</v>
      </c>
      <c r="U210" s="545">
        <v>1</v>
      </c>
    </row>
    <row r="211" spans="1:21" ht="14.4" customHeight="1" x14ac:dyDescent="0.3">
      <c r="A211" s="538">
        <v>29</v>
      </c>
      <c r="B211" s="539" t="s">
        <v>462</v>
      </c>
      <c r="C211" s="539">
        <v>89301292</v>
      </c>
      <c r="D211" s="540" t="s">
        <v>1025</v>
      </c>
      <c r="E211" s="541" t="s">
        <v>612</v>
      </c>
      <c r="F211" s="539" t="s">
        <v>604</v>
      </c>
      <c r="G211" s="539" t="s">
        <v>686</v>
      </c>
      <c r="H211" s="539" t="s">
        <v>463</v>
      </c>
      <c r="I211" s="539" t="s">
        <v>936</v>
      </c>
      <c r="J211" s="539" t="s">
        <v>708</v>
      </c>
      <c r="K211" s="539" t="s">
        <v>937</v>
      </c>
      <c r="L211" s="542">
        <v>4.87</v>
      </c>
      <c r="M211" s="542">
        <v>14.61</v>
      </c>
      <c r="N211" s="539">
        <v>3</v>
      </c>
      <c r="O211" s="543">
        <v>1</v>
      </c>
      <c r="P211" s="542">
        <v>14.61</v>
      </c>
      <c r="Q211" s="544">
        <v>1</v>
      </c>
      <c r="R211" s="539">
        <v>3</v>
      </c>
      <c r="S211" s="544">
        <v>1</v>
      </c>
      <c r="T211" s="543">
        <v>1</v>
      </c>
      <c r="U211" s="545">
        <v>1</v>
      </c>
    </row>
    <row r="212" spans="1:21" ht="14.4" customHeight="1" x14ac:dyDescent="0.3">
      <c r="A212" s="538">
        <v>29</v>
      </c>
      <c r="B212" s="539" t="s">
        <v>462</v>
      </c>
      <c r="C212" s="539">
        <v>89301292</v>
      </c>
      <c r="D212" s="540" t="s">
        <v>1025</v>
      </c>
      <c r="E212" s="541" t="s">
        <v>612</v>
      </c>
      <c r="F212" s="539" t="s">
        <v>604</v>
      </c>
      <c r="G212" s="539" t="s">
        <v>686</v>
      </c>
      <c r="H212" s="539" t="s">
        <v>463</v>
      </c>
      <c r="I212" s="539" t="s">
        <v>993</v>
      </c>
      <c r="J212" s="539" t="s">
        <v>994</v>
      </c>
      <c r="K212" s="539" t="s">
        <v>995</v>
      </c>
      <c r="L212" s="542">
        <v>181.88</v>
      </c>
      <c r="M212" s="542">
        <v>181.88</v>
      </c>
      <c r="N212" s="539">
        <v>1</v>
      </c>
      <c r="O212" s="543">
        <v>1</v>
      </c>
      <c r="P212" s="542"/>
      <c r="Q212" s="544">
        <v>0</v>
      </c>
      <c r="R212" s="539"/>
      <c r="S212" s="544">
        <v>0</v>
      </c>
      <c r="T212" s="543"/>
      <c r="U212" s="545">
        <v>0</v>
      </c>
    </row>
    <row r="213" spans="1:21" ht="14.4" customHeight="1" x14ac:dyDescent="0.3">
      <c r="A213" s="538">
        <v>29</v>
      </c>
      <c r="B213" s="539" t="s">
        <v>462</v>
      </c>
      <c r="C213" s="539">
        <v>89301292</v>
      </c>
      <c r="D213" s="540" t="s">
        <v>1025</v>
      </c>
      <c r="E213" s="541" t="s">
        <v>612</v>
      </c>
      <c r="F213" s="539" t="s">
        <v>604</v>
      </c>
      <c r="G213" s="539" t="s">
        <v>686</v>
      </c>
      <c r="H213" s="539" t="s">
        <v>463</v>
      </c>
      <c r="I213" s="539" t="s">
        <v>724</v>
      </c>
      <c r="J213" s="539" t="s">
        <v>725</v>
      </c>
      <c r="K213" s="539" t="s">
        <v>726</v>
      </c>
      <c r="L213" s="542">
        <v>841.6</v>
      </c>
      <c r="M213" s="542">
        <v>1683.2</v>
      </c>
      <c r="N213" s="539">
        <v>2</v>
      </c>
      <c r="O213" s="543">
        <v>1</v>
      </c>
      <c r="P213" s="542">
        <v>1683.2</v>
      </c>
      <c r="Q213" s="544">
        <v>1</v>
      </c>
      <c r="R213" s="539">
        <v>2</v>
      </c>
      <c r="S213" s="544">
        <v>1</v>
      </c>
      <c r="T213" s="543">
        <v>1</v>
      </c>
      <c r="U213" s="545">
        <v>1</v>
      </c>
    </row>
    <row r="214" spans="1:21" ht="14.4" customHeight="1" x14ac:dyDescent="0.3">
      <c r="A214" s="538">
        <v>29</v>
      </c>
      <c r="B214" s="539" t="s">
        <v>462</v>
      </c>
      <c r="C214" s="539">
        <v>89301292</v>
      </c>
      <c r="D214" s="540" t="s">
        <v>1025</v>
      </c>
      <c r="E214" s="541" t="s">
        <v>612</v>
      </c>
      <c r="F214" s="539" t="s">
        <v>604</v>
      </c>
      <c r="G214" s="539" t="s">
        <v>686</v>
      </c>
      <c r="H214" s="539" t="s">
        <v>463</v>
      </c>
      <c r="I214" s="539" t="s">
        <v>996</v>
      </c>
      <c r="J214" s="539" t="s">
        <v>977</v>
      </c>
      <c r="K214" s="539" t="s">
        <v>997</v>
      </c>
      <c r="L214" s="542">
        <v>859.41</v>
      </c>
      <c r="M214" s="542">
        <v>2578.23</v>
      </c>
      <c r="N214" s="539">
        <v>3</v>
      </c>
      <c r="O214" s="543">
        <v>2</v>
      </c>
      <c r="P214" s="542">
        <v>859.41</v>
      </c>
      <c r="Q214" s="544">
        <v>0.33333333333333331</v>
      </c>
      <c r="R214" s="539">
        <v>1</v>
      </c>
      <c r="S214" s="544">
        <v>0.33333333333333331</v>
      </c>
      <c r="T214" s="543">
        <v>1</v>
      </c>
      <c r="U214" s="545">
        <v>0.5</v>
      </c>
    </row>
    <row r="215" spans="1:21" ht="14.4" customHeight="1" x14ac:dyDescent="0.3">
      <c r="A215" s="538">
        <v>29</v>
      </c>
      <c r="B215" s="539" t="s">
        <v>462</v>
      </c>
      <c r="C215" s="539">
        <v>89301292</v>
      </c>
      <c r="D215" s="540" t="s">
        <v>1025</v>
      </c>
      <c r="E215" s="541" t="s">
        <v>612</v>
      </c>
      <c r="F215" s="539" t="s">
        <v>604</v>
      </c>
      <c r="G215" s="539" t="s">
        <v>686</v>
      </c>
      <c r="H215" s="539" t="s">
        <v>463</v>
      </c>
      <c r="I215" s="539" t="s">
        <v>998</v>
      </c>
      <c r="J215" s="539" t="s">
        <v>999</v>
      </c>
      <c r="K215" s="539" t="s">
        <v>1000</v>
      </c>
      <c r="L215" s="542">
        <v>1156.58</v>
      </c>
      <c r="M215" s="542">
        <v>1156.58</v>
      </c>
      <c r="N215" s="539">
        <v>1</v>
      </c>
      <c r="O215" s="543">
        <v>1</v>
      </c>
      <c r="P215" s="542">
        <v>1156.58</v>
      </c>
      <c r="Q215" s="544">
        <v>1</v>
      </c>
      <c r="R215" s="539">
        <v>1</v>
      </c>
      <c r="S215" s="544">
        <v>1</v>
      </c>
      <c r="T215" s="543">
        <v>1</v>
      </c>
      <c r="U215" s="545">
        <v>1</v>
      </c>
    </row>
    <row r="216" spans="1:21" ht="14.4" customHeight="1" x14ac:dyDescent="0.3">
      <c r="A216" s="538">
        <v>29</v>
      </c>
      <c r="B216" s="539" t="s">
        <v>462</v>
      </c>
      <c r="C216" s="539">
        <v>89301292</v>
      </c>
      <c r="D216" s="540" t="s">
        <v>1025</v>
      </c>
      <c r="E216" s="541" t="s">
        <v>612</v>
      </c>
      <c r="F216" s="539" t="s">
        <v>604</v>
      </c>
      <c r="G216" s="539" t="s">
        <v>727</v>
      </c>
      <c r="H216" s="539" t="s">
        <v>463</v>
      </c>
      <c r="I216" s="539" t="s">
        <v>728</v>
      </c>
      <c r="J216" s="539" t="s">
        <v>729</v>
      </c>
      <c r="K216" s="539" t="s">
        <v>730</v>
      </c>
      <c r="L216" s="542">
        <v>410</v>
      </c>
      <c r="M216" s="542">
        <v>12710</v>
      </c>
      <c r="N216" s="539">
        <v>31</v>
      </c>
      <c r="O216" s="543">
        <v>31</v>
      </c>
      <c r="P216" s="542">
        <v>12710</v>
      </c>
      <c r="Q216" s="544">
        <v>1</v>
      </c>
      <c r="R216" s="539">
        <v>31</v>
      </c>
      <c r="S216" s="544">
        <v>1</v>
      </c>
      <c r="T216" s="543">
        <v>31</v>
      </c>
      <c r="U216" s="545">
        <v>1</v>
      </c>
    </row>
    <row r="217" spans="1:21" ht="14.4" customHeight="1" x14ac:dyDescent="0.3">
      <c r="A217" s="538">
        <v>29</v>
      </c>
      <c r="B217" s="539" t="s">
        <v>462</v>
      </c>
      <c r="C217" s="539">
        <v>89301292</v>
      </c>
      <c r="D217" s="540" t="s">
        <v>1025</v>
      </c>
      <c r="E217" s="541" t="s">
        <v>612</v>
      </c>
      <c r="F217" s="539" t="s">
        <v>604</v>
      </c>
      <c r="G217" s="539" t="s">
        <v>727</v>
      </c>
      <c r="H217" s="539" t="s">
        <v>463</v>
      </c>
      <c r="I217" s="539" t="s">
        <v>1001</v>
      </c>
      <c r="J217" s="539" t="s">
        <v>729</v>
      </c>
      <c r="K217" s="539" t="s">
        <v>1002</v>
      </c>
      <c r="L217" s="542">
        <v>410</v>
      </c>
      <c r="M217" s="542">
        <v>410</v>
      </c>
      <c r="N217" s="539">
        <v>1</v>
      </c>
      <c r="O217" s="543">
        <v>1</v>
      </c>
      <c r="P217" s="542"/>
      <c r="Q217" s="544">
        <v>0</v>
      </c>
      <c r="R217" s="539"/>
      <c r="S217" s="544">
        <v>0</v>
      </c>
      <c r="T217" s="543"/>
      <c r="U217" s="545">
        <v>0</v>
      </c>
    </row>
    <row r="218" spans="1:21" ht="14.4" customHeight="1" x14ac:dyDescent="0.3">
      <c r="A218" s="538">
        <v>29</v>
      </c>
      <c r="B218" s="539" t="s">
        <v>462</v>
      </c>
      <c r="C218" s="539">
        <v>89301292</v>
      </c>
      <c r="D218" s="540" t="s">
        <v>1025</v>
      </c>
      <c r="E218" s="541" t="s">
        <v>612</v>
      </c>
      <c r="F218" s="539" t="s">
        <v>604</v>
      </c>
      <c r="G218" s="539" t="s">
        <v>727</v>
      </c>
      <c r="H218" s="539" t="s">
        <v>463</v>
      </c>
      <c r="I218" s="539" t="s">
        <v>1003</v>
      </c>
      <c r="J218" s="539" t="s">
        <v>732</v>
      </c>
      <c r="K218" s="539" t="s">
        <v>1004</v>
      </c>
      <c r="L218" s="542">
        <v>600</v>
      </c>
      <c r="M218" s="542">
        <v>600</v>
      </c>
      <c r="N218" s="539">
        <v>1</v>
      </c>
      <c r="O218" s="543">
        <v>1</v>
      </c>
      <c r="P218" s="542">
        <v>600</v>
      </c>
      <c r="Q218" s="544">
        <v>1</v>
      </c>
      <c r="R218" s="539">
        <v>1</v>
      </c>
      <c r="S218" s="544">
        <v>1</v>
      </c>
      <c r="T218" s="543">
        <v>1</v>
      </c>
      <c r="U218" s="545">
        <v>1</v>
      </c>
    </row>
    <row r="219" spans="1:21" ht="14.4" customHeight="1" x14ac:dyDescent="0.3">
      <c r="A219" s="538">
        <v>29</v>
      </c>
      <c r="B219" s="539" t="s">
        <v>462</v>
      </c>
      <c r="C219" s="539">
        <v>89301292</v>
      </c>
      <c r="D219" s="540" t="s">
        <v>1025</v>
      </c>
      <c r="E219" s="541" t="s">
        <v>612</v>
      </c>
      <c r="F219" s="539" t="s">
        <v>604</v>
      </c>
      <c r="G219" s="539" t="s">
        <v>737</v>
      </c>
      <c r="H219" s="539" t="s">
        <v>463</v>
      </c>
      <c r="I219" s="539" t="s">
        <v>1005</v>
      </c>
      <c r="J219" s="539" t="s">
        <v>1006</v>
      </c>
      <c r="K219" s="539" t="s">
        <v>1007</v>
      </c>
      <c r="L219" s="542">
        <v>350</v>
      </c>
      <c r="M219" s="542">
        <v>350</v>
      </c>
      <c r="N219" s="539">
        <v>1</v>
      </c>
      <c r="O219" s="543">
        <v>1</v>
      </c>
      <c r="P219" s="542">
        <v>350</v>
      </c>
      <c r="Q219" s="544">
        <v>1</v>
      </c>
      <c r="R219" s="539">
        <v>1</v>
      </c>
      <c r="S219" s="544">
        <v>1</v>
      </c>
      <c r="T219" s="543">
        <v>1</v>
      </c>
      <c r="U219" s="545">
        <v>1</v>
      </c>
    </row>
    <row r="220" spans="1:21" ht="14.4" customHeight="1" x14ac:dyDescent="0.3">
      <c r="A220" s="538">
        <v>29</v>
      </c>
      <c r="B220" s="539" t="s">
        <v>462</v>
      </c>
      <c r="C220" s="539">
        <v>89301292</v>
      </c>
      <c r="D220" s="540" t="s">
        <v>1025</v>
      </c>
      <c r="E220" s="541" t="s">
        <v>612</v>
      </c>
      <c r="F220" s="539" t="s">
        <v>604</v>
      </c>
      <c r="G220" s="539" t="s">
        <v>737</v>
      </c>
      <c r="H220" s="539" t="s">
        <v>463</v>
      </c>
      <c r="I220" s="539" t="s">
        <v>857</v>
      </c>
      <c r="J220" s="539" t="s">
        <v>858</v>
      </c>
      <c r="K220" s="539" t="s">
        <v>859</v>
      </c>
      <c r="L220" s="542">
        <v>378.48</v>
      </c>
      <c r="M220" s="542">
        <v>378.48</v>
      </c>
      <c r="N220" s="539">
        <v>1</v>
      </c>
      <c r="O220" s="543">
        <v>1</v>
      </c>
      <c r="P220" s="542">
        <v>378.48</v>
      </c>
      <c r="Q220" s="544">
        <v>1</v>
      </c>
      <c r="R220" s="539">
        <v>1</v>
      </c>
      <c r="S220" s="544">
        <v>1</v>
      </c>
      <c r="T220" s="543">
        <v>1</v>
      </c>
      <c r="U220" s="545">
        <v>1</v>
      </c>
    </row>
    <row r="221" spans="1:21" ht="14.4" customHeight="1" x14ac:dyDescent="0.3">
      <c r="A221" s="538">
        <v>29</v>
      </c>
      <c r="B221" s="539" t="s">
        <v>462</v>
      </c>
      <c r="C221" s="539">
        <v>89301292</v>
      </c>
      <c r="D221" s="540" t="s">
        <v>1025</v>
      </c>
      <c r="E221" s="541" t="s">
        <v>612</v>
      </c>
      <c r="F221" s="539" t="s">
        <v>604</v>
      </c>
      <c r="G221" s="539" t="s">
        <v>737</v>
      </c>
      <c r="H221" s="539" t="s">
        <v>463</v>
      </c>
      <c r="I221" s="539" t="s">
        <v>1008</v>
      </c>
      <c r="J221" s="539" t="s">
        <v>1009</v>
      </c>
      <c r="K221" s="539" t="s">
        <v>1010</v>
      </c>
      <c r="L221" s="542">
        <v>250</v>
      </c>
      <c r="M221" s="542">
        <v>250</v>
      </c>
      <c r="N221" s="539">
        <v>1</v>
      </c>
      <c r="O221" s="543">
        <v>1</v>
      </c>
      <c r="P221" s="542">
        <v>250</v>
      </c>
      <c r="Q221" s="544">
        <v>1</v>
      </c>
      <c r="R221" s="539">
        <v>1</v>
      </c>
      <c r="S221" s="544">
        <v>1</v>
      </c>
      <c r="T221" s="543">
        <v>1</v>
      </c>
      <c r="U221" s="545">
        <v>1</v>
      </c>
    </row>
    <row r="222" spans="1:21" ht="14.4" customHeight="1" x14ac:dyDescent="0.3">
      <c r="A222" s="538">
        <v>29</v>
      </c>
      <c r="B222" s="539" t="s">
        <v>462</v>
      </c>
      <c r="C222" s="539">
        <v>89301292</v>
      </c>
      <c r="D222" s="540" t="s">
        <v>1025</v>
      </c>
      <c r="E222" s="541" t="s">
        <v>612</v>
      </c>
      <c r="F222" s="539" t="s">
        <v>604</v>
      </c>
      <c r="G222" s="539" t="s">
        <v>737</v>
      </c>
      <c r="H222" s="539" t="s">
        <v>463</v>
      </c>
      <c r="I222" s="539" t="s">
        <v>1011</v>
      </c>
      <c r="J222" s="539" t="s">
        <v>1012</v>
      </c>
      <c r="K222" s="539"/>
      <c r="L222" s="542">
        <v>80.349999999999994</v>
      </c>
      <c r="M222" s="542">
        <v>80.349999999999994</v>
      </c>
      <c r="N222" s="539">
        <v>1</v>
      </c>
      <c r="O222" s="543">
        <v>1</v>
      </c>
      <c r="P222" s="542">
        <v>80.349999999999994</v>
      </c>
      <c r="Q222" s="544">
        <v>1</v>
      </c>
      <c r="R222" s="539">
        <v>1</v>
      </c>
      <c r="S222" s="544">
        <v>1</v>
      </c>
      <c r="T222" s="543">
        <v>1</v>
      </c>
      <c r="U222" s="545">
        <v>1</v>
      </c>
    </row>
    <row r="223" spans="1:21" ht="14.4" customHeight="1" x14ac:dyDescent="0.3">
      <c r="A223" s="538">
        <v>29</v>
      </c>
      <c r="B223" s="539" t="s">
        <v>462</v>
      </c>
      <c r="C223" s="539">
        <v>89301292</v>
      </c>
      <c r="D223" s="540" t="s">
        <v>1025</v>
      </c>
      <c r="E223" s="541" t="s">
        <v>612</v>
      </c>
      <c r="F223" s="539" t="s">
        <v>604</v>
      </c>
      <c r="G223" s="539" t="s">
        <v>737</v>
      </c>
      <c r="H223" s="539" t="s">
        <v>463</v>
      </c>
      <c r="I223" s="539" t="s">
        <v>1013</v>
      </c>
      <c r="J223" s="539" t="s">
        <v>1014</v>
      </c>
      <c r="K223" s="539" t="s">
        <v>1015</v>
      </c>
      <c r="L223" s="542">
        <v>350</v>
      </c>
      <c r="M223" s="542">
        <v>350</v>
      </c>
      <c r="N223" s="539">
        <v>1</v>
      </c>
      <c r="O223" s="543">
        <v>1</v>
      </c>
      <c r="P223" s="542"/>
      <c r="Q223" s="544">
        <v>0</v>
      </c>
      <c r="R223" s="539"/>
      <c r="S223" s="544">
        <v>0</v>
      </c>
      <c r="T223" s="543"/>
      <c r="U223" s="545">
        <v>0</v>
      </c>
    </row>
    <row r="224" spans="1:21" ht="14.4" customHeight="1" x14ac:dyDescent="0.3">
      <c r="A224" s="538">
        <v>29</v>
      </c>
      <c r="B224" s="539" t="s">
        <v>462</v>
      </c>
      <c r="C224" s="539">
        <v>89301292</v>
      </c>
      <c r="D224" s="540" t="s">
        <v>1025</v>
      </c>
      <c r="E224" s="541" t="s">
        <v>612</v>
      </c>
      <c r="F224" s="539" t="s">
        <v>604</v>
      </c>
      <c r="G224" s="539" t="s">
        <v>737</v>
      </c>
      <c r="H224" s="539" t="s">
        <v>463</v>
      </c>
      <c r="I224" s="539" t="s">
        <v>786</v>
      </c>
      <c r="J224" s="539" t="s">
        <v>787</v>
      </c>
      <c r="K224" s="539" t="s">
        <v>788</v>
      </c>
      <c r="L224" s="542">
        <v>195.56</v>
      </c>
      <c r="M224" s="542">
        <v>391.12</v>
      </c>
      <c r="N224" s="539">
        <v>2</v>
      </c>
      <c r="O224" s="543">
        <v>2</v>
      </c>
      <c r="P224" s="542"/>
      <c r="Q224" s="544">
        <v>0</v>
      </c>
      <c r="R224" s="539"/>
      <c r="S224" s="544">
        <v>0</v>
      </c>
      <c r="T224" s="543"/>
      <c r="U224" s="545">
        <v>0</v>
      </c>
    </row>
    <row r="225" spans="1:21" ht="14.4" customHeight="1" x14ac:dyDescent="0.3">
      <c r="A225" s="538">
        <v>29</v>
      </c>
      <c r="B225" s="539" t="s">
        <v>462</v>
      </c>
      <c r="C225" s="539">
        <v>89301292</v>
      </c>
      <c r="D225" s="540" t="s">
        <v>1025</v>
      </c>
      <c r="E225" s="541" t="s">
        <v>612</v>
      </c>
      <c r="F225" s="539" t="s">
        <v>604</v>
      </c>
      <c r="G225" s="539" t="s">
        <v>737</v>
      </c>
      <c r="H225" s="539" t="s">
        <v>463</v>
      </c>
      <c r="I225" s="539" t="s">
        <v>747</v>
      </c>
      <c r="J225" s="539" t="s">
        <v>748</v>
      </c>
      <c r="K225" s="539" t="s">
        <v>749</v>
      </c>
      <c r="L225" s="542">
        <v>250</v>
      </c>
      <c r="M225" s="542">
        <v>750</v>
      </c>
      <c r="N225" s="539">
        <v>3</v>
      </c>
      <c r="O225" s="543">
        <v>3</v>
      </c>
      <c r="P225" s="542">
        <v>250</v>
      </c>
      <c r="Q225" s="544">
        <v>0.33333333333333331</v>
      </c>
      <c r="R225" s="539">
        <v>1</v>
      </c>
      <c r="S225" s="544">
        <v>0.33333333333333331</v>
      </c>
      <c r="T225" s="543">
        <v>1</v>
      </c>
      <c r="U225" s="545">
        <v>0.33333333333333331</v>
      </c>
    </row>
    <row r="226" spans="1:21" ht="14.4" customHeight="1" x14ac:dyDescent="0.3">
      <c r="A226" s="538">
        <v>29</v>
      </c>
      <c r="B226" s="539" t="s">
        <v>462</v>
      </c>
      <c r="C226" s="539">
        <v>89301292</v>
      </c>
      <c r="D226" s="540" t="s">
        <v>1025</v>
      </c>
      <c r="E226" s="541" t="s">
        <v>612</v>
      </c>
      <c r="F226" s="539" t="s">
        <v>604</v>
      </c>
      <c r="G226" s="539" t="s">
        <v>737</v>
      </c>
      <c r="H226" s="539" t="s">
        <v>463</v>
      </c>
      <c r="I226" s="539" t="s">
        <v>1016</v>
      </c>
      <c r="J226" s="539" t="s">
        <v>1017</v>
      </c>
      <c r="K226" s="539" t="s">
        <v>1018</v>
      </c>
      <c r="L226" s="542">
        <v>300</v>
      </c>
      <c r="M226" s="542">
        <v>300</v>
      </c>
      <c r="N226" s="539">
        <v>1</v>
      </c>
      <c r="O226" s="543">
        <v>1</v>
      </c>
      <c r="P226" s="542">
        <v>300</v>
      </c>
      <c r="Q226" s="544">
        <v>1</v>
      </c>
      <c r="R226" s="539">
        <v>1</v>
      </c>
      <c r="S226" s="544">
        <v>1</v>
      </c>
      <c r="T226" s="543">
        <v>1</v>
      </c>
      <c r="U226" s="545">
        <v>1</v>
      </c>
    </row>
    <row r="227" spans="1:21" ht="14.4" customHeight="1" x14ac:dyDescent="0.3">
      <c r="A227" s="538">
        <v>29</v>
      </c>
      <c r="B227" s="539" t="s">
        <v>462</v>
      </c>
      <c r="C227" s="539">
        <v>89301292</v>
      </c>
      <c r="D227" s="540" t="s">
        <v>1025</v>
      </c>
      <c r="E227" s="541" t="s">
        <v>612</v>
      </c>
      <c r="F227" s="539" t="s">
        <v>604</v>
      </c>
      <c r="G227" s="539" t="s">
        <v>737</v>
      </c>
      <c r="H227" s="539" t="s">
        <v>463</v>
      </c>
      <c r="I227" s="539" t="s">
        <v>1019</v>
      </c>
      <c r="J227" s="539" t="s">
        <v>1020</v>
      </c>
      <c r="K227" s="539" t="s">
        <v>1021</v>
      </c>
      <c r="L227" s="542">
        <v>45.52</v>
      </c>
      <c r="M227" s="542">
        <v>45.52</v>
      </c>
      <c r="N227" s="539">
        <v>1</v>
      </c>
      <c r="O227" s="543">
        <v>1</v>
      </c>
      <c r="P227" s="542">
        <v>45.52</v>
      </c>
      <c r="Q227" s="544">
        <v>1</v>
      </c>
      <c r="R227" s="539">
        <v>1</v>
      </c>
      <c r="S227" s="544">
        <v>1</v>
      </c>
      <c r="T227" s="543">
        <v>1</v>
      </c>
      <c r="U227" s="545">
        <v>1</v>
      </c>
    </row>
    <row r="228" spans="1:21" ht="14.4" customHeight="1" x14ac:dyDescent="0.3">
      <c r="A228" s="538">
        <v>29</v>
      </c>
      <c r="B228" s="539" t="s">
        <v>462</v>
      </c>
      <c r="C228" s="539">
        <v>89301292</v>
      </c>
      <c r="D228" s="540" t="s">
        <v>1025</v>
      </c>
      <c r="E228" s="541" t="s">
        <v>612</v>
      </c>
      <c r="F228" s="539" t="s">
        <v>604</v>
      </c>
      <c r="G228" s="539" t="s">
        <v>737</v>
      </c>
      <c r="H228" s="539" t="s">
        <v>463</v>
      </c>
      <c r="I228" s="539" t="s">
        <v>1022</v>
      </c>
      <c r="J228" s="539" t="s">
        <v>1023</v>
      </c>
      <c r="K228" s="539" t="s">
        <v>1024</v>
      </c>
      <c r="L228" s="542">
        <v>250</v>
      </c>
      <c r="M228" s="542">
        <v>250</v>
      </c>
      <c r="N228" s="539">
        <v>1</v>
      </c>
      <c r="O228" s="543">
        <v>1</v>
      </c>
      <c r="P228" s="542">
        <v>250</v>
      </c>
      <c r="Q228" s="544">
        <v>1</v>
      </c>
      <c r="R228" s="539">
        <v>1</v>
      </c>
      <c r="S228" s="544">
        <v>1</v>
      </c>
      <c r="T228" s="543">
        <v>1</v>
      </c>
      <c r="U228" s="545">
        <v>1</v>
      </c>
    </row>
    <row r="229" spans="1:21" ht="14.4" customHeight="1" x14ac:dyDescent="0.3">
      <c r="A229" s="538">
        <v>29</v>
      </c>
      <c r="B229" s="539" t="s">
        <v>462</v>
      </c>
      <c r="C229" s="539">
        <v>89301292</v>
      </c>
      <c r="D229" s="540" t="s">
        <v>1025</v>
      </c>
      <c r="E229" s="541" t="s">
        <v>612</v>
      </c>
      <c r="F229" s="539" t="s">
        <v>604</v>
      </c>
      <c r="G229" s="539" t="s">
        <v>759</v>
      </c>
      <c r="H229" s="539" t="s">
        <v>463</v>
      </c>
      <c r="I229" s="539" t="s">
        <v>760</v>
      </c>
      <c r="J229" s="539" t="s">
        <v>761</v>
      </c>
      <c r="K229" s="539" t="s">
        <v>762</v>
      </c>
      <c r="L229" s="542">
        <v>200</v>
      </c>
      <c r="M229" s="542">
        <v>200</v>
      </c>
      <c r="N229" s="539">
        <v>1</v>
      </c>
      <c r="O229" s="543">
        <v>1</v>
      </c>
      <c r="P229" s="542">
        <v>200</v>
      </c>
      <c r="Q229" s="544">
        <v>1</v>
      </c>
      <c r="R229" s="539">
        <v>1</v>
      </c>
      <c r="S229" s="544">
        <v>1</v>
      </c>
      <c r="T229" s="543">
        <v>1</v>
      </c>
      <c r="U229" s="545">
        <v>1</v>
      </c>
    </row>
    <row r="230" spans="1:21" ht="14.4" customHeight="1" x14ac:dyDescent="0.3">
      <c r="A230" s="538">
        <v>29</v>
      </c>
      <c r="B230" s="539" t="s">
        <v>462</v>
      </c>
      <c r="C230" s="539">
        <v>89301292</v>
      </c>
      <c r="D230" s="540" t="s">
        <v>1025</v>
      </c>
      <c r="E230" s="541" t="s">
        <v>612</v>
      </c>
      <c r="F230" s="539" t="s">
        <v>604</v>
      </c>
      <c r="G230" s="539" t="s">
        <v>801</v>
      </c>
      <c r="H230" s="539" t="s">
        <v>463</v>
      </c>
      <c r="I230" s="539" t="s">
        <v>802</v>
      </c>
      <c r="J230" s="539" t="s">
        <v>803</v>
      </c>
      <c r="K230" s="539"/>
      <c r="L230" s="542">
        <v>0</v>
      </c>
      <c r="M230" s="542">
        <v>0</v>
      </c>
      <c r="N230" s="539">
        <v>1</v>
      </c>
      <c r="O230" s="543">
        <v>1</v>
      </c>
      <c r="P230" s="542"/>
      <c r="Q230" s="544"/>
      <c r="R230" s="539"/>
      <c r="S230" s="544">
        <v>0</v>
      </c>
      <c r="T230" s="543"/>
      <c r="U230" s="545">
        <v>0</v>
      </c>
    </row>
    <row r="231" spans="1:21" ht="14.4" customHeight="1" x14ac:dyDescent="0.3">
      <c r="A231" s="538">
        <v>29</v>
      </c>
      <c r="B231" s="539" t="s">
        <v>462</v>
      </c>
      <c r="C231" s="539">
        <v>89301292</v>
      </c>
      <c r="D231" s="540" t="s">
        <v>1025</v>
      </c>
      <c r="E231" s="541" t="s">
        <v>613</v>
      </c>
      <c r="F231" s="539" t="s">
        <v>602</v>
      </c>
      <c r="G231" s="539" t="s">
        <v>614</v>
      </c>
      <c r="H231" s="539" t="s">
        <v>1026</v>
      </c>
      <c r="I231" s="539" t="s">
        <v>615</v>
      </c>
      <c r="J231" s="539" t="s">
        <v>616</v>
      </c>
      <c r="K231" s="539" t="s">
        <v>617</v>
      </c>
      <c r="L231" s="542">
        <v>154.36000000000001</v>
      </c>
      <c r="M231" s="542">
        <v>154.36000000000001</v>
      </c>
      <c r="N231" s="539">
        <v>1</v>
      </c>
      <c r="O231" s="543">
        <v>1</v>
      </c>
      <c r="P231" s="542"/>
      <c r="Q231" s="544">
        <v>0</v>
      </c>
      <c r="R231" s="539"/>
      <c r="S231" s="544">
        <v>0</v>
      </c>
      <c r="T231" s="543"/>
      <c r="U231" s="545">
        <v>0</v>
      </c>
    </row>
    <row r="232" spans="1:21" ht="14.4" customHeight="1" x14ac:dyDescent="0.3">
      <c r="A232" s="538">
        <v>29</v>
      </c>
      <c r="B232" s="539" t="s">
        <v>462</v>
      </c>
      <c r="C232" s="539">
        <v>89301292</v>
      </c>
      <c r="D232" s="540" t="s">
        <v>1025</v>
      </c>
      <c r="E232" s="541" t="s">
        <v>613</v>
      </c>
      <c r="F232" s="539" t="s">
        <v>602</v>
      </c>
      <c r="G232" s="539" t="s">
        <v>614</v>
      </c>
      <c r="H232" s="539" t="s">
        <v>1026</v>
      </c>
      <c r="I232" s="539" t="s">
        <v>947</v>
      </c>
      <c r="J232" s="539" t="s">
        <v>948</v>
      </c>
      <c r="K232" s="539" t="s">
        <v>946</v>
      </c>
      <c r="L232" s="542">
        <v>145.02000000000001</v>
      </c>
      <c r="M232" s="542">
        <v>145.02000000000001</v>
      </c>
      <c r="N232" s="539">
        <v>1</v>
      </c>
      <c r="O232" s="543">
        <v>1</v>
      </c>
      <c r="P232" s="542"/>
      <c r="Q232" s="544">
        <v>0</v>
      </c>
      <c r="R232" s="539"/>
      <c r="S232" s="544">
        <v>0</v>
      </c>
      <c r="T232" s="543"/>
      <c r="U232" s="545">
        <v>0</v>
      </c>
    </row>
    <row r="233" spans="1:21" ht="14.4" customHeight="1" x14ac:dyDescent="0.3">
      <c r="A233" s="538">
        <v>29</v>
      </c>
      <c r="B233" s="539" t="s">
        <v>462</v>
      </c>
      <c r="C233" s="539">
        <v>89301292</v>
      </c>
      <c r="D233" s="540" t="s">
        <v>1025</v>
      </c>
      <c r="E233" s="541" t="s">
        <v>613</v>
      </c>
      <c r="F233" s="539" t="s">
        <v>602</v>
      </c>
      <c r="G233" s="539" t="s">
        <v>767</v>
      </c>
      <c r="H233" s="539" t="s">
        <v>463</v>
      </c>
      <c r="I233" s="539" t="s">
        <v>768</v>
      </c>
      <c r="J233" s="539" t="s">
        <v>769</v>
      </c>
      <c r="K233" s="539" t="s">
        <v>770</v>
      </c>
      <c r="L233" s="542">
        <v>110.28</v>
      </c>
      <c r="M233" s="542">
        <v>110.28</v>
      </c>
      <c r="N233" s="539">
        <v>1</v>
      </c>
      <c r="O233" s="543">
        <v>1</v>
      </c>
      <c r="P233" s="542"/>
      <c r="Q233" s="544">
        <v>0</v>
      </c>
      <c r="R233" s="539"/>
      <c r="S233" s="544">
        <v>0</v>
      </c>
      <c r="T233" s="543"/>
      <c r="U233" s="545">
        <v>0</v>
      </c>
    </row>
    <row r="234" spans="1:21" ht="14.4" customHeight="1" x14ac:dyDescent="0.3">
      <c r="A234" s="538">
        <v>29</v>
      </c>
      <c r="B234" s="539" t="s">
        <v>462</v>
      </c>
      <c r="C234" s="539">
        <v>89301292</v>
      </c>
      <c r="D234" s="540" t="s">
        <v>1025</v>
      </c>
      <c r="E234" s="541" t="s">
        <v>613</v>
      </c>
      <c r="F234" s="539" t="s">
        <v>602</v>
      </c>
      <c r="G234" s="539" t="s">
        <v>642</v>
      </c>
      <c r="H234" s="539" t="s">
        <v>463</v>
      </c>
      <c r="I234" s="539" t="s">
        <v>552</v>
      </c>
      <c r="J234" s="539" t="s">
        <v>553</v>
      </c>
      <c r="K234" s="539" t="s">
        <v>643</v>
      </c>
      <c r="L234" s="542">
        <v>36.97</v>
      </c>
      <c r="M234" s="542">
        <v>36.97</v>
      </c>
      <c r="N234" s="539">
        <v>1</v>
      </c>
      <c r="O234" s="543">
        <v>1</v>
      </c>
      <c r="P234" s="542">
        <v>36.97</v>
      </c>
      <c r="Q234" s="544">
        <v>1</v>
      </c>
      <c r="R234" s="539">
        <v>1</v>
      </c>
      <c r="S234" s="544">
        <v>1</v>
      </c>
      <c r="T234" s="543">
        <v>1</v>
      </c>
      <c r="U234" s="545">
        <v>1</v>
      </c>
    </row>
    <row r="235" spans="1:21" ht="14.4" customHeight="1" x14ac:dyDescent="0.3">
      <c r="A235" s="538">
        <v>29</v>
      </c>
      <c r="B235" s="539" t="s">
        <v>462</v>
      </c>
      <c r="C235" s="539">
        <v>89301292</v>
      </c>
      <c r="D235" s="540" t="s">
        <v>1025</v>
      </c>
      <c r="E235" s="541" t="s">
        <v>613</v>
      </c>
      <c r="F235" s="539" t="s">
        <v>602</v>
      </c>
      <c r="G235" s="539" t="s">
        <v>644</v>
      </c>
      <c r="H235" s="539" t="s">
        <v>463</v>
      </c>
      <c r="I235" s="539" t="s">
        <v>556</v>
      </c>
      <c r="J235" s="539" t="s">
        <v>557</v>
      </c>
      <c r="K235" s="539" t="s">
        <v>558</v>
      </c>
      <c r="L235" s="542">
        <v>115.13</v>
      </c>
      <c r="M235" s="542">
        <v>230.26</v>
      </c>
      <c r="N235" s="539">
        <v>2</v>
      </c>
      <c r="O235" s="543">
        <v>1</v>
      </c>
      <c r="P235" s="542"/>
      <c r="Q235" s="544">
        <v>0</v>
      </c>
      <c r="R235" s="539"/>
      <c r="S235" s="544">
        <v>0</v>
      </c>
      <c r="T235" s="543"/>
      <c r="U235" s="545">
        <v>0</v>
      </c>
    </row>
    <row r="236" spans="1:21" ht="14.4" customHeight="1" thickBot="1" x14ac:dyDescent="0.35">
      <c r="A236" s="530">
        <v>29</v>
      </c>
      <c r="B236" s="531" t="s">
        <v>462</v>
      </c>
      <c r="C236" s="531">
        <v>89301292</v>
      </c>
      <c r="D236" s="532" t="s">
        <v>1025</v>
      </c>
      <c r="E236" s="533" t="s">
        <v>613</v>
      </c>
      <c r="F236" s="531" t="s">
        <v>602</v>
      </c>
      <c r="G236" s="531" t="s">
        <v>673</v>
      </c>
      <c r="H236" s="531" t="s">
        <v>463</v>
      </c>
      <c r="I236" s="531" t="s">
        <v>560</v>
      </c>
      <c r="J236" s="531" t="s">
        <v>561</v>
      </c>
      <c r="K236" s="531" t="s">
        <v>675</v>
      </c>
      <c r="L236" s="534">
        <v>289.27</v>
      </c>
      <c r="M236" s="534">
        <v>1735.62</v>
      </c>
      <c r="N236" s="531">
        <v>6</v>
      </c>
      <c r="O236" s="535">
        <v>3</v>
      </c>
      <c r="P236" s="534">
        <v>289.27</v>
      </c>
      <c r="Q236" s="536">
        <v>0.16666666666666666</v>
      </c>
      <c r="R236" s="531">
        <v>1</v>
      </c>
      <c r="S236" s="536">
        <v>0.16666666666666666</v>
      </c>
      <c r="T236" s="535">
        <v>1</v>
      </c>
      <c r="U236" s="537">
        <v>0.33333333333333331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2" customWidth="1"/>
    <col min="3" max="3" width="5.5546875" style="215" customWidth="1"/>
    <col min="4" max="4" width="10" style="212" customWidth="1"/>
    <col min="5" max="5" width="5.5546875" style="215" customWidth="1"/>
    <col min="6" max="6" width="10" style="212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67" t="s">
        <v>1028</v>
      </c>
      <c r="B1" s="368"/>
      <c r="C1" s="368"/>
      <c r="D1" s="368"/>
      <c r="E1" s="368"/>
      <c r="F1" s="368"/>
    </row>
    <row r="2" spans="1:6" ht="14.4" customHeight="1" thickBot="1" x14ac:dyDescent="0.35">
      <c r="A2" s="240" t="s">
        <v>281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135</v>
      </c>
      <c r="C3" s="370"/>
      <c r="D3" s="371" t="s">
        <v>134</v>
      </c>
      <c r="E3" s="370"/>
      <c r="F3" s="80" t="s">
        <v>3</v>
      </c>
    </row>
    <row r="4" spans="1:6" ht="14.4" customHeight="1" thickBot="1" x14ac:dyDescent="0.35">
      <c r="A4" s="546" t="s">
        <v>167</v>
      </c>
      <c r="B4" s="547" t="s">
        <v>14</v>
      </c>
      <c r="C4" s="548" t="s">
        <v>2</v>
      </c>
      <c r="D4" s="547" t="s">
        <v>14</v>
      </c>
      <c r="E4" s="548" t="s">
        <v>2</v>
      </c>
      <c r="F4" s="549" t="s">
        <v>14</v>
      </c>
    </row>
    <row r="5" spans="1:6" ht="14.4" customHeight="1" x14ac:dyDescent="0.3">
      <c r="A5" s="562" t="s">
        <v>612</v>
      </c>
      <c r="B5" s="119">
        <v>107.86</v>
      </c>
      <c r="C5" s="529">
        <v>2.6120270453532747E-2</v>
      </c>
      <c r="D5" s="119">
        <v>4021.5000000000005</v>
      </c>
      <c r="E5" s="529">
        <v>0.97387972954646718</v>
      </c>
      <c r="F5" s="550">
        <v>4129.3600000000006</v>
      </c>
    </row>
    <row r="6" spans="1:6" ht="14.4" customHeight="1" x14ac:dyDescent="0.3">
      <c r="A6" s="563" t="s">
        <v>611</v>
      </c>
      <c r="B6" s="551"/>
      <c r="C6" s="544">
        <v>0</v>
      </c>
      <c r="D6" s="551">
        <v>462.34000000000003</v>
      </c>
      <c r="E6" s="544">
        <v>1</v>
      </c>
      <c r="F6" s="552">
        <v>462.34000000000003</v>
      </c>
    </row>
    <row r="7" spans="1:6" ht="14.4" customHeight="1" x14ac:dyDescent="0.3">
      <c r="A7" s="563" t="s">
        <v>607</v>
      </c>
      <c r="B7" s="551"/>
      <c r="C7" s="544">
        <v>0</v>
      </c>
      <c r="D7" s="551">
        <v>4629.21</v>
      </c>
      <c r="E7" s="544">
        <v>1</v>
      </c>
      <c r="F7" s="552">
        <v>4629.21</v>
      </c>
    </row>
    <row r="8" spans="1:6" ht="14.4" customHeight="1" x14ac:dyDescent="0.3">
      <c r="A8" s="563" t="s">
        <v>608</v>
      </c>
      <c r="B8" s="551"/>
      <c r="C8" s="544">
        <v>0</v>
      </c>
      <c r="D8" s="551">
        <v>2172.37</v>
      </c>
      <c r="E8" s="544">
        <v>1</v>
      </c>
      <c r="F8" s="552">
        <v>2172.37</v>
      </c>
    </row>
    <row r="9" spans="1:6" ht="14.4" customHeight="1" x14ac:dyDescent="0.3">
      <c r="A9" s="563" t="s">
        <v>613</v>
      </c>
      <c r="B9" s="551"/>
      <c r="C9" s="544">
        <v>0</v>
      </c>
      <c r="D9" s="551">
        <v>299.38</v>
      </c>
      <c r="E9" s="544">
        <v>1</v>
      </c>
      <c r="F9" s="552">
        <v>299.38</v>
      </c>
    </row>
    <row r="10" spans="1:6" ht="14.4" customHeight="1" x14ac:dyDescent="0.3">
      <c r="A10" s="563" t="s">
        <v>609</v>
      </c>
      <c r="B10" s="551"/>
      <c r="C10" s="544">
        <v>0</v>
      </c>
      <c r="D10" s="551">
        <v>1309.8099999999997</v>
      </c>
      <c r="E10" s="544">
        <v>1</v>
      </c>
      <c r="F10" s="552">
        <v>1309.8099999999997</v>
      </c>
    </row>
    <row r="11" spans="1:6" ht="14.4" customHeight="1" thickBot="1" x14ac:dyDescent="0.35">
      <c r="A11" s="564" t="s">
        <v>610</v>
      </c>
      <c r="B11" s="555"/>
      <c r="C11" s="556">
        <v>0</v>
      </c>
      <c r="D11" s="555">
        <v>21.13</v>
      </c>
      <c r="E11" s="556">
        <v>1</v>
      </c>
      <c r="F11" s="557">
        <v>21.13</v>
      </c>
    </row>
    <row r="12" spans="1:6" ht="14.4" customHeight="1" thickBot="1" x14ac:dyDescent="0.35">
      <c r="A12" s="558" t="s">
        <v>3</v>
      </c>
      <c r="B12" s="559">
        <v>107.86</v>
      </c>
      <c r="C12" s="560">
        <v>8.2818882643815855E-3</v>
      </c>
      <c r="D12" s="559">
        <v>12915.739999999998</v>
      </c>
      <c r="E12" s="560">
        <v>0.99171811173561841</v>
      </c>
      <c r="F12" s="561">
        <v>13023.599999999999</v>
      </c>
    </row>
    <row r="13" spans="1:6" ht="14.4" customHeight="1" thickBot="1" x14ac:dyDescent="0.35"/>
    <row r="14" spans="1:6" ht="14.4" customHeight="1" x14ac:dyDescent="0.3">
      <c r="A14" s="562" t="s">
        <v>1029</v>
      </c>
      <c r="B14" s="119">
        <v>107.86</v>
      </c>
      <c r="C14" s="529">
        <v>2.8135140493108377E-2</v>
      </c>
      <c r="D14" s="119">
        <v>3725.78</v>
      </c>
      <c r="E14" s="529">
        <v>0.97186485950689161</v>
      </c>
      <c r="F14" s="550">
        <v>3833.6400000000003</v>
      </c>
    </row>
    <row r="15" spans="1:6" ht="14.4" customHeight="1" x14ac:dyDescent="0.3">
      <c r="A15" s="563" t="s">
        <v>1030</v>
      </c>
      <c r="B15" s="551"/>
      <c r="C15" s="544">
        <v>0</v>
      </c>
      <c r="D15" s="551">
        <v>883.86</v>
      </c>
      <c r="E15" s="544">
        <v>1</v>
      </c>
      <c r="F15" s="552">
        <v>883.86</v>
      </c>
    </row>
    <row r="16" spans="1:6" ht="14.4" customHeight="1" x14ac:dyDescent="0.3">
      <c r="A16" s="563" t="s">
        <v>1031</v>
      </c>
      <c r="B16" s="551"/>
      <c r="C16" s="544">
        <v>0</v>
      </c>
      <c r="D16" s="551">
        <v>682.08</v>
      </c>
      <c r="E16" s="544">
        <v>1</v>
      </c>
      <c r="F16" s="552">
        <v>682.08</v>
      </c>
    </row>
    <row r="17" spans="1:6" ht="14.4" customHeight="1" x14ac:dyDescent="0.3">
      <c r="A17" s="563" t="s">
        <v>1032</v>
      </c>
      <c r="B17" s="551"/>
      <c r="C17" s="544">
        <v>0</v>
      </c>
      <c r="D17" s="551">
        <v>193.68</v>
      </c>
      <c r="E17" s="544">
        <v>1</v>
      </c>
      <c r="F17" s="552">
        <v>193.68</v>
      </c>
    </row>
    <row r="18" spans="1:6" ht="14.4" customHeight="1" x14ac:dyDescent="0.3">
      <c r="A18" s="563" t="s">
        <v>1033</v>
      </c>
      <c r="B18" s="551"/>
      <c r="C18" s="544">
        <v>0</v>
      </c>
      <c r="D18" s="551">
        <v>15.61</v>
      </c>
      <c r="E18" s="544">
        <v>1</v>
      </c>
      <c r="F18" s="552">
        <v>15.61</v>
      </c>
    </row>
    <row r="19" spans="1:6" ht="14.4" customHeight="1" x14ac:dyDescent="0.3">
      <c r="A19" s="563" t="s">
        <v>1034</v>
      </c>
      <c r="B19" s="551"/>
      <c r="C19" s="544">
        <v>0</v>
      </c>
      <c r="D19" s="551">
        <v>143.64000000000001</v>
      </c>
      <c r="E19" s="544">
        <v>1</v>
      </c>
      <c r="F19" s="552">
        <v>143.64000000000001</v>
      </c>
    </row>
    <row r="20" spans="1:6" ht="14.4" customHeight="1" x14ac:dyDescent="0.3">
      <c r="A20" s="563" t="s">
        <v>1035</v>
      </c>
      <c r="B20" s="551"/>
      <c r="C20" s="544">
        <v>0</v>
      </c>
      <c r="D20" s="551">
        <v>291.82</v>
      </c>
      <c r="E20" s="544">
        <v>1</v>
      </c>
      <c r="F20" s="552">
        <v>291.82</v>
      </c>
    </row>
    <row r="21" spans="1:6" ht="14.4" customHeight="1" x14ac:dyDescent="0.3">
      <c r="A21" s="563" t="s">
        <v>1036</v>
      </c>
      <c r="B21" s="551"/>
      <c r="C21" s="544">
        <v>0</v>
      </c>
      <c r="D21" s="551">
        <v>200.45999999999998</v>
      </c>
      <c r="E21" s="544">
        <v>1</v>
      </c>
      <c r="F21" s="552">
        <v>200.45999999999998</v>
      </c>
    </row>
    <row r="22" spans="1:6" ht="14.4" customHeight="1" x14ac:dyDescent="0.3">
      <c r="A22" s="563" t="s">
        <v>1037</v>
      </c>
      <c r="B22" s="551"/>
      <c r="C22" s="544">
        <v>0</v>
      </c>
      <c r="D22" s="551">
        <v>21.13</v>
      </c>
      <c r="E22" s="544">
        <v>1</v>
      </c>
      <c r="F22" s="552">
        <v>21.13</v>
      </c>
    </row>
    <row r="23" spans="1:6" ht="14.4" customHeight="1" x14ac:dyDescent="0.3">
      <c r="A23" s="563" t="s">
        <v>1038</v>
      </c>
      <c r="B23" s="551"/>
      <c r="C23" s="544">
        <v>0</v>
      </c>
      <c r="D23" s="551">
        <v>6710.83</v>
      </c>
      <c r="E23" s="544">
        <v>1</v>
      </c>
      <c r="F23" s="552">
        <v>6710.83</v>
      </c>
    </row>
    <row r="24" spans="1:6" ht="14.4" customHeight="1" thickBot="1" x14ac:dyDescent="0.35">
      <c r="A24" s="564" t="s">
        <v>1039</v>
      </c>
      <c r="B24" s="555"/>
      <c r="C24" s="556">
        <v>0</v>
      </c>
      <c r="D24" s="555">
        <v>46.85</v>
      </c>
      <c r="E24" s="556">
        <v>1</v>
      </c>
      <c r="F24" s="557">
        <v>46.85</v>
      </c>
    </row>
    <row r="25" spans="1:6" ht="14.4" customHeight="1" thickBot="1" x14ac:dyDescent="0.35">
      <c r="A25" s="558" t="s">
        <v>3</v>
      </c>
      <c r="B25" s="559">
        <v>107.86</v>
      </c>
      <c r="C25" s="560">
        <v>8.2818882643815837E-3</v>
      </c>
      <c r="D25" s="559">
        <v>12915.74</v>
      </c>
      <c r="E25" s="560">
        <v>0.99171811173561841</v>
      </c>
      <c r="F25" s="561">
        <v>13023.6</v>
      </c>
    </row>
  </sheetData>
  <mergeCells count="3">
    <mergeCell ref="A1:F1"/>
    <mergeCell ref="B3:C3"/>
    <mergeCell ref="D3:E3"/>
  </mergeCells>
  <conditionalFormatting sqref="C5:C1048576">
    <cfRule type="cellIs" dxfId="22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{020C75F1-317F-4C85-BDFB-63EDA41D9169}</x14:id>
        </ext>
      </extLst>
    </cfRule>
  </conditionalFormatting>
  <conditionalFormatting sqref="F14:F2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{F30D74EF-D12F-446A-8E55-B14E92B7F725}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0C75F1-317F-4C85-BDFB-63EDA41D916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F30D74EF-D12F-446A-8E55-B14E92B7F72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F14:F24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2" customWidth="1"/>
    <col min="7" max="7" width="10" style="212" customWidth="1"/>
    <col min="8" max="8" width="6.77734375" style="215" customWidth="1"/>
    <col min="9" max="9" width="6.6640625" style="212" customWidth="1"/>
    <col min="10" max="10" width="10" style="212" customWidth="1"/>
    <col min="11" max="11" width="6.77734375" style="215" customWidth="1"/>
    <col min="12" max="12" width="6.6640625" style="212" customWidth="1"/>
    <col min="13" max="13" width="10" style="212" customWidth="1"/>
    <col min="14" max="16384" width="8.88671875" style="133"/>
  </cols>
  <sheetData>
    <row r="1" spans="1:13" ht="18.600000000000001" customHeight="1" thickBot="1" x14ac:dyDescent="0.4">
      <c r="A1" s="368" t="s">
        <v>1051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40" t="s">
        <v>281</v>
      </c>
      <c r="B2" s="211"/>
      <c r="C2" s="211"/>
      <c r="D2" s="211"/>
      <c r="E2" s="211"/>
      <c r="F2" s="219"/>
      <c r="G2" s="219"/>
      <c r="H2" s="220"/>
      <c r="I2" s="219"/>
      <c r="J2" s="219"/>
      <c r="K2" s="220"/>
      <c r="L2" s="219"/>
    </row>
    <row r="3" spans="1:13" ht="14.4" customHeight="1" thickBot="1" x14ac:dyDescent="0.35">
      <c r="E3" s="79" t="s">
        <v>133</v>
      </c>
      <c r="F3" s="43">
        <f>SUBTOTAL(9,F6:F1048576)</f>
        <v>1</v>
      </c>
      <c r="G3" s="43">
        <f>SUBTOTAL(9,G6:G1048576)</f>
        <v>107.86</v>
      </c>
      <c r="H3" s="44">
        <f>IF(M3=0,0,G3/M3)</f>
        <v>8.281888264381582E-3</v>
      </c>
      <c r="I3" s="43">
        <f>SUBTOTAL(9,I6:I1048576)</f>
        <v>62</v>
      </c>
      <c r="J3" s="43">
        <f>SUBTOTAL(9,J6:J1048576)</f>
        <v>12915.740000000003</v>
      </c>
      <c r="K3" s="44">
        <f>IF(M3=0,0,J3/M3)</f>
        <v>0.99171811173561841</v>
      </c>
      <c r="L3" s="43">
        <f>SUBTOTAL(9,L6:L1048576)</f>
        <v>63</v>
      </c>
      <c r="M3" s="45">
        <f>SUBTOTAL(9,M6:M1048576)</f>
        <v>13023.600000000004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135</v>
      </c>
      <c r="G4" s="373"/>
      <c r="H4" s="374"/>
      <c r="I4" s="375" t="s">
        <v>134</v>
      </c>
      <c r="J4" s="373"/>
      <c r="K4" s="374"/>
      <c r="L4" s="376" t="s">
        <v>3</v>
      </c>
      <c r="M4" s="377"/>
    </row>
    <row r="5" spans="1:13" ht="14.4" customHeight="1" thickBot="1" x14ac:dyDescent="0.35">
      <c r="A5" s="566" t="s">
        <v>140</v>
      </c>
      <c r="B5" s="567" t="s">
        <v>136</v>
      </c>
      <c r="C5" s="567" t="s">
        <v>71</v>
      </c>
      <c r="D5" s="567" t="s">
        <v>137</v>
      </c>
      <c r="E5" s="567" t="s">
        <v>138</v>
      </c>
      <c r="F5" s="568" t="s">
        <v>28</v>
      </c>
      <c r="G5" s="568" t="s">
        <v>14</v>
      </c>
      <c r="H5" s="548" t="s">
        <v>139</v>
      </c>
      <c r="I5" s="547" t="s">
        <v>28</v>
      </c>
      <c r="J5" s="568" t="s">
        <v>14</v>
      </c>
      <c r="K5" s="548" t="s">
        <v>139</v>
      </c>
      <c r="L5" s="547" t="s">
        <v>28</v>
      </c>
      <c r="M5" s="569" t="s">
        <v>14</v>
      </c>
    </row>
    <row r="6" spans="1:13" ht="14.4" customHeight="1" x14ac:dyDescent="0.3">
      <c r="A6" s="523" t="s">
        <v>607</v>
      </c>
      <c r="B6" s="524" t="s">
        <v>1040</v>
      </c>
      <c r="C6" s="524" t="s">
        <v>646</v>
      </c>
      <c r="D6" s="524" t="s">
        <v>647</v>
      </c>
      <c r="E6" s="524" t="s">
        <v>648</v>
      </c>
      <c r="F6" s="119"/>
      <c r="G6" s="119"/>
      <c r="H6" s="529">
        <v>0</v>
      </c>
      <c r="I6" s="119">
        <v>1</v>
      </c>
      <c r="J6" s="119">
        <v>407.55</v>
      </c>
      <c r="K6" s="529">
        <v>1</v>
      </c>
      <c r="L6" s="119">
        <v>1</v>
      </c>
      <c r="M6" s="550">
        <v>407.55</v>
      </c>
    </row>
    <row r="7" spans="1:13" ht="14.4" customHeight="1" x14ac:dyDescent="0.3">
      <c r="A7" s="538" t="s">
        <v>607</v>
      </c>
      <c r="B7" s="539" t="s">
        <v>1040</v>
      </c>
      <c r="C7" s="539" t="s">
        <v>649</v>
      </c>
      <c r="D7" s="539" t="s">
        <v>647</v>
      </c>
      <c r="E7" s="539" t="s">
        <v>650</v>
      </c>
      <c r="F7" s="551"/>
      <c r="G7" s="551"/>
      <c r="H7" s="544">
        <v>0</v>
      </c>
      <c r="I7" s="551">
        <v>5</v>
      </c>
      <c r="J7" s="551">
        <v>2716.95</v>
      </c>
      <c r="K7" s="544">
        <v>1</v>
      </c>
      <c r="L7" s="551">
        <v>5</v>
      </c>
      <c r="M7" s="552">
        <v>2716.95</v>
      </c>
    </row>
    <row r="8" spans="1:13" ht="14.4" customHeight="1" x14ac:dyDescent="0.3">
      <c r="A8" s="538" t="s">
        <v>607</v>
      </c>
      <c r="B8" s="539" t="s">
        <v>1041</v>
      </c>
      <c r="C8" s="539" t="s">
        <v>615</v>
      </c>
      <c r="D8" s="539" t="s">
        <v>616</v>
      </c>
      <c r="E8" s="539" t="s">
        <v>617</v>
      </c>
      <c r="F8" s="551"/>
      <c r="G8" s="551"/>
      <c r="H8" s="544">
        <v>0</v>
      </c>
      <c r="I8" s="551">
        <v>6</v>
      </c>
      <c r="J8" s="551">
        <v>917.52</v>
      </c>
      <c r="K8" s="544">
        <v>1</v>
      </c>
      <c r="L8" s="551">
        <v>6</v>
      </c>
      <c r="M8" s="552">
        <v>917.52</v>
      </c>
    </row>
    <row r="9" spans="1:13" ht="14.4" customHeight="1" x14ac:dyDescent="0.3">
      <c r="A9" s="538" t="s">
        <v>607</v>
      </c>
      <c r="B9" s="539" t="s">
        <v>1042</v>
      </c>
      <c r="C9" s="539" t="s">
        <v>639</v>
      </c>
      <c r="D9" s="539" t="s">
        <v>640</v>
      </c>
      <c r="E9" s="539" t="s">
        <v>641</v>
      </c>
      <c r="F9" s="551"/>
      <c r="G9" s="551"/>
      <c r="H9" s="544">
        <v>0</v>
      </c>
      <c r="I9" s="551">
        <v>3</v>
      </c>
      <c r="J9" s="551">
        <v>441.93</v>
      </c>
      <c r="K9" s="544">
        <v>1</v>
      </c>
      <c r="L9" s="551">
        <v>3</v>
      </c>
      <c r="M9" s="552">
        <v>441.93</v>
      </c>
    </row>
    <row r="10" spans="1:13" ht="14.4" customHeight="1" x14ac:dyDescent="0.3">
      <c r="A10" s="538" t="s">
        <v>607</v>
      </c>
      <c r="B10" s="539" t="s">
        <v>1043</v>
      </c>
      <c r="C10" s="539" t="s">
        <v>656</v>
      </c>
      <c r="D10" s="539" t="s">
        <v>657</v>
      </c>
      <c r="E10" s="539" t="s">
        <v>658</v>
      </c>
      <c r="F10" s="551"/>
      <c r="G10" s="551"/>
      <c r="H10" s="544">
        <v>0</v>
      </c>
      <c r="I10" s="551">
        <v>3</v>
      </c>
      <c r="J10" s="551">
        <v>145.26</v>
      </c>
      <c r="K10" s="544">
        <v>1</v>
      </c>
      <c r="L10" s="551">
        <v>3</v>
      </c>
      <c r="M10" s="552">
        <v>145.26</v>
      </c>
    </row>
    <row r="11" spans="1:13" ht="14.4" customHeight="1" x14ac:dyDescent="0.3">
      <c r="A11" s="538" t="s">
        <v>607</v>
      </c>
      <c r="B11" s="539" t="s">
        <v>1043</v>
      </c>
      <c r="C11" s="539" t="s">
        <v>659</v>
      </c>
      <c r="D11" s="539" t="s">
        <v>657</v>
      </c>
      <c r="E11" s="539" t="s">
        <v>660</v>
      </c>
      <c r="F11" s="551"/>
      <c r="G11" s="551"/>
      <c r="H11" s="544"/>
      <c r="I11" s="551">
        <v>1</v>
      </c>
      <c r="J11" s="551">
        <v>0</v>
      </c>
      <c r="K11" s="544"/>
      <c r="L11" s="551">
        <v>1</v>
      </c>
      <c r="M11" s="552">
        <v>0</v>
      </c>
    </row>
    <row r="12" spans="1:13" ht="14.4" customHeight="1" x14ac:dyDescent="0.3">
      <c r="A12" s="538" t="s">
        <v>608</v>
      </c>
      <c r="B12" s="539" t="s">
        <v>1040</v>
      </c>
      <c r="C12" s="539" t="s">
        <v>776</v>
      </c>
      <c r="D12" s="539" t="s">
        <v>777</v>
      </c>
      <c r="E12" s="539" t="s">
        <v>778</v>
      </c>
      <c r="F12" s="551"/>
      <c r="G12" s="551"/>
      <c r="H12" s="544">
        <v>0</v>
      </c>
      <c r="I12" s="551">
        <v>1</v>
      </c>
      <c r="J12" s="551">
        <v>1847.49</v>
      </c>
      <c r="K12" s="544">
        <v>1</v>
      </c>
      <c r="L12" s="551">
        <v>1</v>
      </c>
      <c r="M12" s="552">
        <v>1847.49</v>
      </c>
    </row>
    <row r="13" spans="1:13" ht="14.4" customHeight="1" x14ac:dyDescent="0.3">
      <c r="A13" s="538" t="s">
        <v>608</v>
      </c>
      <c r="B13" s="539" t="s">
        <v>1041</v>
      </c>
      <c r="C13" s="539" t="s">
        <v>615</v>
      </c>
      <c r="D13" s="539" t="s">
        <v>616</v>
      </c>
      <c r="E13" s="539" t="s">
        <v>617</v>
      </c>
      <c r="F13" s="551"/>
      <c r="G13" s="551"/>
      <c r="H13" s="544">
        <v>0</v>
      </c>
      <c r="I13" s="551">
        <v>1</v>
      </c>
      <c r="J13" s="551">
        <v>154.36000000000001</v>
      </c>
      <c r="K13" s="544">
        <v>1</v>
      </c>
      <c r="L13" s="551">
        <v>1</v>
      </c>
      <c r="M13" s="552">
        <v>154.36000000000001</v>
      </c>
    </row>
    <row r="14" spans="1:13" ht="14.4" customHeight="1" x14ac:dyDescent="0.3">
      <c r="A14" s="538" t="s">
        <v>608</v>
      </c>
      <c r="B14" s="539" t="s">
        <v>1044</v>
      </c>
      <c r="C14" s="539" t="s">
        <v>764</v>
      </c>
      <c r="D14" s="539" t="s">
        <v>765</v>
      </c>
      <c r="E14" s="539" t="s">
        <v>766</v>
      </c>
      <c r="F14" s="551"/>
      <c r="G14" s="551"/>
      <c r="H14" s="544">
        <v>0</v>
      </c>
      <c r="I14" s="551">
        <v>1</v>
      </c>
      <c r="J14" s="551">
        <v>170.52</v>
      </c>
      <c r="K14" s="544">
        <v>1</v>
      </c>
      <c r="L14" s="551">
        <v>1</v>
      </c>
      <c r="M14" s="552">
        <v>170.52</v>
      </c>
    </row>
    <row r="15" spans="1:13" ht="14.4" customHeight="1" x14ac:dyDescent="0.3">
      <c r="A15" s="538" t="s">
        <v>613</v>
      </c>
      <c r="B15" s="539" t="s">
        <v>1041</v>
      </c>
      <c r="C15" s="539" t="s">
        <v>615</v>
      </c>
      <c r="D15" s="539" t="s">
        <v>616</v>
      </c>
      <c r="E15" s="539" t="s">
        <v>617</v>
      </c>
      <c r="F15" s="551"/>
      <c r="G15" s="551"/>
      <c r="H15" s="544">
        <v>0</v>
      </c>
      <c r="I15" s="551">
        <v>1</v>
      </c>
      <c r="J15" s="551">
        <v>154.36000000000001</v>
      </c>
      <c r="K15" s="544">
        <v>1</v>
      </c>
      <c r="L15" s="551">
        <v>1</v>
      </c>
      <c r="M15" s="552">
        <v>154.36000000000001</v>
      </c>
    </row>
    <row r="16" spans="1:13" ht="14.4" customHeight="1" x14ac:dyDescent="0.3">
      <c r="A16" s="538" t="s">
        <v>613</v>
      </c>
      <c r="B16" s="539" t="s">
        <v>1041</v>
      </c>
      <c r="C16" s="539" t="s">
        <v>947</v>
      </c>
      <c r="D16" s="539" t="s">
        <v>948</v>
      </c>
      <c r="E16" s="539" t="s">
        <v>946</v>
      </c>
      <c r="F16" s="551"/>
      <c r="G16" s="551"/>
      <c r="H16" s="544">
        <v>0</v>
      </c>
      <c r="I16" s="551">
        <v>1</v>
      </c>
      <c r="J16" s="551">
        <v>145.02000000000001</v>
      </c>
      <c r="K16" s="544">
        <v>1</v>
      </c>
      <c r="L16" s="551">
        <v>1</v>
      </c>
      <c r="M16" s="552">
        <v>145.02000000000001</v>
      </c>
    </row>
    <row r="17" spans="1:13" ht="14.4" customHeight="1" x14ac:dyDescent="0.3">
      <c r="A17" s="538" t="s">
        <v>609</v>
      </c>
      <c r="B17" s="539" t="s">
        <v>1045</v>
      </c>
      <c r="C17" s="539" t="s">
        <v>849</v>
      </c>
      <c r="D17" s="539" t="s">
        <v>850</v>
      </c>
      <c r="E17" s="539" t="s">
        <v>851</v>
      </c>
      <c r="F17" s="551"/>
      <c r="G17" s="551"/>
      <c r="H17" s="544">
        <v>0</v>
      </c>
      <c r="I17" s="551">
        <v>1</v>
      </c>
      <c r="J17" s="551">
        <v>46.85</v>
      </c>
      <c r="K17" s="544">
        <v>1</v>
      </c>
      <c r="L17" s="551">
        <v>1</v>
      </c>
      <c r="M17" s="552">
        <v>46.85</v>
      </c>
    </row>
    <row r="18" spans="1:13" ht="14.4" customHeight="1" x14ac:dyDescent="0.3">
      <c r="A18" s="538" t="s">
        <v>609</v>
      </c>
      <c r="B18" s="539" t="s">
        <v>1041</v>
      </c>
      <c r="C18" s="539" t="s">
        <v>615</v>
      </c>
      <c r="D18" s="539" t="s">
        <v>616</v>
      </c>
      <c r="E18" s="539" t="s">
        <v>617</v>
      </c>
      <c r="F18" s="551"/>
      <c r="G18" s="551"/>
      <c r="H18" s="544">
        <v>0</v>
      </c>
      <c r="I18" s="551">
        <v>5</v>
      </c>
      <c r="J18" s="551">
        <v>767.48</v>
      </c>
      <c r="K18" s="544">
        <v>1</v>
      </c>
      <c r="L18" s="551">
        <v>5</v>
      </c>
      <c r="M18" s="552">
        <v>767.48</v>
      </c>
    </row>
    <row r="19" spans="1:13" ht="14.4" customHeight="1" x14ac:dyDescent="0.3">
      <c r="A19" s="538" t="s">
        <v>609</v>
      </c>
      <c r="B19" s="539" t="s">
        <v>1041</v>
      </c>
      <c r="C19" s="539" t="s">
        <v>804</v>
      </c>
      <c r="D19" s="539" t="s">
        <v>805</v>
      </c>
      <c r="E19" s="539" t="s">
        <v>806</v>
      </c>
      <c r="F19" s="551"/>
      <c r="G19" s="551"/>
      <c r="H19" s="544">
        <v>0</v>
      </c>
      <c r="I19" s="551">
        <v>1</v>
      </c>
      <c r="J19" s="551">
        <v>66.08</v>
      </c>
      <c r="K19" s="544">
        <v>1</v>
      </c>
      <c r="L19" s="551">
        <v>1</v>
      </c>
      <c r="M19" s="552">
        <v>66.08</v>
      </c>
    </row>
    <row r="20" spans="1:13" ht="14.4" customHeight="1" x14ac:dyDescent="0.3">
      <c r="A20" s="538" t="s">
        <v>609</v>
      </c>
      <c r="B20" s="539" t="s">
        <v>1044</v>
      </c>
      <c r="C20" s="539" t="s">
        <v>764</v>
      </c>
      <c r="D20" s="539" t="s">
        <v>765</v>
      </c>
      <c r="E20" s="539" t="s">
        <v>766</v>
      </c>
      <c r="F20" s="551"/>
      <c r="G20" s="551"/>
      <c r="H20" s="544">
        <v>0</v>
      </c>
      <c r="I20" s="551">
        <v>1</v>
      </c>
      <c r="J20" s="551">
        <v>170.52</v>
      </c>
      <c r="K20" s="544">
        <v>1</v>
      </c>
      <c r="L20" s="551">
        <v>1</v>
      </c>
      <c r="M20" s="552">
        <v>170.52</v>
      </c>
    </row>
    <row r="21" spans="1:13" ht="14.4" customHeight="1" x14ac:dyDescent="0.3">
      <c r="A21" s="538" t="s">
        <v>609</v>
      </c>
      <c r="B21" s="539" t="s">
        <v>1046</v>
      </c>
      <c r="C21" s="539" t="s">
        <v>835</v>
      </c>
      <c r="D21" s="539" t="s">
        <v>836</v>
      </c>
      <c r="E21" s="539" t="s">
        <v>837</v>
      </c>
      <c r="F21" s="551"/>
      <c r="G21" s="551"/>
      <c r="H21" s="544">
        <v>0</v>
      </c>
      <c r="I21" s="551">
        <v>1</v>
      </c>
      <c r="J21" s="551">
        <v>59.85</v>
      </c>
      <c r="K21" s="544">
        <v>1</v>
      </c>
      <c r="L21" s="551">
        <v>1</v>
      </c>
      <c r="M21" s="552">
        <v>59.85</v>
      </c>
    </row>
    <row r="22" spans="1:13" ht="14.4" customHeight="1" x14ac:dyDescent="0.3">
      <c r="A22" s="538" t="s">
        <v>609</v>
      </c>
      <c r="B22" s="539" t="s">
        <v>1046</v>
      </c>
      <c r="C22" s="539" t="s">
        <v>838</v>
      </c>
      <c r="D22" s="539" t="s">
        <v>836</v>
      </c>
      <c r="E22" s="539" t="s">
        <v>839</v>
      </c>
      <c r="F22" s="551"/>
      <c r="G22" s="551"/>
      <c r="H22" s="544">
        <v>0</v>
      </c>
      <c r="I22" s="551">
        <v>1</v>
      </c>
      <c r="J22" s="551">
        <v>83.79</v>
      </c>
      <c r="K22" s="544">
        <v>1</v>
      </c>
      <c r="L22" s="551">
        <v>1</v>
      </c>
      <c r="M22" s="552">
        <v>83.79</v>
      </c>
    </row>
    <row r="23" spans="1:13" ht="14.4" customHeight="1" x14ac:dyDescent="0.3">
      <c r="A23" s="538" t="s">
        <v>609</v>
      </c>
      <c r="B23" s="539" t="s">
        <v>1047</v>
      </c>
      <c r="C23" s="539" t="s">
        <v>817</v>
      </c>
      <c r="D23" s="539" t="s">
        <v>818</v>
      </c>
      <c r="E23" s="539" t="s">
        <v>766</v>
      </c>
      <c r="F23" s="551"/>
      <c r="G23" s="551"/>
      <c r="H23" s="544">
        <v>0</v>
      </c>
      <c r="I23" s="551">
        <v>1</v>
      </c>
      <c r="J23" s="551">
        <v>66.819999999999993</v>
      </c>
      <c r="K23" s="544">
        <v>1</v>
      </c>
      <c r="L23" s="551">
        <v>1</v>
      </c>
      <c r="M23" s="552">
        <v>66.819999999999993</v>
      </c>
    </row>
    <row r="24" spans="1:13" ht="14.4" customHeight="1" x14ac:dyDescent="0.3">
      <c r="A24" s="538" t="s">
        <v>609</v>
      </c>
      <c r="B24" s="539" t="s">
        <v>1043</v>
      </c>
      <c r="C24" s="539" t="s">
        <v>656</v>
      </c>
      <c r="D24" s="539" t="s">
        <v>657</v>
      </c>
      <c r="E24" s="539" t="s">
        <v>658</v>
      </c>
      <c r="F24" s="551"/>
      <c r="G24" s="551"/>
      <c r="H24" s="544">
        <v>0</v>
      </c>
      <c r="I24" s="551">
        <v>1</v>
      </c>
      <c r="J24" s="551">
        <v>48.42</v>
      </c>
      <c r="K24" s="544">
        <v>1</v>
      </c>
      <c r="L24" s="551">
        <v>1</v>
      </c>
      <c r="M24" s="552">
        <v>48.42</v>
      </c>
    </row>
    <row r="25" spans="1:13" ht="14.4" customHeight="1" x14ac:dyDescent="0.3">
      <c r="A25" s="538" t="s">
        <v>609</v>
      </c>
      <c r="B25" s="539" t="s">
        <v>1043</v>
      </c>
      <c r="C25" s="539" t="s">
        <v>659</v>
      </c>
      <c r="D25" s="539" t="s">
        <v>657</v>
      </c>
      <c r="E25" s="539" t="s">
        <v>660</v>
      </c>
      <c r="F25" s="551"/>
      <c r="G25" s="551"/>
      <c r="H25" s="544"/>
      <c r="I25" s="551">
        <v>1</v>
      </c>
      <c r="J25" s="551">
        <v>0</v>
      </c>
      <c r="K25" s="544"/>
      <c r="L25" s="551">
        <v>1</v>
      </c>
      <c r="M25" s="552">
        <v>0</v>
      </c>
    </row>
    <row r="26" spans="1:13" ht="14.4" customHeight="1" x14ac:dyDescent="0.3">
      <c r="A26" s="538" t="s">
        <v>610</v>
      </c>
      <c r="B26" s="539" t="s">
        <v>1048</v>
      </c>
      <c r="C26" s="539" t="s">
        <v>895</v>
      </c>
      <c r="D26" s="539" t="s">
        <v>896</v>
      </c>
      <c r="E26" s="539" t="s">
        <v>897</v>
      </c>
      <c r="F26" s="551"/>
      <c r="G26" s="551"/>
      <c r="H26" s="544">
        <v>0</v>
      </c>
      <c r="I26" s="551">
        <v>1</v>
      </c>
      <c r="J26" s="551">
        <v>21.13</v>
      </c>
      <c r="K26" s="544">
        <v>1</v>
      </c>
      <c r="L26" s="551">
        <v>1</v>
      </c>
      <c r="M26" s="552">
        <v>21.13</v>
      </c>
    </row>
    <row r="27" spans="1:13" ht="14.4" customHeight="1" x14ac:dyDescent="0.3">
      <c r="A27" s="538" t="s">
        <v>612</v>
      </c>
      <c r="B27" s="539" t="s">
        <v>1040</v>
      </c>
      <c r="C27" s="539" t="s">
        <v>965</v>
      </c>
      <c r="D27" s="539" t="s">
        <v>647</v>
      </c>
      <c r="E27" s="539" t="s">
        <v>966</v>
      </c>
      <c r="F27" s="551"/>
      <c r="G27" s="551"/>
      <c r="H27" s="544"/>
      <c r="I27" s="551">
        <v>3</v>
      </c>
      <c r="J27" s="551">
        <v>0</v>
      </c>
      <c r="K27" s="544"/>
      <c r="L27" s="551">
        <v>3</v>
      </c>
      <c r="M27" s="552">
        <v>0</v>
      </c>
    </row>
    <row r="28" spans="1:13" ht="14.4" customHeight="1" x14ac:dyDescent="0.3">
      <c r="A28" s="538" t="s">
        <v>612</v>
      </c>
      <c r="B28" s="539" t="s">
        <v>1040</v>
      </c>
      <c r="C28" s="539" t="s">
        <v>967</v>
      </c>
      <c r="D28" s="539" t="s">
        <v>647</v>
      </c>
      <c r="E28" s="539" t="s">
        <v>968</v>
      </c>
      <c r="F28" s="551"/>
      <c r="G28" s="551"/>
      <c r="H28" s="544">
        <v>0</v>
      </c>
      <c r="I28" s="551">
        <v>1</v>
      </c>
      <c r="J28" s="551">
        <v>815.1</v>
      </c>
      <c r="K28" s="544">
        <v>1</v>
      </c>
      <c r="L28" s="551">
        <v>1</v>
      </c>
      <c r="M28" s="552">
        <v>815.1</v>
      </c>
    </row>
    <row r="29" spans="1:13" ht="14.4" customHeight="1" x14ac:dyDescent="0.3">
      <c r="A29" s="538" t="s">
        <v>612</v>
      </c>
      <c r="B29" s="539" t="s">
        <v>1040</v>
      </c>
      <c r="C29" s="539" t="s">
        <v>969</v>
      </c>
      <c r="D29" s="539" t="s">
        <v>647</v>
      </c>
      <c r="E29" s="539" t="s">
        <v>778</v>
      </c>
      <c r="F29" s="551"/>
      <c r="G29" s="551"/>
      <c r="H29" s="544">
        <v>0</v>
      </c>
      <c r="I29" s="551">
        <v>1</v>
      </c>
      <c r="J29" s="551">
        <v>923.74</v>
      </c>
      <c r="K29" s="544">
        <v>1</v>
      </c>
      <c r="L29" s="551">
        <v>1</v>
      </c>
      <c r="M29" s="552">
        <v>923.74</v>
      </c>
    </row>
    <row r="30" spans="1:13" ht="14.4" customHeight="1" x14ac:dyDescent="0.3">
      <c r="A30" s="538" t="s">
        <v>612</v>
      </c>
      <c r="B30" s="539" t="s">
        <v>1049</v>
      </c>
      <c r="C30" s="539" t="s">
        <v>971</v>
      </c>
      <c r="D30" s="539" t="s">
        <v>972</v>
      </c>
      <c r="E30" s="539" t="s">
        <v>973</v>
      </c>
      <c r="F30" s="551"/>
      <c r="G30" s="551"/>
      <c r="H30" s="544">
        <v>0</v>
      </c>
      <c r="I30" s="551">
        <v>1</v>
      </c>
      <c r="J30" s="551">
        <v>15.61</v>
      </c>
      <c r="K30" s="544">
        <v>1</v>
      </c>
      <c r="L30" s="551">
        <v>1</v>
      </c>
      <c r="M30" s="552">
        <v>15.61</v>
      </c>
    </row>
    <row r="31" spans="1:13" ht="14.4" customHeight="1" x14ac:dyDescent="0.3">
      <c r="A31" s="538" t="s">
        <v>612</v>
      </c>
      <c r="B31" s="539" t="s">
        <v>1041</v>
      </c>
      <c r="C31" s="539" t="s">
        <v>615</v>
      </c>
      <c r="D31" s="539" t="s">
        <v>616</v>
      </c>
      <c r="E31" s="539" t="s">
        <v>617</v>
      </c>
      <c r="F31" s="551"/>
      <c r="G31" s="551"/>
      <c r="H31" s="544">
        <v>0</v>
      </c>
      <c r="I31" s="551">
        <v>8</v>
      </c>
      <c r="J31" s="551">
        <v>1221.92</v>
      </c>
      <c r="K31" s="544">
        <v>1</v>
      </c>
      <c r="L31" s="551">
        <v>8</v>
      </c>
      <c r="M31" s="552">
        <v>1221.92</v>
      </c>
    </row>
    <row r="32" spans="1:13" ht="14.4" customHeight="1" x14ac:dyDescent="0.3">
      <c r="A32" s="538" t="s">
        <v>612</v>
      </c>
      <c r="B32" s="539" t="s">
        <v>1041</v>
      </c>
      <c r="C32" s="539" t="s">
        <v>944</v>
      </c>
      <c r="D32" s="539" t="s">
        <v>945</v>
      </c>
      <c r="E32" s="539" t="s">
        <v>946</v>
      </c>
      <c r="F32" s="551">
        <v>1</v>
      </c>
      <c r="G32" s="551">
        <v>107.86</v>
      </c>
      <c r="H32" s="544">
        <v>1</v>
      </c>
      <c r="I32" s="551"/>
      <c r="J32" s="551"/>
      <c r="K32" s="544">
        <v>0</v>
      </c>
      <c r="L32" s="551">
        <v>1</v>
      </c>
      <c r="M32" s="552">
        <v>107.86</v>
      </c>
    </row>
    <row r="33" spans="1:13" ht="14.4" customHeight="1" x14ac:dyDescent="0.3">
      <c r="A33" s="538" t="s">
        <v>612</v>
      </c>
      <c r="B33" s="539" t="s">
        <v>1041</v>
      </c>
      <c r="C33" s="539" t="s">
        <v>947</v>
      </c>
      <c r="D33" s="539" t="s">
        <v>948</v>
      </c>
      <c r="E33" s="539" t="s">
        <v>946</v>
      </c>
      <c r="F33" s="551"/>
      <c r="G33" s="551"/>
      <c r="H33" s="544">
        <v>0</v>
      </c>
      <c r="I33" s="551">
        <v>2</v>
      </c>
      <c r="J33" s="551">
        <v>299.04000000000002</v>
      </c>
      <c r="K33" s="544">
        <v>1</v>
      </c>
      <c r="L33" s="551">
        <v>2</v>
      </c>
      <c r="M33" s="552">
        <v>299.04000000000002</v>
      </c>
    </row>
    <row r="34" spans="1:13" ht="14.4" customHeight="1" x14ac:dyDescent="0.3">
      <c r="A34" s="538" t="s">
        <v>612</v>
      </c>
      <c r="B34" s="539" t="s">
        <v>1044</v>
      </c>
      <c r="C34" s="539" t="s">
        <v>764</v>
      </c>
      <c r="D34" s="539" t="s">
        <v>765</v>
      </c>
      <c r="E34" s="539" t="s">
        <v>766</v>
      </c>
      <c r="F34" s="551"/>
      <c r="G34" s="551"/>
      <c r="H34" s="544">
        <v>0</v>
      </c>
      <c r="I34" s="551">
        <v>1</v>
      </c>
      <c r="J34" s="551">
        <v>170.52</v>
      </c>
      <c r="K34" s="544">
        <v>1</v>
      </c>
      <c r="L34" s="551">
        <v>1</v>
      </c>
      <c r="M34" s="552">
        <v>170.52</v>
      </c>
    </row>
    <row r="35" spans="1:13" ht="14.4" customHeight="1" x14ac:dyDescent="0.3">
      <c r="A35" s="538" t="s">
        <v>612</v>
      </c>
      <c r="B35" s="539" t="s">
        <v>1042</v>
      </c>
      <c r="C35" s="539" t="s">
        <v>639</v>
      </c>
      <c r="D35" s="539" t="s">
        <v>640</v>
      </c>
      <c r="E35" s="539" t="s">
        <v>641</v>
      </c>
      <c r="F35" s="551"/>
      <c r="G35" s="551"/>
      <c r="H35" s="544">
        <v>0</v>
      </c>
      <c r="I35" s="551">
        <v>3</v>
      </c>
      <c r="J35" s="551">
        <v>441.93</v>
      </c>
      <c r="K35" s="544">
        <v>1</v>
      </c>
      <c r="L35" s="551">
        <v>3</v>
      </c>
      <c r="M35" s="552">
        <v>441.93</v>
      </c>
    </row>
    <row r="36" spans="1:13" ht="14.4" customHeight="1" x14ac:dyDescent="0.3">
      <c r="A36" s="538" t="s">
        <v>612</v>
      </c>
      <c r="B36" s="539" t="s">
        <v>1047</v>
      </c>
      <c r="C36" s="539" t="s">
        <v>817</v>
      </c>
      <c r="D36" s="539" t="s">
        <v>818</v>
      </c>
      <c r="E36" s="539" t="s">
        <v>766</v>
      </c>
      <c r="F36" s="551"/>
      <c r="G36" s="551"/>
      <c r="H36" s="544">
        <v>0</v>
      </c>
      <c r="I36" s="551">
        <v>2</v>
      </c>
      <c r="J36" s="551">
        <v>133.63999999999999</v>
      </c>
      <c r="K36" s="544">
        <v>1</v>
      </c>
      <c r="L36" s="551">
        <v>2</v>
      </c>
      <c r="M36" s="552">
        <v>133.63999999999999</v>
      </c>
    </row>
    <row r="37" spans="1:13" ht="14.4" customHeight="1" x14ac:dyDescent="0.3">
      <c r="A37" s="538" t="s">
        <v>611</v>
      </c>
      <c r="B37" s="539" t="s">
        <v>1050</v>
      </c>
      <c r="C37" s="539" t="s">
        <v>914</v>
      </c>
      <c r="D37" s="539" t="s">
        <v>915</v>
      </c>
      <c r="E37" s="539" t="s">
        <v>916</v>
      </c>
      <c r="F37" s="551"/>
      <c r="G37" s="551"/>
      <c r="H37" s="544">
        <v>0</v>
      </c>
      <c r="I37" s="551">
        <v>1</v>
      </c>
      <c r="J37" s="551">
        <v>291.82</v>
      </c>
      <c r="K37" s="544">
        <v>1</v>
      </c>
      <c r="L37" s="551">
        <v>1</v>
      </c>
      <c r="M37" s="552">
        <v>291.82</v>
      </c>
    </row>
    <row r="38" spans="1:13" ht="14.4" customHeight="1" thickBot="1" x14ac:dyDescent="0.35">
      <c r="A38" s="530" t="s">
        <v>611</v>
      </c>
      <c r="B38" s="531" t="s">
        <v>1044</v>
      </c>
      <c r="C38" s="531" t="s">
        <v>764</v>
      </c>
      <c r="D38" s="531" t="s">
        <v>765</v>
      </c>
      <c r="E38" s="531" t="s">
        <v>766</v>
      </c>
      <c r="F38" s="553"/>
      <c r="G38" s="553"/>
      <c r="H38" s="536">
        <v>0</v>
      </c>
      <c r="I38" s="553">
        <v>1</v>
      </c>
      <c r="J38" s="553">
        <v>170.52</v>
      </c>
      <c r="K38" s="536">
        <v>1</v>
      </c>
      <c r="L38" s="553">
        <v>1</v>
      </c>
      <c r="M38" s="554">
        <v>170.52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3" customWidth="1"/>
    <col min="2" max="2" width="61.109375" style="213" customWidth="1"/>
    <col min="3" max="3" width="9.5546875" style="133" customWidth="1"/>
    <col min="4" max="4" width="9.5546875" style="214" customWidth="1"/>
    <col min="5" max="5" width="2.21875" style="214" customWidth="1"/>
    <col min="6" max="6" width="9.5546875" style="215" customWidth="1"/>
    <col min="7" max="7" width="9.5546875" style="212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144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40" t="s">
        <v>281</v>
      </c>
      <c r="B2" s="211"/>
      <c r="C2" s="211"/>
      <c r="D2" s="211"/>
      <c r="E2" s="211"/>
      <c r="F2" s="211"/>
    </row>
    <row r="3" spans="1:10" ht="14.4" customHeight="1" thickBot="1" x14ac:dyDescent="0.35">
      <c r="A3" s="240"/>
      <c r="B3" s="211"/>
      <c r="C3" s="298">
        <v>2013</v>
      </c>
      <c r="D3" s="299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3" t="s">
        <v>0</v>
      </c>
      <c r="B4" s="304" t="s">
        <v>244</v>
      </c>
      <c r="C4" s="357" t="s">
        <v>73</v>
      </c>
      <c r="D4" s="358"/>
      <c r="E4" s="305"/>
      <c r="F4" s="300" t="s">
        <v>73</v>
      </c>
      <c r="G4" s="301" t="s">
        <v>74</v>
      </c>
      <c r="H4" s="301" t="s">
        <v>68</v>
      </c>
      <c r="I4" s="302" t="s">
        <v>75</v>
      </c>
    </row>
    <row r="5" spans="1:10" ht="14.4" customHeight="1" x14ac:dyDescent="0.3">
      <c r="A5" s="452" t="s">
        <v>461</v>
      </c>
      <c r="B5" s="453" t="s">
        <v>462</v>
      </c>
      <c r="C5" s="454" t="s">
        <v>463</v>
      </c>
      <c r="D5" s="454" t="s">
        <v>463</v>
      </c>
      <c r="E5" s="454"/>
      <c r="F5" s="454" t="s">
        <v>463</v>
      </c>
      <c r="G5" s="454" t="s">
        <v>463</v>
      </c>
      <c r="H5" s="454" t="s">
        <v>463</v>
      </c>
      <c r="I5" s="455" t="s">
        <v>463</v>
      </c>
      <c r="J5" s="456" t="s">
        <v>69</v>
      </c>
    </row>
    <row r="6" spans="1:10" ht="14.4" customHeight="1" x14ac:dyDescent="0.3">
      <c r="A6" s="452" t="s">
        <v>461</v>
      </c>
      <c r="B6" s="453" t="s">
        <v>293</v>
      </c>
      <c r="C6" s="454">
        <v>42.499500000000005</v>
      </c>
      <c r="D6" s="454">
        <v>4.2476799999999999</v>
      </c>
      <c r="E6" s="454"/>
      <c r="F6" s="454">
        <v>10.25656</v>
      </c>
      <c r="G6" s="454">
        <v>15.99999949603875</v>
      </c>
      <c r="H6" s="454">
        <v>-5.74343949603875</v>
      </c>
      <c r="I6" s="455">
        <v>0.64103502019105063</v>
      </c>
      <c r="J6" s="456" t="s">
        <v>1</v>
      </c>
    </row>
    <row r="7" spans="1:10" ht="14.4" customHeight="1" x14ac:dyDescent="0.3">
      <c r="A7" s="452" t="s">
        <v>461</v>
      </c>
      <c r="B7" s="453" t="s">
        <v>294</v>
      </c>
      <c r="C7" s="454">
        <v>126.66157</v>
      </c>
      <c r="D7" s="454">
        <v>104.34782</v>
      </c>
      <c r="E7" s="454"/>
      <c r="F7" s="454">
        <v>0</v>
      </c>
      <c r="G7" s="454">
        <v>37.499998818841</v>
      </c>
      <c r="H7" s="454">
        <v>-37.499998818841</v>
      </c>
      <c r="I7" s="455">
        <v>0</v>
      </c>
      <c r="J7" s="456" t="s">
        <v>1</v>
      </c>
    </row>
    <row r="8" spans="1:10" ht="14.4" customHeight="1" x14ac:dyDescent="0.3">
      <c r="A8" s="452" t="s">
        <v>461</v>
      </c>
      <c r="B8" s="453" t="s">
        <v>295</v>
      </c>
      <c r="C8" s="454" t="s">
        <v>463</v>
      </c>
      <c r="D8" s="454">
        <v>95.770240000000001</v>
      </c>
      <c r="E8" s="454"/>
      <c r="F8" s="454">
        <v>100.31906000000001</v>
      </c>
      <c r="G8" s="454">
        <v>149.99999527536349</v>
      </c>
      <c r="H8" s="454">
        <v>-49.680935275363481</v>
      </c>
      <c r="I8" s="455">
        <v>0.66879375439871602</v>
      </c>
      <c r="J8" s="456" t="s">
        <v>1</v>
      </c>
    </row>
    <row r="9" spans="1:10" ht="14.4" customHeight="1" x14ac:dyDescent="0.3">
      <c r="A9" s="452" t="s">
        <v>461</v>
      </c>
      <c r="B9" s="453" t="s">
        <v>296</v>
      </c>
      <c r="C9" s="454" t="s">
        <v>463</v>
      </c>
      <c r="D9" s="454" t="s">
        <v>463</v>
      </c>
      <c r="E9" s="454"/>
      <c r="F9" s="454">
        <v>0</v>
      </c>
      <c r="G9" s="454">
        <v>11.25</v>
      </c>
      <c r="H9" s="454">
        <v>-11.25</v>
      </c>
      <c r="I9" s="455">
        <v>0</v>
      </c>
      <c r="J9" s="456" t="s">
        <v>1</v>
      </c>
    </row>
    <row r="10" spans="1:10" ht="14.4" customHeight="1" x14ac:dyDescent="0.3">
      <c r="A10" s="452" t="s">
        <v>461</v>
      </c>
      <c r="B10" s="453" t="s">
        <v>297</v>
      </c>
      <c r="C10" s="454">
        <v>27.501529999999999</v>
      </c>
      <c r="D10" s="454">
        <v>17.98424</v>
      </c>
      <c r="E10" s="454"/>
      <c r="F10" s="454">
        <v>49.54016</v>
      </c>
      <c r="G10" s="454">
        <v>88.732453510764245</v>
      </c>
      <c r="H10" s="454">
        <v>-39.192293510764245</v>
      </c>
      <c r="I10" s="455">
        <v>0.55830936754149618</v>
      </c>
      <c r="J10" s="456" t="s">
        <v>1</v>
      </c>
    </row>
    <row r="11" spans="1:10" ht="14.4" customHeight="1" x14ac:dyDescent="0.3">
      <c r="A11" s="452" t="s">
        <v>461</v>
      </c>
      <c r="B11" s="453" t="s">
        <v>298</v>
      </c>
      <c r="C11" s="454">
        <v>11.596109999999999</v>
      </c>
      <c r="D11" s="454">
        <v>13.742259999999998</v>
      </c>
      <c r="E11" s="454"/>
      <c r="F11" s="454">
        <v>18.522690000000001</v>
      </c>
      <c r="G11" s="454">
        <v>53.985864140237503</v>
      </c>
      <c r="H11" s="454">
        <v>-35.463174140237498</v>
      </c>
      <c r="I11" s="455">
        <v>0.3431025935212253</v>
      </c>
      <c r="J11" s="456" t="s">
        <v>1</v>
      </c>
    </row>
    <row r="12" spans="1:10" ht="14.4" customHeight="1" x14ac:dyDescent="0.3">
      <c r="A12" s="452" t="s">
        <v>461</v>
      </c>
      <c r="B12" s="453" t="s">
        <v>299</v>
      </c>
      <c r="C12" s="454">
        <v>0</v>
      </c>
      <c r="D12" s="454">
        <v>0</v>
      </c>
      <c r="E12" s="454"/>
      <c r="F12" s="454">
        <v>0</v>
      </c>
      <c r="G12" s="454">
        <v>6.1274998069750009E-2</v>
      </c>
      <c r="H12" s="454">
        <v>-6.1274998069750009E-2</v>
      </c>
      <c r="I12" s="455">
        <v>0</v>
      </c>
      <c r="J12" s="456" t="s">
        <v>1</v>
      </c>
    </row>
    <row r="13" spans="1:10" ht="14.4" customHeight="1" x14ac:dyDescent="0.3">
      <c r="A13" s="452" t="s">
        <v>461</v>
      </c>
      <c r="B13" s="453" t="s">
        <v>300</v>
      </c>
      <c r="C13" s="454">
        <v>102.03918</v>
      </c>
      <c r="D13" s="454">
        <v>89.735830000000007</v>
      </c>
      <c r="E13" s="454"/>
      <c r="F13" s="454">
        <v>124.75392000000001</v>
      </c>
      <c r="G13" s="454">
        <v>134.92925841139476</v>
      </c>
      <c r="H13" s="454">
        <v>-10.175338411394748</v>
      </c>
      <c r="I13" s="455">
        <v>0.92458760589663602</v>
      </c>
      <c r="J13" s="456" t="s">
        <v>1</v>
      </c>
    </row>
    <row r="14" spans="1:10" ht="14.4" customHeight="1" x14ac:dyDescent="0.3">
      <c r="A14" s="452" t="s">
        <v>461</v>
      </c>
      <c r="B14" s="453" t="s">
        <v>301</v>
      </c>
      <c r="C14" s="454">
        <v>5.7000000000000002E-2</v>
      </c>
      <c r="D14" s="454">
        <v>0.124</v>
      </c>
      <c r="E14" s="454"/>
      <c r="F14" s="454">
        <v>1.3635299999999999</v>
      </c>
      <c r="G14" s="454">
        <v>3.9999998740094997</v>
      </c>
      <c r="H14" s="454">
        <v>-2.6364698740094998</v>
      </c>
      <c r="I14" s="455">
        <v>0.3408825107369895</v>
      </c>
      <c r="J14" s="456" t="s">
        <v>1</v>
      </c>
    </row>
    <row r="15" spans="1:10" ht="14.4" customHeight="1" x14ac:dyDescent="0.3">
      <c r="A15" s="452" t="s">
        <v>461</v>
      </c>
      <c r="B15" s="453" t="s">
        <v>302</v>
      </c>
      <c r="C15" s="454">
        <v>2.7935499999999998</v>
      </c>
      <c r="D15" s="454">
        <v>7.3421800000000008</v>
      </c>
      <c r="E15" s="454"/>
      <c r="F15" s="454">
        <v>6.5512999999999995</v>
      </c>
      <c r="G15" s="454">
        <v>22.472108728437998</v>
      </c>
      <c r="H15" s="454">
        <v>-15.920808728437999</v>
      </c>
      <c r="I15" s="455">
        <v>0.29153027333431608</v>
      </c>
      <c r="J15" s="456" t="s">
        <v>1</v>
      </c>
    </row>
    <row r="16" spans="1:10" ht="14.4" customHeight="1" x14ac:dyDescent="0.3">
      <c r="A16" s="452" t="s">
        <v>461</v>
      </c>
      <c r="B16" s="453" t="s">
        <v>1052</v>
      </c>
      <c r="C16" s="454">
        <v>0</v>
      </c>
      <c r="D16" s="454" t="s">
        <v>463</v>
      </c>
      <c r="E16" s="454"/>
      <c r="F16" s="454" t="s">
        <v>463</v>
      </c>
      <c r="G16" s="454" t="s">
        <v>463</v>
      </c>
      <c r="H16" s="454" t="s">
        <v>463</v>
      </c>
      <c r="I16" s="455" t="s">
        <v>463</v>
      </c>
      <c r="J16" s="456" t="s">
        <v>1</v>
      </c>
    </row>
    <row r="17" spans="1:10" ht="14.4" customHeight="1" x14ac:dyDescent="0.3">
      <c r="A17" s="452" t="s">
        <v>461</v>
      </c>
      <c r="B17" s="453" t="s">
        <v>303</v>
      </c>
      <c r="C17" s="454">
        <v>8.2357499999999995</v>
      </c>
      <c r="D17" s="454">
        <v>2.9982099999999998</v>
      </c>
      <c r="E17" s="454"/>
      <c r="F17" s="454">
        <v>9.6370699999999996</v>
      </c>
      <c r="G17" s="454">
        <v>10.499738718677751</v>
      </c>
      <c r="H17" s="454">
        <v>-0.8626687186777513</v>
      </c>
      <c r="I17" s="455">
        <v>0.91783902992336663</v>
      </c>
      <c r="J17" s="456" t="s">
        <v>1</v>
      </c>
    </row>
    <row r="18" spans="1:10" ht="14.4" customHeight="1" x14ac:dyDescent="0.3">
      <c r="A18" s="452" t="s">
        <v>461</v>
      </c>
      <c r="B18" s="453" t="s">
        <v>465</v>
      </c>
      <c r="C18" s="454">
        <v>321.38418999999999</v>
      </c>
      <c r="D18" s="454">
        <v>336.29246000000001</v>
      </c>
      <c r="E18" s="454"/>
      <c r="F18" s="454">
        <v>320.94429000000008</v>
      </c>
      <c r="G18" s="454">
        <v>529.43069197183479</v>
      </c>
      <c r="H18" s="454">
        <v>-208.48640197183471</v>
      </c>
      <c r="I18" s="455">
        <v>0.60620643054270451</v>
      </c>
      <c r="J18" s="456" t="s">
        <v>466</v>
      </c>
    </row>
    <row r="20" spans="1:10" ht="14.4" customHeight="1" x14ac:dyDescent="0.3">
      <c r="A20" s="452" t="s">
        <v>461</v>
      </c>
      <c r="B20" s="453" t="s">
        <v>462</v>
      </c>
      <c r="C20" s="454" t="s">
        <v>463</v>
      </c>
      <c r="D20" s="454" t="s">
        <v>463</v>
      </c>
      <c r="E20" s="454"/>
      <c r="F20" s="454" t="s">
        <v>463</v>
      </c>
      <c r="G20" s="454" t="s">
        <v>463</v>
      </c>
      <c r="H20" s="454" t="s">
        <v>463</v>
      </c>
      <c r="I20" s="455" t="s">
        <v>463</v>
      </c>
      <c r="J20" s="456" t="s">
        <v>69</v>
      </c>
    </row>
    <row r="21" spans="1:10" ht="14.4" customHeight="1" x14ac:dyDescent="0.3">
      <c r="A21" s="452" t="s">
        <v>467</v>
      </c>
      <c r="B21" s="453" t="s">
        <v>468</v>
      </c>
      <c r="C21" s="454" t="s">
        <v>463</v>
      </c>
      <c r="D21" s="454" t="s">
        <v>463</v>
      </c>
      <c r="E21" s="454"/>
      <c r="F21" s="454" t="s">
        <v>463</v>
      </c>
      <c r="G21" s="454" t="s">
        <v>463</v>
      </c>
      <c r="H21" s="454" t="s">
        <v>463</v>
      </c>
      <c r="I21" s="455" t="s">
        <v>463</v>
      </c>
      <c r="J21" s="456" t="s">
        <v>0</v>
      </c>
    </row>
    <row r="22" spans="1:10" ht="14.4" customHeight="1" x14ac:dyDescent="0.3">
      <c r="A22" s="452" t="s">
        <v>467</v>
      </c>
      <c r="B22" s="453" t="s">
        <v>297</v>
      </c>
      <c r="C22" s="454">
        <v>19.285769999999999</v>
      </c>
      <c r="D22" s="454">
        <v>7.4729200000000002</v>
      </c>
      <c r="E22" s="454"/>
      <c r="F22" s="454">
        <v>41.264209999999999</v>
      </c>
      <c r="G22" s="454">
        <v>52.314894753209998</v>
      </c>
      <c r="H22" s="454">
        <v>-11.05068475321</v>
      </c>
      <c r="I22" s="455">
        <v>0.7887659947450828</v>
      </c>
      <c r="J22" s="456" t="s">
        <v>1</v>
      </c>
    </row>
    <row r="23" spans="1:10" ht="14.4" customHeight="1" x14ac:dyDescent="0.3">
      <c r="A23" s="452" t="s">
        <v>467</v>
      </c>
      <c r="B23" s="453" t="s">
        <v>298</v>
      </c>
      <c r="C23" s="454">
        <v>0.36859999999999998</v>
      </c>
      <c r="D23" s="454">
        <v>6.5055999999999994</v>
      </c>
      <c r="E23" s="454"/>
      <c r="F23" s="454">
        <v>7.8541500000000006</v>
      </c>
      <c r="G23" s="454">
        <v>29.999999055072749</v>
      </c>
      <c r="H23" s="454">
        <v>-22.145849055072748</v>
      </c>
      <c r="I23" s="455">
        <v>0.26180500824622294</v>
      </c>
      <c r="J23" s="456" t="s">
        <v>1</v>
      </c>
    </row>
    <row r="24" spans="1:10" ht="14.4" customHeight="1" x14ac:dyDescent="0.3">
      <c r="A24" s="452" t="s">
        <v>467</v>
      </c>
      <c r="B24" s="453" t="s">
        <v>299</v>
      </c>
      <c r="C24" s="454">
        <v>0</v>
      </c>
      <c r="D24" s="454">
        <v>0</v>
      </c>
      <c r="E24" s="454"/>
      <c r="F24" s="454">
        <v>0</v>
      </c>
      <c r="G24" s="454">
        <v>6.1274998069750009E-2</v>
      </c>
      <c r="H24" s="454">
        <v>-6.1274998069750009E-2</v>
      </c>
      <c r="I24" s="455">
        <v>0</v>
      </c>
      <c r="J24" s="456" t="s">
        <v>1</v>
      </c>
    </row>
    <row r="25" spans="1:10" ht="14.4" customHeight="1" x14ac:dyDescent="0.3">
      <c r="A25" s="452" t="s">
        <v>467</v>
      </c>
      <c r="B25" s="453" t="s">
        <v>301</v>
      </c>
      <c r="C25" s="454">
        <v>0</v>
      </c>
      <c r="D25" s="454">
        <v>0.124</v>
      </c>
      <c r="E25" s="454"/>
      <c r="F25" s="454">
        <v>0.109</v>
      </c>
      <c r="G25" s="454">
        <v>1.4999999527535</v>
      </c>
      <c r="H25" s="454">
        <v>-1.3909999527535</v>
      </c>
      <c r="I25" s="455">
        <v>7.2666668955497185E-2</v>
      </c>
      <c r="J25" s="456" t="s">
        <v>1</v>
      </c>
    </row>
    <row r="26" spans="1:10" ht="14.4" customHeight="1" x14ac:dyDescent="0.3">
      <c r="A26" s="452" t="s">
        <v>467</v>
      </c>
      <c r="B26" s="453" t="s">
        <v>302</v>
      </c>
      <c r="C26" s="454">
        <v>0</v>
      </c>
      <c r="D26" s="454">
        <v>2.3706</v>
      </c>
      <c r="E26" s="454"/>
      <c r="F26" s="454">
        <v>4.3559999999999999</v>
      </c>
      <c r="G26" s="454">
        <v>4.4721092953944996</v>
      </c>
      <c r="H26" s="454">
        <v>-0.11610929539449977</v>
      </c>
      <c r="I26" s="455">
        <v>0.97403701749550886</v>
      </c>
      <c r="J26" s="456" t="s">
        <v>1</v>
      </c>
    </row>
    <row r="27" spans="1:10" ht="14.4" customHeight="1" x14ac:dyDescent="0.3">
      <c r="A27" s="452" t="s">
        <v>467</v>
      </c>
      <c r="B27" s="453" t="s">
        <v>469</v>
      </c>
      <c r="C27" s="454">
        <v>19.65437</v>
      </c>
      <c r="D27" s="454">
        <v>16.473120000000002</v>
      </c>
      <c r="E27" s="454"/>
      <c r="F27" s="454">
        <v>53.583359999999999</v>
      </c>
      <c r="G27" s="454">
        <v>88.348278054500497</v>
      </c>
      <c r="H27" s="454">
        <v>-34.764918054500498</v>
      </c>
      <c r="I27" s="455">
        <v>0.60650146420449036</v>
      </c>
      <c r="J27" s="456" t="s">
        <v>470</v>
      </c>
    </row>
    <row r="28" spans="1:10" ht="14.4" customHeight="1" x14ac:dyDescent="0.3">
      <c r="A28" s="452" t="s">
        <v>463</v>
      </c>
      <c r="B28" s="453" t="s">
        <v>463</v>
      </c>
      <c r="C28" s="454" t="s">
        <v>463</v>
      </c>
      <c r="D28" s="454" t="s">
        <v>463</v>
      </c>
      <c r="E28" s="454"/>
      <c r="F28" s="454" t="s">
        <v>463</v>
      </c>
      <c r="G28" s="454" t="s">
        <v>463</v>
      </c>
      <c r="H28" s="454" t="s">
        <v>463</v>
      </c>
      <c r="I28" s="455" t="s">
        <v>463</v>
      </c>
      <c r="J28" s="456" t="s">
        <v>471</v>
      </c>
    </row>
    <row r="29" spans="1:10" ht="14.4" customHeight="1" x14ac:dyDescent="0.3">
      <c r="A29" s="452" t="s">
        <v>472</v>
      </c>
      <c r="B29" s="453" t="s">
        <v>473</v>
      </c>
      <c r="C29" s="454" t="s">
        <v>463</v>
      </c>
      <c r="D29" s="454" t="s">
        <v>463</v>
      </c>
      <c r="E29" s="454"/>
      <c r="F29" s="454" t="s">
        <v>463</v>
      </c>
      <c r="G29" s="454" t="s">
        <v>463</v>
      </c>
      <c r="H29" s="454" t="s">
        <v>463</v>
      </c>
      <c r="I29" s="455" t="s">
        <v>463</v>
      </c>
      <c r="J29" s="456" t="s">
        <v>0</v>
      </c>
    </row>
    <row r="30" spans="1:10" ht="14.4" customHeight="1" x14ac:dyDescent="0.3">
      <c r="A30" s="452" t="s">
        <v>472</v>
      </c>
      <c r="B30" s="453" t="s">
        <v>293</v>
      </c>
      <c r="C30" s="454">
        <v>42.027100000000004</v>
      </c>
      <c r="D30" s="454" t="s">
        <v>463</v>
      </c>
      <c r="E30" s="454"/>
      <c r="F30" s="454" t="s">
        <v>463</v>
      </c>
      <c r="G30" s="454" t="s">
        <v>463</v>
      </c>
      <c r="H30" s="454" t="s">
        <v>463</v>
      </c>
      <c r="I30" s="455" t="s">
        <v>463</v>
      </c>
      <c r="J30" s="456" t="s">
        <v>1</v>
      </c>
    </row>
    <row r="31" spans="1:10" ht="14.4" customHeight="1" x14ac:dyDescent="0.3">
      <c r="A31" s="452" t="s">
        <v>472</v>
      </c>
      <c r="B31" s="453" t="s">
        <v>294</v>
      </c>
      <c r="C31" s="454">
        <v>126.66157</v>
      </c>
      <c r="D31" s="454">
        <v>104.34782</v>
      </c>
      <c r="E31" s="454"/>
      <c r="F31" s="454">
        <v>0</v>
      </c>
      <c r="G31" s="454">
        <v>37.499998818841</v>
      </c>
      <c r="H31" s="454">
        <v>-37.499998818841</v>
      </c>
      <c r="I31" s="455">
        <v>0</v>
      </c>
      <c r="J31" s="456" t="s">
        <v>1</v>
      </c>
    </row>
    <row r="32" spans="1:10" ht="14.4" customHeight="1" x14ac:dyDescent="0.3">
      <c r="A32" s="452" t="s">
        <v>472</v>
      </c>
      <c r="B32" s="453" t="s">
        <v>295</v>
      </c>
      <c r="C32" s="454" t="s">
        <v>463</v>
      </c>
      <c r="D32" s="454">
        <v>95.770240000000001</v>
      </c>
      <c r="E32" s="454"/>
      <c r="F32" s="454">
        <v>100.31906000000001</v>
      </c>
      <c r="G32" s="454">
        <v>149.99999527536349</v>
      </c>
      <c r="H32" s="454">
        <v>-49.680935275363481</v>
      </c>
      <c r="I32" s="455">
        <v>0.66879375439871602</v>
      </c>
      <c r="J32" s="456" t="s">
        <v>1</v>
      </c>
    </row>
    <row r="33" spans="1:10" ht="14.4" customHeight="1" x14ac:dyDescent="0.3">
      <c r="A33" s="452" t="s">
        <v>472</v>
      </c>
      <c r="B33" s="453" t="s">
        <v>296</v>
      </c>
      <c r="C33" s="454" t="s">
        <v>463</v>
      </c>
      <c r="D33" s="454" t="s">
        <v>463</v>
      </c>
      <c r="E33" s="454"/>
      <c r="F33" s="454">
        <v>0</v>
      </c>
      <c r="G33" s="454">
        <v>11.25</v>
      </c>
      <c r="H33" s="454">
        <v>-11.25</v>
      </c>
      <c r="I33" s="455">
        <v>0</v>
      </c>
      <c r="J33" s="456" t="s">
        <v>1</v>
      </c>
    </row>
    <row r="34" spans="1:10" ht="14.4" customHeight="1" x14ac:dyDescent="0.3">
      <c r="A34" s="452" t="s">
        <v>472</v>
      </c>
      <c r="B34" s="453" t="s">
        <v>297</v>
      </c>
      <c r="C34" s="454">
        <v>2.1392600000000002</v>
      </c>
      <c r="D34" s="454">
        <v>0.87260000000000004</v>
      </c>
      <c r="E34" s="454"/>
      <c r="F34" s="454">
        <v>7.2826599999999999</v>
      </c>
      <c r="G34" s="454">
        <v>29.25</v>
      </c>
      <c r="H34" s="454">
        <v>-21.96734</v>
      </c>
      <c r="I34" s="455">
        <v>0.24897982905982904</v>
      </c>
      <c r="J34" s="456" t="s">
        <v>1</v>
      </c>
    </row>
    <row r="35" spans="1:10" ht="14.4" customHeight="1" x14ac:dyDescent="0.3">
      <c r="A35" s="452" t="s">
        <v>472</v>
      </c>
      <c r="B35" s="453" t="s">
        <v>298</v>
      </c>
      <c r="C35" s="454">
        <v>3.0771999999999999</v>
      </c>
      <c r="D35" s="454">
        <v>7.2366599999999996</v>
      </c>
      <c r="E35" s="454"/>
      <c r="F35" s="454">
        <v>7.1613500000000005</v>
      </c>
      <c r="G35" s="454">
        <v>15.749999503912999</v>
      </c>
      <c r="H35" s="454">
        <v>-8.5886495039129986</v>
      </c>
      <c r="I35" s="455">
        <v>0.45468890321049238</v>
      </c>
      <c r="J35" s="456" t="s">
        <v>1</v>
      </c>
    </row>
    <row r="36" spans="1:10" ht="14.4" customHeight="1" x14ac:dyDescent="0.3">
      <c r="A36" s="452" t="s">
        <v>472</v>
      </c>
      <c r="B36" s="453" t="s">
        <v>300</v>
      </c>
      <c r="C36" s="454">
        <v>16.95966</v>
      </c>
      <c r="D36" s="454">
        <v>29.804410000000001</v>
      </c>
      <c r="E36" s="454"/>
      <c r="F36" s="454">
        <v>51.025670000000005</v>
      </c>
      <c r="G36" s="454">
        <v>47.249998511739498</v>
      </c>
      <c r="H36" s="454">
        <v>3.7756714882605067</v>
      </c>
      <c r="I36" s="455">
        <v>1.0799083938028575</v>
      </c>
      <c r="J36" s="456" t="s">
        <v>1</v>
      </c>
    </row>
    <row r="37" spans="1:10" ht="14.4" customHeight="1" x14ac:dyDescent="0.3">
      <c r="A37" s="452" t="s">
        <v>472</v>
      </c>
      <c r="B37" s="453" t="s">
        <v>301</v>
      </c>
      <c r="C37" s="454">
        <v>5.7000000000000002E-2</v>
      </c>
      <c r="D37" s="454">
        <v>0</v>
      </c>
      <c r="E37" s="454"/>
      <c r="F37" s="454">
        <v>1.2545299999999999</v>
      </c>
      <c r="G37" s="454">
        <v>2.4999999212559998</v>
      </c>
      <c r="H37" s="454">
        <v>-1.2454699212559999</v>
      </c>
      <c r="I37" s="455">
        <v>0.5018120158058742</v>
      </c>
      <c r="J37" s="456" t="s">
        <v>1</v>
      </c>
    </row>
    <row r="38" spans="1:10" ht="14.4" customHeight="1" x14ac:dyDescent="0.3">
      <c r="A38" s="452" t="s">
        <v>472</v>
      </c>
      <c r="B38" s="453" t="s">
        <v>302</v>
      </c>
      <c r="C38" s="454">
        <v>2.7935499999999998</v>
      </c>
      <c r="D38" s="454">
        <v>4.9715800000000003</v>
      </c>
      <c r="E38" s="454"/>
      <c r="F38" s="454">
        <v>2.1953</v>
      </c>
      <c r="G38" s="454">
        <v>17.999999433043499</v>
      </c>
      <c r="H38" s="454">
        <v>-15.804699433043499</v>
      </c>
      <c r="I38" s="455">
        <v>0.1219611149525915</v>
      </c>
      <c r="J38" s="456" t="s">
        <v>1</v>
      </c>
    </row>
    <row r="39" spans="1:10" ht="14.4" customHeight="1" x14ac:dyDescent="0.3">
      <c r="A39" s="452" t="s">
        <v>472</v>
      </c>
      <c r="B39" s="453" t="s">
        <v>474</v>
      </c>
      <c r="C39" s="454">
        <v>193.71534000000003</v>
      </c>
      <c r="D39" s="454">
        <v>243.00331</v>
      </c>
      <c r="E39" s="454"/>
      <c r="F39" s="454">
        <v>169.23857000000001</v>
      </c>
      <c r="G39" s="454">
        <v>311.49999146415649</v>
      </c>
      <c r="H39" s="454">
        <v>-142.26142146415648</v>
      </c>
      <c r="I39" s="455">
        <v>0.54330200525695316</v>
      </c>
      <c r="J39" s="456" t="s">
        <v>470</v>
      </c>
    </row>
    <row r="40" spans="1:10" ht="14.4" customHeight="1" x14ac:dyDescent="0.3">
      <c r="A40" s="452" t="s">
        <v>463</v>
      </c>
      <c r="B40" s="453" t="s">
        <v>463</v>
      </c>
      <c r="C40" s="454" t="s">
        <v>463</v>
      </c>
      <c r="D40" s="454" t="s">
        <v>463</v>
      </c>
      <c r="E40" s="454"/>
      <c r="F40" s="454" t="s">
        <v>463</v>
      </c>
      <c r="G40" s="454" t="s">
        <v>463</v>
      </c>
      <c r="H40" s="454" t="s">
        <v>463</v>
      </c>
      <c r="I40" s="455" t="s">
        <v>463</v>
      </c>
      <c r="J40" s="456" t="s">
        <v>471</v>
      </c>
    </row>
    <row r="41" spans="1:10" ht="14.4" customHeight="1" x14ac:dyDescent="0.3">
      <c r="A41" s="452" t="s">
        <v>475</v>
      </c>
      <c r="B41" s="453" t="s">
        <v>476</v>
      </c>
      <c r="C41" s="454" t="s">
        <v>463</v>
      </c>
      <c r="D41" s="454" t="s">
        <v>463</v>
      </c>
      <c r="E41" s="454"/>
      <c r="F41" s="454" t="s">
        <v>463</v>
      </c>
      <c r="G41" s="454" t="s">
        <v>463</v>
      </c>
      <c r="H41" s="454" t="s">
        <v>463</v>
      </c>
      <c r="I41" s="455" t="s">
        <v>463</v>
      </c>
      <c r="J41" s="456" t="s">
        <v>0</v>
      </c>
    </row>
    <row r="42" spans="1:10" ht="14.4" customHeight="1" x14ac:dyDescent="0.3">
      <c r="A42" s="452" t="s">
        <v>475</v>
      </c>
      <c r="B42" s="453" t="s">
        <v>293</v>
      </c>
      <c r="C42" s="454">
        <v>0.47239999999999999</v>
      </c>
      <c r="D42" s="454">
        <v>4.2476799999999999</v>
      </c>
      <c r="E42" s="454"/>
      <c r="F42" s="454">
        <v>10.25656</v>
      </c>
      <c r="G42" s="454">
        <v>15.99999949603875</v>
      </c>
      <c r="H42" s="454">
        <v>-5.74343949603875</v>
      </c>
      <c r="I42" s="455">
        <v>0.64103502019105063</v>
      </c>
      <c r="J42" s="456" t="s">
        <v>1</v>
      </c>
    </row>
    <row r="43" spans="1:10" ht="14.4" customHeight="1" x14ac:dyDescent="0.3">
      <c r="A43" s="452" t="s">
        <v>475</v>
      </c>
      <c r="B43" s="453" t="s">
        <v>297</v>
      </c>
      <c r="C43" s="454">
        <v>6.0765000000000002</v>
      </c>
      <c r="D43" s="454">
        <v>9.6387199999999993</v>
      </c>
      <c r="E43" s="454"/>
      <c r="F43" s="454">
        <v>0.99329000000000001</v>
      </c>
      <c r="G43" s="454">
        <v>7.1675587575542501</v>
      </c>
      <c r="H43" s="454">
        <v>-6.1742687575542501</v>
      </c>
      <c r="I43" s="455">
        <v>0.13858135434929247</v>
      </c>
      <c r="J43" s="456" t="s">
        <v>1</v>
      </c>
    </row>
    <row r="44" spans="1:10" ht="14.4" customHeight="1" x14ac:dyDescent="0.3">
      <c r="A44" s="452" t="s">
        <v>475</v>
      </c>
      <c r="B44" s="453" t="s">
        <v>298</v>
      </c>
      <c r="C44" s="454">
        <v>8.1503099999999993</v>
      </c>
      <c r="D44" s="454">
        <v>0</v>
      </c>
      <c r="E44" s="454"/>
      <c r="F44" s="454">
        <v>3.50719</v>
      </c>
      <c r="G44" s="454">
        <v>8.2358655812517494</v>
      </c>
      <c r="H44" s="454">
        <v>-4.7286755812517498</v>
      </c>
      <c r="I44" s="455">
        <v>0.42584352129104935</v>
      </c>
      <c r="J44" s="456" t="s">
        <v>1</v>
      </c>
    </row>
    <row r="45" spans="1:10" ht="14.4" customHeight="1" x14ac:dyDescent="0.3">
      <c r="A45" s="452" t="s">
        <v>475</v>
      </c>
      <c r="B45" s="453" t="s">
        <v>300</v>
      </c>
      <c r="C45" s="454">
        <v>85.079520000000002</v>
      </c>
      <c r="D45" s="454">
        <v>59.931420000000003</v>
      </c>
      <c r="E45" s="454"/>
      <c r="F45" s="454">
        <v>73.728250000000003</v>
      </c>
      <c r="G45" s="454">
        <v>87.67925989965525</v>
      </c>
      <c r="H45" s="454">
        <v>-13.951009899655247</v>
      </c>
      <c r="I45" s="455">
        <v>0.84088586154101308</v>
      </c>
      <c r="J45" s="456" t="s">
        <v>1</v>
      </c>
    </row>
    <row r="46" spans="1:10" ht="14.4" customHeight="1" x14ac:dyDescent="0.3">
      <c r="A46" s="452" t="s">
        <v>475</v>
      </c>
      <c r="B46" s="453" t="s">
        <v>302</v>
      </c>
      <c r="C46" s="454">
        <v>0</v>
      </c>
      <c r="D46" s="454" t="s">
        <v>463</v>
      </c>
      <c r="E46" s="454"/>
      <c r="F46" s="454" t="s">
        <v>463</v>
      </c>
      <c r="G46" s="454" t="s">
        <v>463</v>
      </c>
      <c r="H46" s="454" t="s">
        <v>463</v>
      </c>
      <c r="I46" s="455" t="s">
        <v>463</v>
      </c>
      <c r="J46" s="456" t="s">
        <v>1</v>
      </c>
    </row>
    <row r="47" spans="1:10" ht="14.4" customHeight="1" x14ac:dyDescent="0.3">
      <c r="A47" s="452" t="s">
        <v>475</v>
      </c>
      <c r="B47" s="453" t="s">
        <v>1052</v>
      </c>
      <c r="C47" s="454">
        <v>0</v>
      </c>
      <c r="D47" s="454" t="s">
        <v>463</v>
      </c>
      <c r="E47" s="454"/>
      <c r="F47" s="454" t="s">
        <v>463</v>
      </c>
      <c r="G47" s="454" t="s">
        <v>463</v>
      </c>
      <c r="H47" s="454" t="s">
        <v>463</v>
      </c>
      <c r="I47" s="455" t="s">
        <v>463</v>
      </c>
      <c r="J47" s="456" t="s">
        <v>1</v>
      </c>
    </row>
    <row r="48" spans="1:10" ht="14.4" customHeight="1" x14ac:dyDescent="0.3">
      <c r="A48" s="452" t="s">
        <v>475</v>
      </c>
      <c r="B48" s="453" t="s">
        <v>303</v>
      </c>
      <c r="C48" s="454">
        <v>8.2357499999999995</v>
      </c>
      <c r="D48" s="454">
        <v>2.9982099999999998</v>
      </c>
      <c r="E48" s="454"/>
      <c r="F48" s="454">
        <v>9.6370699999999996</v>
      </c>
      <c r="G48" s="454">
        <v>10.499738718677751</v>
      </c>
      <c r="H48" s="454">
        <v>-0.8626687186777513</v>
      </c>
      <c r="I48" s="455">
        <v>0.91783902992336663</v>
      </c>
      <c r="J48" s="456" t="s">
        <v>1</v>
      </c>
    </row>
    <row r="49" spans="1:10" ht="14.4" customHeight="1" x14ac:dyDescent="0.3">
      <c r="A49" s="452" t="s">
        <v>475</v>
      </c>
      <c r="B49" s="453" t="s">
        <v>477</v>
      </c>
      <c r="C49" s="454">
        <v>108.01447999999999</v>
      </c>
      <c r="D49" s="454">
        <v>76.816029999999998</v>
      </c>
      <c r="E49" s="454"/>
      <c r="F49" s="454">
        <v>98.12236</v>
      </c>
      <c r="G49" s="454">
        <v>129.58242245317774</v>
      </c>
      <c r="H49" s="454">
        <v>-31.460062453177741</v>
      </c>
      <c r="I49" s="455">
        <v>0.75721967642219945</v>
      </c>
      <c r="J49" s="456" t="s">
        <v>470</v>
      </c>
    </row>
    <row r="50" spans="1:10" ht="14.4" customHeight="1" x14ac:dyDescent="0.3">
      <c r="A50" s="452" t="s">
        <v>463</v>
      </c>
      <c r="B50" s="453" t="s">
        <v>463</v>
      </c>
      <c r="C50" s="454" t="s">
        <v>463</v>
      </c>
      <c r="D50" s="454" t="s">
        <v>463</v>
      </c>
      <c r="E50" s="454"/>
      <c r="F50" s="454" t="s">
        <v>463</v>
      </c>
      <c r="G50" s="454" t="s">
        <v>463</v>
      </c>
      <c r="H50" s="454" t="s">
        <v>463</v>
      </c>
      <c r="I50" s="455" t="s">
        <v>463</v>
      </c>
      <c r="J50" s="456" t="s">
        <v>471</v>
      </c>
    </row>
    <row r="51" spans="1:10" ht="14.4" customHeight="1" x14ac:dyDescent="0.3">
      <c r="A51" s="452" t="s">
        <v>1053</v>
      </c>
      <c r="B51" s="453" t="s">
        <v>1054</v>
      </c>
      <c r="C51" s="454" t="s">
        <v>463</v>
      </c>
      <c r="D51" s="454" t="s">
        <v>463</v>
      </c>
      <c r="E51" s="454"/>
      <c r="F51" s="454" t="s">
        <v>463</v>
      </c>
      <c r="G51" s="454" t="s">
        <v>463</v>
      </c>
      <c r="H51" s="454" t="s">
        <v>463</v>
      </c>
      <c r="I51" s="455" t="s">
        <v>463</v>
      </c>
      <c r="J51" s="456" t="s">
        <v>0</v>
      </c>
    </row>
    <row r="52" spans="1:10" ht="14.4" customHeight="1" x14ac:dyDescent="0.3">
      <c r="A52" s="452" t="s">
        <v>1053</v>
      </c>
      <c r="B52" s="453" t="s">
        <v>302</v>
      </c>
      <c r="C52" s="454">
        <v>0</v>
      </c>
      <c r="D52" s="454" t="s">
        <v>463</v>
      </c>
      <c r="E52" s="454"/>
      <c r="F52" s="454" t="s">
        <v>463</v>
      </c>
      <c r="G52" s="454" t="s">
        <v>463</v>
      </c>
      <c r="H52" s="454" t="s">
        <v>463</v>
      </c>
      <c r="I52" s="455" t="s">
        <v>463</v>
      </c>
      <c r="J52" s="456" t="s">
        <v>1</v>
      </c>
    </row>
    <row r="53" spans="1:10" ht="14.4" customHeight="1" x14ac:dyDescent="0.3">
      <c r="A53" s="452" t="s">
        <v>1053</v>
      </c>
      <c r="B53" s="453" t="s">
        <v>1055</v>
      </c>
      <c r="C53" s="454">
        <v>0</v>
      </c>
      <c r="D53" s="454" t="s">
        <v>463</v>
      </c>
      <c r="E53" s="454"/>
      <c r="F53" s="454" t="s">
        <v>463</v>
      </c>
      <c r="G53" s="454" t="s">
        <v>463</v>
      </c>
      <c r="H53" s="454" t="s">
        <v>463</v>
      </c>
      <c r="I53" s="455" t="s">
        <v>463</v>
      </c>
      <c r="J53" s="456" t="s">
        <v>470</v>
      </c>
    </row>
    <row r="54" spans="1:10" ht="14.4" customHeight="1" x14ac:dyDescent="0.3">
      <c r="A54" s="452" t="s">
        <v>463</v>
      </c>
      <c r="B54" s="453" t="s">
        <v>463</v>
      </c>
      <c r="C54" s="454" t="s">
        <v>463</v>
      </c>
      <c r="D54" s="454" t="s">
        <v>463</v>
      </c>
      <c r="E54" s="454"/>
      <c r="F54" s="454" t="s">
        <v>463</v>
      </c>
      <c r="G54" s="454" t="s">
        <v>463</v>
      </c>
      <c r="H54" s="454" t="s">
        <v>463</v>
      </c>
      <c r="I54" s="455" t="s">
        <v>463</v>
      </c>
      <c r="J54" s="456" t="s">
        <v>471</v>
      </c>
    </row>
    <row r="55" spans="1:10" ht="14.4" customHeight="1" x14ac:dyDescent="0.3">
      <c r="A55" s="452" t="s">
        <v>461</v>
      </c>
      <c r="B55" s="453" t="s">
        <v>465</v>
      </c>
      <c r="C55" s="454">
        <v>321.38418999999999</v>
      </c>
      <c r="D55" s="454">
        <v>336.29245999999995</v>
      </c>
      <c r="E55" s="454"/>
      <c r="F55" s="454">
        <v>320.94429000000002</v>
      </c>
      <c r="G55" s="454">
        <v>529.43069197183479</v>
      </c>
      <c r="H55" s="454">
        <v>-208.48640197183477</v>
      </c>
      <c r="I55" s="455">
        <v>0.6062064305427044</v>
      </c>
      <c r="J55" s="456" t="s">
        <v>466</v>
      </c>
    </row>
  </sheetData>
  <mergeCells count="3">
    <mergeCell ref="A1:I1"/>
    <mergeCell ref="F3:I3"/>
    <mergeCell ref="C4:D4"/>
  </mergeCells>
  <conditionalFormatting sqref="F19 F56:F65537">
    <cfRule type="cellIs" dxfId="21" priority="18" stopIfTrue="1" operator="greaterThan">
      <formula>1</formula>
    </cfRule>
  </conditionalFormatting>
  <conditionalFormatting sqref="H5:H18">
    <cfRule type="expression" dxfId="20" priority="14">
      <formula>$H5&gt;0</formula>
    </cfRule>
  </conditionalFormatting>
  <conditionalFormatting sqref="I5:I18">
    <cfRule type="expression" dxfId="19" priority="15">
      <formula>$I5&gt;1</formula>
    </cfRule>
  </conditionalFormatting>
  <conditionalFormatting sqref="B5:B18">
    <cfRule type="expression" dxfId="18" priority="11">
      <formula>OR($J5="NS",$J5="SumaNS",$J5="Účet")</formula>
    </cfRule>
  </conditionalFormatting>
  <conditionalFormatting sqref="F5:I18 B5:D18">
    <cfRule type="expression" dxfId="17" priority="17">
      <formula>AND($J5&lt;&gt;"",$J5&lt;&gt;"mezeraKL")</formula>
    </cfRule>
  </conditionalFormatting>
  <conditionalFormatting sqref="B5:D18 F5:I18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5" priority="13">
      <formula>OR($J5="SumaNS",$J5="NS")</formula>
    </cfRule>
  </conditionalFormatting>
  <conditionalFormatting sqref="A5:A18">
    <cfRule type="expression" dxfId="14" priority="9">
      <formula>AND($J5&lt;&gt;"mezeraKL",$J5&lt;&gt;"")</formula>
    </cfRule>
  </conditionalFormatting>
  <conditionalFormatting sqref="A5:A18">
    <cfRule type="expression" dxfId="13" priority="10">
      <formula>AND($J5&lt;&gt;"",$J5&lt;&gt;"mezeraKL")</formula>
    </cfRule>
  </conditionalFormatting>
  <conditionalFormatting sqref="H20:H55">
    <cfRule type="expression" dxfId="12" priority="5">
      <formula>$H20&gt;0</formula>
    </cfRule>
  </conditionalFormatting>
  <conditionalFormatting sqref="A20:A55">
    <cfRule type="expression" dxfId="11" priority="2">
      <formula>AND($J20&lt;&gt;"mezeraKL",$J20&lt;&gt;"")</formula>
    </cfRule>
  </conditionalFormatting>
  <conditionalFormatting sqref="I20:I55">
    <cfRule type="expression" dxfId="10" priority="6">
      <formula>$I20&gt;1</formula>
    </cfRule>
  </conditionalFormatting>
  <conditionalFormatting sqref="B20:B55">
    <cfRule type="expression" dxfId="9" priority="1">
      <formula>OR($J20="NS",$J20="SumaNS",$J20="Účet")</formula>
    </cfRule>
  </conditionalFormatting>
  <conditionalFormatting sqref="A20:D55 F20:I55">
    <cfRule type="expression" dxfId="8" priority="8">
      <formula>AND($J20&lt;&gt;"",$J20&lt;&gt;"mezeraKL")</formula>
    </cfRule>
  </conditionalFormatting>
  <conditionalFormatting sqref="B20:D55 F20:I55">
    <cfRule type="expression" dxfId="7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55 F20:I55">
    <cfRule type="expression" dxfId="6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3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4" bestFit="1" customWidth="1" collapsed="1"/>
    <col min="4" max="4" width="18.77734375" style="218" customWidth="1"/>
    <col min="5" max="5" width="9" style="214" bestFit="1" customWidth="1"/>
    <col min="6" max="6" width="18.77734375" style="218" customWidth="1"/>
    <col min="7" max="7" width="12.44140625" style="214" hidden="1" customWidth="1" outlineLevel="1"/>
    <col min="8" max="8" width="25.77734375" style="214" customWidth="1" collapsed="1"/>
    <col min="9" max="9" width="7.77734375" style="212" customWidth="1"/>
    <col min="10" max="10" width="10" style="212" customWidth="1"/>
    <col min="11" max="11" width="11.109375" style="212" customWidth="1"/>
    <col min="12" max="16384" width="8.88671875" style="133"/>
  </cols>
  <sheetData>
    <row r="1" spans="1:11" ht="18.600000000000001" customHeight="1" thickBot="1" x14ac:dyDescent="0.4">
      <c r="A1" s="366" t="s">
        <v>1290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4.4" customHeight="1" thickBot="1" x14ac:dyDescent="0.35">
      <c r="A2" s="240" t="s">
        <v>281</v>
      </c>
      <c r="B2" s="62"/>
      <c r="C2" s="216"/>
      <c r="D2" s="216"/>
      <c r="E2" s="216"/>
      <c r="F2" s="216"/>
      <c r="G2" s="216"/>
      <c r="H2" s="216"/>
      <c r="I2" s="217"/>
      <c r="J2" s="217"/>
      <c r="K2" s="217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5" t="s">
        <v>133</v>
      </c>
      <c r="I3" s="99">
        <f>IF(J3&lt;&gt;0,K3/J3,0)</f>
        <v>11.028593519123055</v>
      </c>
      <c r="J3" s="99">
        <f>SUBTOTAL(9,J5:J1048576)</f>
        <v>29101</v>
      </c>
      <c r="K3" s="100">
        <f>SUBTOTAL(9,K5:K1048576)</f>
        <v>320943.10000000003</v>
      </c>
    </row>
    <row r="4" spans="1:11" s="213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71</v>
      </c>
      <c r="H4" s="459" t="s">
        <v>11</v>
      </c>
      <c r="I4" s="460" t="s">
        <v>147</v>
      </c>
      <c r="J4" s="460" t="s">
        <v>13</v>
      </c>
      <c r="K4" s="461" t="s">
        <v>161</v>
      </c>
    </row>
    <row r="5" spans="1:11" ht="14.4" customHeight="1" x14ac:dyDescent="0.3">
      <c r="A5" s="523" t="s">
        <v>461</v>
      </c>
      <c r="B5" s="524" t="s">
        <v>462</v>
      </c>
      <c r="C5" s="527" t="s">
        <v>472</v>
      </c>
      <c r="D5" s="570" t="s">
        <v>594</v>
      </c>
      <c r="E5" s="527" t="s">
        <v>1274</v>
      </c>
      <c r="F5" s="570" t="s">
        <v>1275</v>
      </c>
      <c r="G5" s="527" t="s">
        <v>1056</v>
      </c>
      <c r="H5" s="527" t="s">
        <v>1057</v>
      </c>
      <c r="I5" s="119">
        <v>0.4</v>
      </c>
      <c r="J5" s="119">
        <v>500</v>
      </c>
      <c r="K5" s="550">
        <v>200</v>
      </c>
    </row>
    <row r="6" spans="1:11" ht="14.4" customHeight="1" x14ac:dyDescent="0.3">
      <c r="A6" s="538" t="s">
        <v>461</v>
      </c>
      <c r="B6" s="539" t="s">
        <v>462</v>
      </c>
      <c r="C6" s="542" t="s">
        <v>472</v>
      </c>
      <c r="D6" s="571" t="s">
        <v>594</v>
      </c>
      <c r="E6" s="542" t="s">
        <v>1274</v>
      </c>
      <c r="F6" s="571" t="s">
        <v>1275</v>
      </c>
      <c r="G6" s="542" t="s">
        <v>1058</v>
      </c>
      <c r="H6" s="542" t="s">
        <v>1059</v>
      </c>
      <c r="I6" s="551">
        <v>0.43333333333333335</v>
      </c>
      <c r="J6" s="551">
        <v>10000</v>
      </c>
      <c r="K6" s="552">
        <v>4321.91</v>
      </c>
    </row>
    <row r="7" spans="1:11" ht="14.4" customHeight="1" x14ac:dyDescent="0.3">
      <c r="A7" s="538" t="s">
        <v>461</v>
      </c>
      <c r="B7" s="539" t="s">
        <v>462</v>
      </c>
      <c r="C7" s="542" t="s">
        <v>472</v>
      </c>
      <c r="D7" s="571" t="s">
        <v>594</v>
      </c>
      <c r="E7" s="542" t="s">
        <v>1274</v>
      </c>
      <c r="F7" s="571" t="s">
        <v>1275</v>
      </c>
      <c r="G7" s="542" t="s">
        <v>1060</v>
      </c>
      <c r="H7" s="542" t="s">
        <v>1061</v>
      </c>
      <c r="I7" s="551">
        <v>61.22</v>
      </c>
      <c r="J7" s="551">
        <v>3</v>
      </c>
      <c r="K7" s="552">
        <v>183.66</v>
      </c>
    </row>
    <row r="8" spans="1:11" ht="14.4" customHeight="1" x14ac:dyDescent="0.3">
      <c r="A8" s="538" t="s">
        <v>461</v>
      </c>
      <c r="B8" s="539" t="s">
        <v>462</v>
      </c>
      <c r="C8" s="542" t="s">
        <v>472</v>
      </c>
      <c r="D8" s="571" t="s">
        <v>594</v>
      </c>
      <c r="E8" s="542" t="s">
        <v>1274</v>
      </c>
      <c r="F8" s="571" t="s">
        <v>1275</v>
      </c>
      <c r="G8" s="542" t="s">
        <v>1062</v>
      </c>
      <c r="H8" s="542" t="s">
        <v>1063</v>
      </c>
      <c r="I8" s="551">
        <v>26.164999999999999</v>
      </c>
      <c r="J8" s="551">
        <v>6</v>
      </c>
      <c r="K8" s="552">
        <v>156.98000000000002</v>
      </c>
    </row>
    <row r="9" spans="1:11" ht="14.4" customHeight="1" x14ac:dyDescent="0.3">
      <c r="A9" s="538" t="s">
        <v>461</v>
      </c>
      <c r="B9" s="539" t="s">
        <v>462</v>
      </c>
      <c r="C9" s="542" t="s">
        <v>472</v>
      </c>
      <c r="D9" s="571" t="s">
        <v>594</v>
      </c>
      <c r="E9" s="542" t="s">
        <v>1274</v>
      </c>
      <c r="F9" s="571" t="s">
        <v>1275</v>
      </c>
      <c r="G9" s="542" t="s">
        <v>1064</v>
      </c>
      <c r="H9" s="542" t="s">
        <v>1065</v>
      </c>
      <c r="I9" s="551">
        <v>0.85</v>
      </c>
      <c r="J9" s="551">
        <v>202</v>
      </c>
      <c r="K9" s="552">
        <v>171.7</v>
      </c>
    </row>
    <row r="10" spans="1:11" ht="14.4" customHeight="1" x14ac:dyDescent="0.3">
      <c r="A10" s="538" t="s">
        <v>461</v>
      </c>
      <c r="B10" s="539" t="s">
        <v>462</v>
      </c>
      <c r="C10" s="542" t="s">
        <v>472</v>
      </c>
      <c r="D10" s="571" t="s">
        <v>594</v>
      </c>
      <c r="E10" s="542" t="s">
        <v>1274</v>
      </c>
      <c r="F10" s="571" t="s">
        <v>1275</v>
      </c>
      <c r="G10" s="542" t="s">
        <v>1066</v>
      </c>
      <c r="H10" s="542" t="s">
        <v>1067</v>
      </c>
      <c r="I10" s="551">
        <v>1.52</v>
      </c>
      <c r="J10" s="551">
        <v>202</v>
      </c>
      <c r="K10" s="552">
        <v>307.04000000000002</v>
      </c>
    </row>
    <row r="11" spans="1:11" ht="14.4" customHeight="1" x14ac:dyDescent="0.3">
      <c r="A11" s="538" t="s">
        <v>461</v>
      </c>
      <c r="B11" s="539" t="s">
        <v>462</v>
      </c>
      <c r="C11" s="542" t="s">
        <v>472</v>
      </c>
      <c r="D11" s="571" t="s">
        <v>594</v>
      </c>
      <c r="E11" s="542" t="s">
        <v>1274</v>
      </c>
      <c r="F11" s="571" t="s">
        <v>1275</v>
      </c>
      <c r="G11" s="542" t="s">
        <v>1068</v>
      </c>
      <c r="H11" s="542" t="s">
        <v>1069</v>
      </c>
      <c r="I11" s="551">
        <v>13.87</v>
      </c>
      <c r="J11" s="551">
        <v>48</v>
      </c>
      <c r="K11" s="552">
        <v>665.82</v>
      </c>
    </row>
    <row r="12" spans="1:11" ht="14.4" customHeight="1" x14ac:dyDescent="0.3">
      <c r="A12" s="538" t="s">
        <v>461</v>
      </c>
      <c r="B12" s="539" t="s">
        <v>462</v>
      </c>
      <c r="C12" s="542" t="s">
        <v>472</v>
      </c>
      <c r="D12" s="571" t="s">
        <v>594</v>
      </c>
      <c r="E12" s="542" t="s">
        <v>1274</v>
      </c>
      <c r="F12" s="571" t="s">
        <v>1275</v>
      </c>
      <c r="G12" s="542" t="s">
        <v>1070</v>
      </c>
      <c r="H12" s="542" t="s">
        <v>1071</v>
      </c>
      <c r="I12" s="551">
        <v>2.875</v>
      </c>
      <c r="J12" s="551">
        <v>130</v>
      </c>
      <c r="K12" s="552">
        <v>373.4</v>
      </c>
    </row>
    <row r="13" spans="1:11" ht="14.4" customHeight="1" x14ac:dyDescent="0.3">
      <c r="A13" s="538" t="s">
        <v>461</v>
      </c>
      <c r="B13" s="539" t="s">
        <v>462</v>
      </c>
      <c r="C13" s="542" t="s">
        <v>472</v>
      </c>
      <c r="D13" s="571" t="s">
        <v>594</v>
      </c>
      <c r="E13" s="542" t="s">
        <v>1274</v>
      </c>
      <c r="F13" s="571" t="s">
        <v>1275</v>
      </c>
      <c r="G13" s="542" t="s">
        <v>1072</v>
      </c>
      <c r="H13" s="542" t="s">
        <v>1073</v>
      </c>
      <c r="I13" s="551">
        <v>4.79</v>
      </c>
      <c r="J13" s="551">
        <v>108</v>
      </c>
      <c r="K13" s="552">
        <v>517.55999999999995</v>
      </c>
    </row>
    <row r="14" spans="1:11" ht="14.4" customHeight="1" x14ac:dyDescent="0.3">
      <c r="A14" s="538" t="s">
        <v>461</v>
      </c>
      <c r="B14" s="539" t="s">
        <v>462</v>
      </c>
      <c r="C14" s="542" t="s">
        <v>472</v>
      </c>
      <c r="D14" s="571" t="s">
        <v>594</v>
      </c>
      <c r="E14" s="542" t="s">
        <v>1274</v>
      </c>
      <c r="F14" s="571" t="s">
        <v>1275</v>
      </c>
      <c r="G14" s="542" t="s">
        <v>1074</v>
      </c>
      <c r="H14" s="542" t="s">
        <v>1075</v>
      </c>
      <c r="I14" s="551">
        <v>7.69</v>
      </c>
      <c r="J14" s="551">
        <v>50</v>
      </c>
      <c r="K14" s="552">
        <v>384.59</v>
      </c>
    </row>
    <row r="15" spans="1:11" ht="14.4" customHeight="1" x14ac:dyDescent="0.3">
      <c r="A15" s="538" t="s">
        <v>461</v>
      </c>
      <c r="B15" s="539" t="s">
        <v>462</v>
      </c>
      <c r="C15" s="542" t="s">
        <v>472</v>
      </c>
      <c r="D15" s="571" t="s">
        <v>594</v>
      </c>
      <c r="E15" s="542" t="s">
        <v>1276</v>
      </c>
      <c r="F15" s="571" t="s">
        <v>1277</v>
      </c>
      <c r="G15" s="542" t="s">
        <v>1076</v>
      </c>
      <c r="H15" s="542" t="s">
        <v>1077</v>
      </c>
      <c r="I15" s="551">
        <v>0.48</v>
      </c>
      <c r="J15" s="551">
        <v>100</v>
      </c>
      <c r="K15" s="552">
        <v>48</v>
      </c>
    </row>
    <row r="16" spans="1:11" ht="14.4" customHeight="1" x14ac:dyDescent="0.3">
      <c r="A16" s="538" t="s">
        <v>461</v>
      </c>
      <c r="B16" s="539" t="s">
        <v>462</v>
      </c>
      <c r="C16" s="542" t="s">
        <v>472</v>
      </c>
      <c r="D16" s="571" t="s">
        <v>594</v>
      </c>
      <c r="E16" s="542" t="s">
        <v>1276</v>
      </c>
      <c r="F16" s="571" t="s">
        <v>1277</v>
      </c>
      <c r="G16" s="542" t="s">
        <v>1078</v>
      </c>
      <c r="H16" s="542" t="s">
        <v>1079</v>
      </c>
      <c r="I16" s="551">
        <v>0.67</v>
      </c>
      <c r="J16" s="551">
        <v>200</v>
      </c>
      <c r="K16" s="552">
        <v>134</v>
      </c>
    </row>
    <row r="17" spans="1:11" ht="14.4" customHeight="1" x14ac:dyDescent="0.3">
      <c r="A17" s="538" t="s">
        <v>461</v>
      </c>
      <c r="B17" s="539" t="s">
        <v>462</v>
      </c>
      <c r="C17" s="542" t="s">
        <v>472</v>
      </c>
      <c r="D17" s="571" t="s">
        <v>594</v>
      </c>
      <c r="E17" s="542" t="s">
        <v>1276</v>
      </c>
      <c r="F17" s="571" t="s">
        <v>1277</v>
      </c>
      <c r="G17" s="542" t="s">
        <v>1080</v>
      </c>
      <c r="H17" s="542" t="s">
        <v>1081</v>
      </c>
      <c r="I17" s="551">
        <v>2.9</v>
      </c>
      <c r="J17" s="551">
        <v>200</v>
      </c>
      <c r="K17" s="552">
        <v>580</v>
      </c>
    </row>
    <row r="18" spans="1:11" ht="14.4" customHeight="1" x14ac:dyDescent="0.3">
      <c r="A18" s="538" t="s">
        <v>461</v>
      </c>
      <c r="B18" s="539" t="s">
        <v>462</v>
      </c>
      <c r="C18" s="542" t="s">
        <v>472</v>
      </c>
      <c r="D18" s="571" t="s">
        <v>594</v>
      </c>
      <c r="E18" s="542" t="s">
        <v>1276</v>
      </c>
      <c r="F18" s="571" t="s">
        <v>1277</v>
      </c>
      <c r="G18" s="542" t="s">
        <v>1082</v>
      </c>
      <c r="H18" s="542" t="s">
        <v>1083</v>
      </c>
      <c r="I18" s="551">
        <v>2.06</v>
      </c>
      <c r="J18" s="551">
        <v>100</v>
      </c>
      <c r="K18" s="552">
        <v>206</v>
      </c>
    </row>
    <row r="19" spans="1:11" ht="14.4" customHeight="1" x14ac:dyDescent="0.3">
      <c r="A19" s="538" t="s">
        <v>461</v>
      </c>
      <c r="B19" s="539" t="s">
        <v>462</v>
      </c>
      <c r="C19" s="542" t="s">
        <v>472</v>
      </c>
      <c r="D19" s="571" t="s">
        <v>594</v>
      </c>
      <c r="E19" s="542" t="s">
        <v>1276</v>
      </c>
      <c r="F19" s="571" t="s">
        <v>1277</v>
      </c>
      <c r="G19" s="542" t="s">
        <v>1084</v>
      </c>
      <c r="H19" s="542" t="s">
        <v>1085</v>
      </c>
      <c r="I19" s="551">
        <v>41.28</v>
      </c>
      <c r="J19" s="551">
        <v>100</v>
      </c>
      <c r="K19" s="552">
        <v>4112.3</v>
      </c>
    </row>
    <row r="20" spans="1:11" ht="14.4" customHeight="1" x14ac:dyDescent="0.3">
      <c r="A20" s="538" t="s">
        <v>461</v>
      </c>
      <c r="B20" s="539" t="s">
        <v>462</v>
      </c>
      <c r="C20" s="542" t="s">
        <v>472</v>
      </c>
      <c r="D20" s="571" t="s">
        <v>594</v>
      </c>
      <c r="E20" s="542" t="s">
        <v>1276</v>
      </c>
      <c r="F20" s="571" t="s">
        <v>1277</v>
      </c>
      <c r="G20" s="542" t="s">
        <v>1086</v>
      </c>
      <c r="H20" s="542" t="s">
        <v>1087</v>
      </c>
      <c r="I20" s="551">
        <v>1.91</v>
      </c>
      <c r="J20" s="551">
        <v>100</v>
      </c>
      <c r="K20" s="552">
        <v>191</v>
      </c>
    </row>
    <row r="21" spans="1:11" ht="14.4" customHeight="1" x14ac:dyDescent="0.3">
      <c r="A21" s="538" t="s">
        <v>461</v>
      </c>
      <c r="B21" s="539" t="s">
        <v>462</v>
      </c>
      <c r="C21" s="542" t="s">
        <v>472</v>
      </c>
      <c r="D21" s="571" t="s">
        <v>594</v>
      </c>
      <c r="E21" s="542" t="s">
        <v>1276</v>
      </c>
      <c r="F21" s="571" t="s">
        <v>1277</v>
      </c>
      <c r="G21" s="542" t="s">
        <v>1088</v>
      </c>
      <c r="H21" s="542" t="s">
        <v>1089</v>
      </c>
      <c r="I21" s="551">
        <v>15.01</v>
      </c>
      <c r="J21" s="551">
        <v>5</v>
      </c>
      <c r="K21" s="552">
        <v>75.05</v>
      </c>
    </row>
    <row r="22" spans="1:11" ht="14.4" customHeight="1" x14ac:dyDescent="0.3">
      <c r="A22" s="538" t="s">
        <v>461</v>
      </c>
      <c r="B22" s="539" t="s">
        <v>462</v>
      </c>
      <c r="C22" s="542" t="s">
        <v>472</v>
      </c>
      <c r="D22" s="571" t="s">
        <v>594</v>
      </c>
      <c r="E22" s="542" t="s">
        <v>1276</v>
      </c>
      <c r="F22" s="571" t="s">
        <v>1277</v>
      </c>
      <c r="G22" s="542" t="s">
        <v>1090</v>
      </c>
      <c r="H22" s="542" t="s">
        <v>1091</v>
      </c>
      <c r="I22" s="551">
        <v>181.5</v>
      </c>
      <c r="J22" s="551">
        <v>10</v>
      </c>
      <c r="K22" s="552">
        <v>1815</v>
      </c>
    </row>
    <row r="23" spans="1:11" ht="14.4" customHeight="1" x14ac:dyDescent="0.3">
      <c r="A23" s="538" t="s">
        <v>461</v>
      </c>
      <c r="B23" s="539" t="s">
        <v>462</v>
      </c>
      <c r="C23" s="542" t="s">
        <v>472</v>
      </c>
      <c r="D23" s="571" t="s">
        <v>594</v>
      </c>
      <c r="E23" s="542" t="s">
        <v>1278</v>
      </c>
      <c r="F23" s="571" t="s">
        <v>1279</v>
      </c>
      <c r="G23" s="542" t="s">
        <v>1092</v>
      </c>
      <c r="H23" s="542" t="s">
        <v>1093</v>
      </c>
      <c r="I23" s="551">
        <v>87.84</v>
      </c>
      <c r="J23" s="551">
        <v>24</v>
      </c>
      <c r="K23" s="552">
        <v>2108.06</v>
      </c>
    </row>
    <row r="24" spans="1:11" ht="14.4" customHeight="1" x14ac:dyDescent="0.3">
      <c r="A24" s="538" t="s">
        <v>461</v>
      </c>
      <c r="B24" s="539" t="s">
        <v>462</v>
      </c>
      <c r="C24" s="542" t="s">
        <v>472</v>
      </c>
      <c r="D24" s="571" t="s">
        <v>594</v>
      </c>
      <c r="E24" s="542" t="s">
        <v>1278</v>
      </c>
      <c r="F24" s="571" t="s">
        <v>1279</v>
      </c>
      <c r="G24" s="542" t="s">
        <v>1094</v>
      </c>
      <c r="H24" s="542" t="s">
        <v>1095</v>
      </c>
      <c r="I24" s="551">
        <v>127.97</v>
      </c>
      <c r="J24" s="551">
        <v>24</v>
      </c>
      <c r="K24" s="552">
        <v>3071.3</v>
      </c>
    </row>
    <row r="25" spans="1:11" ht="14.4" customHeight="1" x14ac:dyDescent="0.3">
      <c r="A25" s="538" t="s">
        <v>461</v>
      </c>
      <c r="B25" s="539" t="s">
        <v>462</v>
      </c>
      <c r="C25" s="542" t="s">
        <v>472</v>
      </c>
      <c r="D25" s="571" t="s">
        <v>594</v>
      </c>
      <c r="E25" s="542" t="s">
        <v>1278</v>
      </c>
      <c r="F25" s="571" t="s">
        <v>1279</v>
      </c>
      <c r="G25" s="542" t="s">
        <v>1096</v>
      </c>
      <c r="H25" s="542" t="s">
        <v>1097</v>
      </c>
      <c r="I25" s="551">
        <v>60.55</v>
      </c>
      <c r="J25" s="551">
        <v>108</v>
      </c>
      <c r="K25" s="552">
        <v>6539.49</v>
      </c>
    </row>
    <row r="26" spans="1:11" ht="14.4" customHeight="1" x14ac:dyDescent="0.3">
      <c r="A26" s="538" t="s">
        <v>461</v>
      </c>
      <c r="B26" s="539" t="s">
        <v>462</v>
      </c>
      <c r="C26" s="542" t="s">
        <v>472</v>
      </c>
      <c r="D26" s="571" t="s">
        <v>594</v>
      </c>
      <c r="E26" s="542" t="s">
        <v>1278</v>
      </c>
      <c r="F26" s="571" t="s">
        <v>1279</v>
      </c>
      <c r="G26" s="542" t="s">
        <v>1098</v>
      </c>
      <c r="H26" s="542" t="s">
        <v>1099</v>
      </c>
      <c r="I26" s="551">
        <v>86.18</v>
      </c>
      <c r="J26" s="551">
        <v>36</v>
      </c>
      <c r="K26" s="552">
        <v>3102.6000000000004</v>
      </c>
    </row>
    <row r="27" spans="1:11" ht="14.4" customHeight="1" x14ac:dyDescent="0.3">
      <c r="A27" s="538" t="s">
        <v>461</v>
      </c>
      <c r="B27" s="539" t="s">
        <v>462</v>
      </c>
      <c r="C27" s="542" t="s">
        <v>472</v>
      </c>
      <c r="D27" s="571" t="s">
        <v>594</v>
      </c>
      <c r="E27" s="542" t="s">
        <v>1278</v>
      </c>
      <c r="F27" s="571" t="s">
        <v>1279</v>
      </c>
      <c r="G27" s="542" t="s">
        <v>1100</v>
      </c>
      <c r="H27" s="542" t="s">
        <v>1101</v>
      </c>
      <c r="I27" s="551">
        <v>159.82</v>
      </c>
      <c r="J27" s="551">
        <v>36</v>
      </c>
      <c r="K27" s="552">
        <v>5753.57</v>
      </c>
    </row>
    <row r="28" spans="1:11" ht="14.4" customHeight="1" x14ac:dyDescent="0.3">
      <c r="A28" s="538" t="s">
        <v>461</v>
      </c>
      <c r="B28" s="539" t="s">
        <v>462</v>
      </c>
      <c r="C28" s="542" t="s">
        <v>472</v>
      </c>
      <c r="D28" s="571" t="s">
        <v>594</v>
      </c>
      <c r="E28" s="542" t="s">
        <v>1278</v>
      </c>
      <c r="F28" s="571" t="s">
        <v>1279</v>
      </c>
      <c r="G28" s="542" t="s">
        <v>1102</v>
      </c>
      <c r="H28" s="542" t="s">
        <v>1103</v>
      </c>
      <c r="I28" s="551">
        <v>41.82</v>
      </c>
      <c r="J28" s="551">
        <v>36</v>
      </c>
      <c r="K28" s="552">
        <v>1505.35</v>
      </c>
    </row>
    <row r="29" spans="1:11" ht="14.4" customHeight="1" x14ac:dyDescent="0.3">
      <c r="A29" s="538" t="s">
        <v>461</v>
      </c>
      <c r="B29" s="539" t="s">
        <v>462</v>
      </c>
      <c r="C29" s="542" t="s">
        <v>472</v>
      </c>
      <c r="D29" s="571" t="s">
        <v>594</v>
      </c>
      <c r="E29" s="542" t="s">
        <v>1278</v>
      </c>
      <c r="F29" s="571" t="s">
        <v>1279</v>
      </c>
      <c r="G29" s="542" t="s">
        <v>1104</v>
      </c>
      <c r="H29" s="542" t="s">
        <v>1105</v>
      </c>
      <c r="I29" s="551">
        <v>114.94</v>
      </c>
      <c r="J29" s="551">
        <v>36</v>
      </c>
      <c r="K29" s="552">
        <v>4137.76</v>
      </c>
    </row>
    <row r="30" spans="1:11" ht="14.4" customHeight="1" x14ac:dyDescent="0.3">
      <c r="A30" s="538" t="s">
        <v>461</v>
      </c>
      <c r="B30" s="539" t="s">
        <v>462</v>
      </c>
      <c r="C30" s="542" t="s">
        <v>472</v>
      </c>
      <c r="D30" s="571" t="s">
        <v>594</v>
      </c>
      <c r="E30" s="542" t="s">
        <v>1278</v>
      </c>
      <c r="F30" s="571" t="s">
        <v>1279</v>
      </c>
      <c r="G30" s="542" t="s">
        <v>1106</v>
      </c>
      <c r="H30" s="542" t="s">
        <v>1107</v>
      </c>
      <c r="I30" s="551">
        <v>118.11</v>
      </c>
      <c r="J30" s="551">
        <v>48</v>
      </c>
      <c r="K30" s="552">
        <v>5669.36</v>
      </c>
    </row>
    <row r="31" spans="1:11" ht="14.4" customHeight="1" x14ac:dyDescent="0.3">
      <c r="A31" s="538" t="s">
        <v>461</v>
      </c>
      <c r="B31" s="539" t="s">
        <v>462</v>
      </c>
      <c r="C31" s="542" t="s">
        <v>472</v>
      </c>
      <c r="D31" s="571" t="s">
        <v>594</v>
      </c>
      <c r="E31" s="542" t="s">
        <v>1278</v>
      </c>
      <c r="F31" s="571" t="s">
        <v>1279</v>
      </c>
      <c r="G31" s="542" t="s">
        <v>1108</v>
      </c>
      <c r="H31" s="542" t="s">
        <v>1109</v>
      </c>
      <c r="I31" s="551">
        <v>44.53</v>
      </c>
      <c r="J31" s="551">
        <v>72</v>
      </c>
      <c r="K31" s="552">
        <v>3206.02</v>
      </c>
    </row>
    <row r="32" spans="1:11" ht="14.4" customHeight="1" x14ac:dyDescent="0.3">
      <c r="A32" s="538" t="s">
        <v>461</v>
      </c>
      <c r="B32" s="539" t="s">
        <v>462</v>
      </c>
      <c r="C32" s="542" t="s">
        <v>472</v>
      </c>
      <c r="D32" s="571" t="s">
        <v>594</v>
      </c>
      <c r="E32" s="542" t="s">
        <v>1278</v>
      </c>
      <c r="F32" s="571" t="s">
        <v>1279</v>
      </c>
      <c r="G32" s="542" t="s">
        <v>1110</v>
      </c>
      <c r="H32" s="542" t="s">
        <v>1111</v>
      </c>
      <c r="I32" s="551">
        <v>374.38</v>
      </c>
      <c r="J32" s="551">
        <v>12</v>
      </c>
      <c r="K32" s="552">
        <v>4492.59</v>
      </c>
    </row>
    <row r="33" spans="1:11" ht="14.4" customHeight="1" x14ac:dyDescent="0.3">
      <c r="A33" s="538" t="s">
        <v>461</v>
      </c>
      <c r="B33" s="539" t="s">
        <v>462</v>
      </c>
      <c r="C33" s="542" t="s">
        <v>472</v>
      </c>
      <c r="D33" s="571" t="s">
        <v>594</v>
      </c>
      <c r="E33" s="542" t="s">
        <v>1278</v>
      </c>
      <c r="F33" s="571" t="s">
        <v>1279</v>
      </c>
      <c r="G33" s="542" t="s">
        <v>1112</v>
      </c>
      <c r="H33" s="542" t="s">
        <v>1113</v>
      </c>
      <c r="I33" s="551">
        <v>95.47</v>
      </c>
      <c r="J33" s="551">
        <v>12</v>
      </c>
      <c r="K33" s="552">
        <v>1145.6300000000001</v>
      </c>
    </row>
    <row r="34" spans="1:11" ht="14.4" customHeight="1" x14ac:dyDescent="0.3">
      <c r="A34" s="538" t="s">
        <v>461</v>
      </c>
      <c r="B34" s="539" t="s">
        <v>462</v>
      </c>
      <c r="C34" s="542" t="s">
        <v>472</v>
      </c>
      <c r="D34" s="571" t="s">
        <v>594</v>
      </c>
      <c r="E34" s="542" t="s">
        <v>1278</v>
      </c>
      <c r="F34" s="571" t="s">
        <v>1279</v>
      </c>
      <c r="G34" s="542" t="s">
        <v>1114</v>
      </c>
      <c r="H34" s="542" t="s">
        <v>1115</v>
      </c>
      <c r="I34" s="551">
        <v>97.34</v>
      </c>
      <c r="J34" s="551">
        <v>36</v>
      </c>
      <c r="K34" s="552">
        <v>3504.34</v>
      </c>
    </row>
    <row r="35" spans="1:11" ht="14.4" customHeight="1" x14ac:dyDescent="0.3">
      <c r="A35" s="538" t="s">
        <v>461</v>
      </c>
      <c r="B35" s="539" t="s">
        <v>462</v>
      </c>
      <c r="C35" s="542" t="s">
        <v>472</v>
      </c>
      <c r="D35" s="571" t="s">
        <v>594</v>
      </c>
      <c r="E35" s="542" t="s">
        <v>1278</v>
      </c>
      <c r="F35" s="571" t="s">
        <v>1279</v>
      </c>
      <c r="G35" s="542" t="s">
        <v>1116</v>
      </c>
      <c r="H35" s="542" t="s">
        <v>1117</v>
      </c>
      <c r="I35" s="551">
        <v>188.6</v>
      </c>
      <c r="J35" s="551">
        <v>36</v>
      </c>
      <c r="K35" s="552">
        <v>6789.6</v>
      </c>
    </row>
    <row r="36" spans="1:11" ht="14.4" customHeight="1" x14ac:dyDescent="0.3">
      <c r="A36" s="538" t="s">
        <v>461</v>
      </c>
      <c r="B36" s="539" t="s">
        <v>462</v>
      </c>
      <c r="C36" s="542" t="s">
        <v>472</v>
      </c>
      <c r="D36" s="571" t="s">
        <v>594</v>
      </c>
      <c r="E36" s="542" t="s">
        <v>1280</v>
      </c>
      <c r="F36" s="571" t="s">
        <v>1281</v>
      </c>
      <c r="G36" s="542" t="s">
        <v>1118</v>
      </c>
      <c r="H36" s="542" t="s">
        <v>1119</v>
      </c>
      <c r="I36" s="551">
        <v>0.31</v>
      </c>
      <c r="J36" s="551">
        <v>300</v>
      </c>
      <c r="K36" s="552">
        <v>93</v>
      </c>
    </row>
    <row r="37" spans="1:11" ht="14.4" customHeight="1" x14ac:dyDescent="0.3">
      <c r="A37" s="538" t="s">
        <v>461</v>
      </c>
      <c r="B37" s="539" t="s">
        <v>462</v>
      </c>
      <c r="C37" s="542" t="s">
        <v>472</v>
      </c>
      <c r="D37" s="571" t="s">
        <v>594</v>
      </c>
      <c r="E37" s="542" t="s">
        <v>1280</v>
      </c>
      <c r="F37" s="571" t="s">
        <v>1281</v>
      </c>
      <c r="G37" s="542" t="s">
        <v>1120</v>
      </c>
      <c r="H37" s="542" t="s">
        <v>1121</v>
      </c>
      <c r="I37" s="551">
        <v>0.31</v>
      </c>
      <c r="J37" s="551">
        <v>200</v>
      </c>
      <c r="K37" s="552">
        <v>62</v>
      </c>
    </row>
    <row r="38" spans="1:11" ht="14.4" customHeight="1" x14ac:dyDescent="0.3">
      <c r="A38" s="538" t="s">
        <v>461</v>
      </c>
      <c r="B38" s="539" t="s">
        <v>462</v>
      </c>
      <c r="C38" s="542" t="s">
        <v>472</v>
      </c>
      <c r="D38" s="571" t="s">
        <v>594</v>
      </c>
      <c r="E38" s="542" t="s">
        <v>1280</v>
      </c>
      <c r="F38" s="571" t="s">
        <v>1281</v>
      </c>
      <c r="G38" s="542" t="s">
        <v>1122</v>
      </c>
      <c r="H38" s="542" t="s">
        <v>1123</v>
      </c>
      <c r="I38" s="551">
        <v>0.48</v>
      </c>
      <c r="J38" s="551">
        <v>400</v>
      </c>
      <c r="K38" s="552">
        <v>192</v>
      </c>
    </row>
    <row r="39" spans="1:11" ht="14.4" customHeight="1" x14ac:dyDescent="0.3">
      <c r="A39" s="538" t="s">
        <v>461</v>
      </c>
      <c r="B39" s="539" t="s">
        <v>462</v>
      </c>
      <c r="C39" s="542" t="s">
        <v>472</v>
      </c>
      <c r="D39" s="571" t="s">
        <v>594</v>
      </c>
      <c r="E39" s="542" t="s">
        <v>1280</v>
      </c>
      <c r="F39" s="571" t="s">
        <v>1281</v>
      </c>
      <c r="G39" s="542" t="s">
        <v>1124</v>
      </c>
      <c r="H39" s="542" t="s">
        <v>1125</v>
      </c>
      <c r="I39" s="551">
        <v>3.03</v>
      </c>
      <c r="J39" s="551">
        <v>300</v>
      </c>
      <c r="K39" s="552">
        <v>907.53</v>
      </c>
    </row>
    <row r="40" spans="1:11" ht="14.4" customHeight="1" x14ac:dyDescent="0.3">
      <c r="A40" s="538" t="s">
        <v>461</v>
      </c>
      <c r="B40" s="539" t="s">
        <v>462</v>
      </c>
      <c r="C40" s="542" t="s">
        <v>472</v>
      </c>
      <c r="D40" s="571" t="s">
        <v>594</v>
      </c>
      <c r="E40" s="542" t="s">
        <v>1282</v>
      </c>
      <c r="F40" s="571" t="s">
        <v>1283</v>
      </c>
      <c r="G40" s="542" t="s">
        <v>1126</v>
      </c>
      <c r="H40" s="542" t="s">
        <v>1127</v>
      </c>
      <c r="I40" s="551">
        <v>7.51</v>
      </c>
      <c r="J40" s="551">
        <v>100</v>
      </c>
      <c r="K40" s="552">
        <v>751</v>
      </c>
    </row>
    <row r="41" spans="1:11" ht="14.4" customHeight="1" x14ac:dyDescent="0.3">
      <c r="A41" s="538" t="s">
        <v>461</v>
      </c>
      <c r="B41" s="539" t="s">
        <v>462</v>
      </c>
      <c r="C41" s="542" t="s">
        <v>472</v>
      </c>
      <c r="D41" s="571" t="s">
        <v>594</v>
      </c>
      <c r="E41" s="542" t="s">
        <v>1282</v>
      </c>
      <c r="F41" s="571" t="s">
        <v>1283</v>
      </c>
      <c r="G41" s="542" t="s">
        <v>1128</v>
      </c>
      <c r="H41" s="542" t="s">
        <v>1129</v>
      </c>
      <c r="I41" s="551">
        <v>7.5</v>
      </c>
      <c r="J41" s="551">
        <v>100</v>
      </c>
      <c r="K41" s="552">
        <v>750</v>
      </c>
    </row>
    <row r="42" spans="1:11" ht="14.4" customHeight="1" x14ac:dyDescent="0.3">
      <c r="A42" s="538" t="s">
        <v>461</v>
      </c>
      <c r="B42" s="539" t="s">
        <v>462</v>
      </c>
      <c r="C42" s="542" t="s">
        <v>472</v>
      </c>
      <c r="D42" s="571" t="s">
        <v>594</v>
      </c>
      <c r="E42" s="542" t="s">
        <v>1282</v>
      </c>
      <c r="F42" s="571" t="s">
        <v>1283</v>
      </c>
      <c r="G42" s="542" t="s">
        <v>1130</v>
      </c>
      <c r="H42" s="542" t="s">
        <v>1131</v>
      </c>
      <c r="I42" s="551">
        <v>13.89</v>
      </c>
      <c r="J42" s="551">
        <v>50</v>
      </c>
      <c r="K42" s="552">
        <v>694.3</v>
      </c>
    </row>
    <row r="43" spans="1:11" ht="14.4" customHeight="1" x14ac:dyDescent="0.3">
      <c r="A43" s="538" t="s">
        <v>461</v>
      </c>
      <c r="B43" s="539" t="s">
        <v>462</v>
      </c>
      <c r="C43" s="542" t="s">
        <v>472</v>
      </c>
      <c r="D43" s="571" t="s">
        <v>594</v>
      </c>
      <c r="E43" s="542" t="s">
        <v>1284</v>
      </c>
      <c r="F43" s="571" t="s">
        <v>1285</v>
      </c>
      <c r="G43" s="542" t="s">
        <v>1132</v>
      </c>
      <c r="H43" s="542" t="s">
        <v>1133</v>
      </c>
      <c r="I43" s="551">
        <v>5500</v>
      </c>
      <c r="J43" s="551">
        <v>3</v>
      </c>
      <c r="K43" s="552">
        <v>16500</v>
      </c>
    </row>
    <row r="44" spans="1:11" ht="14.4" customHeight="1" x14ac:dyDescent="0.3">
      <c r="A44" s="538" t="s">
        <v>461</v>
      </c>
      <c r="B44" s="539" t="s">
        <v>462</v>
      </c>
      <c r="C44" s="542" t="s">
        <v>472</v>
      </c>
      <c r="D44" s="571" t="s">
        <v>594</v>
      </c>
      <c r="E44" s="542" t="s">
        <v>1284</v>
      </c>
      <c r="F44" s="571" t="s">
        <v>1285</v>
      </c>
      <c r="G44" s="542" t="s">
        <v>1134</v>
      </c>
      <c r="H44" s="542" t="s">
        <v>1135</v>
      </c>
      <c r="I44" s="551">
        <v>9850</v>
      </c>
      <c r="J44" s="551">
        <v>2</v>
      </c>
      <c r="K44" s="552">
        <v>19700</v>
      </c>
    </row>
    <row r="45" spans="1:11" ht="14.4" customHeight="1" x14ac:dyDescent="0.3">
      <c r="A45" s="538" t="s">
        <v>461</v>
      </c>
      <c r="B45" s="539" t="s">
        <v>462</v>
      </c>
      <c r="C45" s="542" t="s">
        <v>472</v>
      </c>
      <c r="D45" s="571" t="s">
        <v>594</v>
      </c>
      <c r="E45" s="542" t="s">
        <v>1284</v>
      </c>
      <c r="F45" s="571" t="s">
        <v>1285</v>
      </c>
      <c r="G45" s="542" t="s">
        <v>1136</v>
      </c>
      <c r="H45" s="542" t="s">
        <v>1137</v>
      </c>
      <c r="I45" s="551">
        <v>5500</v>
      </c>
      <c r="J45" s="551">
        <v>1</v>
      </c>
      <c r="K45" s="552">
        <v>5500</v>
      </c>
    </row>
    <row r="46" spans="1:11" ht="14.4" customHeight="1" x14ac:dyDescent="0.3">
      <c r="A46" s="538" t="s">
        <v>461</v>
      </c>
      <c r="B46" s="539" t="s">
        <v>462</v>
      </c>
      <c r="C46" s="542" t="s">
        <v>472</v>
      </c>
      <c r="D46" s="571" t="s">
        <v>594</v>
      </c>
      <c r="E46" s="542" t="s">
        <v>1284</v>
      </c>
      <c r="F46" s="571" t="s">
        <v>1285</v>
      </c>
      <c r="G46" s="542" t="s">
        <v>1138</v>
      </c>
      <c r="H46" s="542" t="s">
        <v>1139</v>
      </c>
      <c r="I46" s="551">
        <v>5500</v>
      </c>
      <c r="J46" s="551">
        <v>1</v>
      </c>
      <c r="K46" s="552">
        <v>5500</v>
      </c>
    </row>
    <row r="47" spans="1:11" ht="14.4" customHeight="1" x14ac:dyDescent="0.3">
      <c r="A47" s="538" t="s">
        <v>461</v>
      </c>
      <c r="B47" s="539" t="s">
        <v>462</v>
      </c>
      <c r="C47" s="542" t="s">
        <v>472</v>
      </c>
      <c r="D47" s="571" t="s">
        <v>594</v>
      </c>
      <c r="E47" s="542" t="s">
        <v>1284</v>
      </c>
      <c r="F47" s="571" t="s">
        <v>1285</v>
      </c>
      <c r="G47" s="542" t="s">
        <v>1140</v>
      </c>
      <c r="H47" s="542" t="s">
        <v>1141</v>
      </c>
      <c r="I47" s="551">
        <v>9200</v>
      </c>
      <c r="J47" s="551">
        <v>2</v>
      </c>
      <c r="K47" s="552">
        <v>18400</v>
      </c>
    </row>
    <row r="48" spans="1:11" ht="14.4" customHeight="1" x14ac:dyDescent="0.3">
      <c r="A48" s="538" t="s">
        <v>461</v>
      </c>
      <c r="B48" s="539" t="s">
        <v>462</v>
      </c>
      <c r="C48" s="542" t="s">
        <v>472</v>
      </c>
      <c r="D48" s="571" t="s">
        <v>594</v>
      </c>
      <c r="E48" s="542" t="s">
        <v>1284</v>
      </c>
      <c r="F48" s="571" t="s">
        <v>1285</v>
      </c>
      <c r="G48" s="542" t="s">
        <v>1142</v>
      </c>
      <c r="H48" s="542" t="s">
        <v>1143</v>
      </c>
      <c r="I48" s="551">
        <v>5101</v>
      </c>
      <c r="J48" s="551">
        <v>1</v>
      </c>
      <c r="K48" s="552">
        <v>5101</v>
      </c>
    </row>
    <row r="49" spans="1:11" ht="14.4" customHeight="1" x14ac:dyDescent="0.3">
      <c r="A49" s="538" t="s">
        <v>461</v>
      </c>
      <c r="B49" s="539" t="s">
        <v>462</v>
      </c>
      <c r="C49" s="542" t="s">
        <v>472</v>
      </c>
      <c r="D49" s="571" t="s">
        <v>594</v>
      </c>
      <c r="E49" s="542" t="s">
        <v>1284</v>
      </c>
      <c r="F49" s="571" t="s">
        <v>1285</v>
      </c>
      <c r="G49" s="542" t="s">
        <v>1144</v>
      </c>
      <c r="H49" s="542" t="s">
        <v>1145</v>
      </c>
      <c r="I49" s="551">
        <v>9850</v>
      </c>
      <c r="J49" s="551">
        <v>1</v>
      </c>
      <c r="K49" s="552">
        <v>9850</v>
      </c>
    </row>
    <row r="50" spans="1:11" ht="14.4" customHeight="1" x14ac:dyDescent="0.3">
      <c r="A50" s="538" t="s">
        <v>461</v>
      </c>
      <c r="B50" s="539" t="s">
        <v>462</v>
      </c>
      <c r="C50" s="542" t="s">
        <v>472</v>
      </c>
      <c r="D50" s="571" t="s">
        <v>594</v>
      </c>
      <c r="E50" s="542" t="s">
        <v>1284</v>
      </c>
      <c r="F50" s="571" t="s">
        <v>1285</v>
      </c>
      <c r="G50" s="542" t="s">
        <v>1146</v>
      </c>
      <c r="H50" s="542" t="s">
        <v>1147</v>
      </c>
      <c r="I50" s="551">
        <v>9884.0300000000007</v>
      </c>
      <c r="J50" s="551">
        <v>2</v>
      </c>
      <c r="K50" s="552">
        <v>19768.060000000001</v>
      </c>
    </row>
    <row r="51" spans="1:11" ht="14.4" customHeight="1" x14ac:dyDescent="0.3">
      <c r="A51" s="538" t="s">
        <v>461</v>
      </c>
      <c r="B51" s="539" t="s">
        <v>462</v>
      </c>
      <c r="C51" s="542" t="s">
        <v>475</v>
      </c>
      <c r="D51" s="571" t="s">
        <v>595</v>
      </c>
      <c r="E51" s="542" t="s">
        <v>1274</v>
      </c>
      <c r="F51" s="571" t="s">
        <v>1275</v>
      </c>
      <c r="G51" s="542" t="s">
        <v>1148</v>
      </c>
      <c r="H51" s="542" t="s">
        <v>1149</v>
      </c>
      <c r="I51" s="551">
        <v>17.53</v>
      </c>
      <c r="J51" s="551">
        <v>20</v>
      </c>
      <c r="K51" s="552">
        <v>350.6</v>
      </c>
    </row>
    <row r="52" spans="1:11" ht="14.4" customHeight="1" x14ac:dyDescent="0.3">
      <c r="A52" s="538" t="s">
        <v>461</v>
      </c>
      <c r="B52" s="539" t="s">
        <v>462</v>
      </c>
      <c r="C52" s="542" t="s">
        <v>475</v>
      </c>
      <c r="D52" s="571" t="s">
        <v>595</v>
      </c>
      <c r="E52" s="542" t="s">
        <v>1274</v>
      </c>
      <c r="F52" s="571" t="s">
        <v>1275</v>
      </c>
      <c r="G52" s="542" t="s">
        <v>1150</v>
      </c>
      <c r="H52" s="542" t="s">
        <v>1151</v>
      </c>
      <c r="I52" s="551">
        <v>15.49</v>
      </c>
      <c r="J52" s="551">
        <v>20</v>
      </c>
      <c r="K52" s="552">
        <v>309.73</v>
      </c>
    </row>
    <row r="53" spans="1:11" ht="14.4" customHeight="1" x14ac:dyDescent="0.3">
      <c r="A53" s="538" t="s">
        <v>461</v>
      </c>
      <c r="B53" s="539" t="s">
        <v>462</v>
      </c>
      <c r="C53" s="542" t="s">
        <v>475</v>
      </c>
      <c r="D53" s="571" t="s">
        <v>595</v>
      </c>
      <c r="E53" s="542" t="s">
        <v>1274</v>
      </c>
      <c r="F53" s="571" t="s">
        <v>1275</v>
      </c>
      <c r="G53" s="542" t="s">
        <v>1068</v>
      </c>
      <c r="H53" s="542" t="s">
        <v>1069</v>
      </c>
      <c r="I53" s="551">
        <v>13.87</v>
      </c>
      <c r="J53" s="551">
        <v>24</v>
      </c>
      <c r="K53" s="552">
        <v>332.96</v>
      </c>
    </row>
    <row r="54" spans="1:11" ht="14.4" customHeight="1" x14ac:dyDescent="0.3">
      <c r="A54" s="538" t="s">
        <v>461</v>
      </c>
      <c r="B54" s="539" t="s">
        <v>462</v>
      </c>
      <c r="C54" s="542" t="s">
        <v>475</v>
      </c>
      <c r="D54" s="571" t="s">
        <v>595</v>
      </c>
      <c r="E54" s="542" t="s">
        <v>1276</v>
      </c>
      <c r="F54" s="571" t="s">
        <v>1277</v>
      </c>
      <c r="G54" s="542" t="s">
        <v>1152</v>
      </c>
      <c r="H54" s="542" t="s">
        <v>1153</v>
      </c>
      <c r="I54" s="551">
        <v>30.86</v>
      </c>
      <c r="J54" s="551">
        <v>100</v>
      </c>
      <c r="K54" s="552">
        <v>3085.5</v>
      </c>
    </row>
    <row r="55" spans="1:11" ht="14.4" customHeight="1" x14ac:dyDescent="0.3">
      <c r="A55" s="538" t="s">
        <v>461</v>
      </c>
      <c r="B55" s="539" t="s">
        <v>462</v>
      </c>
      <c r="C55" s="542" t="s">
        <v>475</v>
      </c>
      <c r="D55" s="571" t="s">
        <v>595</v>
      </c>
      <c r="E55" s="542" t="s">
        <v>1276</v>
      </c>
      <c r="F55" s="571" t="s">
        <v>1277</v>
      </c>
      <c r="G55" s="542" t="s">
        <v>1154</v>
      </c>
      <c r="H55" s="542" t="s">
        <v>1155</v>
      </c>
      <c r="I55" s="551">
        <v>210.84</v>
      </c>
      <c r="J55" s="551">
        <v>2</v>
      </c>
      <c r="K55" s="552">
        <v>421.69</v>
      </c>
    </row>
    <row r="56" spans="1:11" ht="14.4" customHeight="1" x14ac:dyDescent="0.3">
      <c r="A56" s="538" t="s">
        <v>461</v>
      </c>
      <c r="B56" s="539" t="s">
        <v>462</v>
      </c>
      <c r="C56" s="542" t="s">
        <v>475</v>
      </c>
      <c r="D56" s="571" t="s">
        <v>595</v>
      </c>
      <c r="E56" s="542" t="s">
        <v>1286</v>
      </c>
      <c r="F56" s="571" t="s">
        <v>1287</v>
      </c>
      <c r="G56" s="542" t="s">
        <v>1156</v>
      </c>
      <c r="H56" s="542" t="s">
        <v>1157</v>
      </c>
      <c r="I56" s="551">
        <v>471.97</v>
      </c>
      <c r="J56" s="551">
        <v>1</v>
      </c>
      <c r="K56" s="552">
        <v>471.97</v>
      </c>
    </row>
    <row r="57" spans="1:11" ht="14.4" customHeight="1" x14ac:dyDescent="0.3">
      <c r="A57" s="538" t="s">
        <v>461</v>
      </c>
      <c r="B57" s="539" t="s">
        <v>462</v>
      </c>
      <c r="C57" s="542" t="s">
        <v>475</v>
      </c>
      <c r="D57" s="571" t="s">
        <v>595</v>
      </c>
      <c r="E57" s="542" t="s">
        <v>1286</v>
      </c>
      <c r="F57" s="571" t="s">
        <v>1287</v>
      </c>
      <c r="G57" s="542" t="s">
        <v>1158</v>
      </c>
      <c r="H57" s="542" t="s">
        <v>1159</v>
      </c>
      <c r="I57" s="551">
        <v>466.25</v>
      </c>
      <c r="J57" s="551">
        <v>1</v>
      </c>
      <c r="K57" s="552">
        <v>466.25</v>
      </c>
    </row>
    <row r="58" spans="1:11" ht="14.4" customHeight="1" x14ac:dyDescent="0.3">
      <c r="A58" s="538" t="s">
        <v>461</v>
      </c>
      <c r="B58" s="539" t="s">
        <v>462</v>
      </c>
      <c r="C58" s="542" t="s">
        <v>475</v>
      </c>
      <c r="D58" s="571" t="s">
        <v>595</v>
      </c>
      <c r="E58" s="542" t="s">
        <v>1286</v>
      </c>
      <c r="F58" s="571" t="s">
        <v>1287</v>
      </c>
      <c r="G58" s="542" t="s">
        <v>1160</v>
      </c>
      <c r="H58" s="542" t="s">
        <v>1161</v>
      </c>
      <c r="I58" s="551">
        <v>90.06</v>
      </c>
      <c r="J58" s="551">
        <v>20</v>
      </c>
      <c r="K58" s="552">
        <v>1801.2</v>
      </c>
    </row>
    <row r="59" spans="1:11" ht="14.4" customHeight="1" x14ac:dyDescent="0.3">
      <c r="A59" s="538" t="s">
        <v>461</v>
      </c>
      <c r="B59" s="539" t="s">
        <v>462</v>
      </c>
      <c r="C59" s="542" t="s">
        <v>475</v>
      </c>
      <c r="D59" s="571" t="s">
        <v>595</v>
      </c>
      <c r="E59" s="542" t="s">
        <v>1286</v>
      </c>
      <c r="F59" s="571" t="s">
        <v>1287</v>
      </c>
      <c r="G59" s="542" t="s">
        <v>1162</v>
      </c>
      <c r="H59" s="542" t="s">
        <v>1163</v>
      </c>
      <c r="I59" s="551">
        <v>466.25</v>
      </c>
      <c r="J59" s="551">
        <v>1</v>
      </c>
      <c r="K59" s="552">
        <v>466.25</v>
      </c>
    </row>
    <row r="60" spans="1:11" ht="14.4" customHeight="1" x14ac:dyDescent="0.3">
      <c r="A60" s="538" t="s">
        <v>461</v>
      </c>
      <c r="B60" s="539" t="s">
        <v>462</v>
      </c>
      <c r="C60" s="542" t="s">
        <v>475</v>
      </c>
      <c r="D60" s="571" t="s">
        <v>595</v>
      </c>
      <c r="E60" s="542" t="s">
        <v>1286</v>
      </c>
      <c r="F60" s="571" t="s">
        <v>1287</v>
      </c>
      <c r="G60" s="542" t="s">
        <v>1164</v>
      </c>
      <c r="H60" s="542" t="s">
        <v>1165</v>
      </c>
      <c r="I60" s="551">
        <v>90.06</v>
      </c>
      <c r="J60" s="551">
        <v>20</v>
      </c>
      <c r="K60" s="552">
        <v>1801.2</v>
      </c>
    </row>
    <row r="61" spans="1:11" ht="14.4" customHeight="1" x14ac:dyDescent="0.3">
      <c r="A61" s="538" t="s">
        <v>461</v>
      </c>
      <c r="B61" s="539" t="s">
        <v>462</v>
      </c>
      <c r="C61" s="542" t="s">
        <v>475</v>
      </c>
      <c r="D61" s="571" t="s">
        <v>595</v>
      </c>
      <c r="E61" s="542" t="s">
        <v>1286</v>
      </c>
      <c r="F61" s="571" t="s">
        <v>1287</v>
      </c>
      <c r="G61" s="542" t="s">
        <v>1166</v>
      </c>
      <c r="H61" s="542" t="s">
        <v>1167</v>
      </c>
      <c r="I61" s="551">
        <v>466.25</v>
      </c>
      <c r="J61" s="551">
        <v>1</v>
      </c>
      <c r="K61" s="552">
        <v>466.25</v>
      </c>
    </row>
    <row r="62" spans="1:11" ht="14.4" customHeight="1" x14ac:dyDescent="0.3">
      <c r="A62" s="538" t="s">
        <v>461</v>
      </c>
      <c r="B62" s="539" t="s">
        <v>462</v>
      </c>
      <c r="C62" s="542" t="s">
        <v>475</v>
      </c>
      <c r="D62" s="571" t="s">
        <v>595</v>
      </c>
      <c r="E62" s="542" t="s">
        <v>1286</v>
      </c>
      <c r="F62" s="571" t="s">
        <v>1287</v>
      </c>
      <c r="G62" s="542" t="s">
        <v>1168</v>
      </c>
      <c r="H62" s="542" t="s">
        <v>1169</v>
      </c>
      <c r="I62" s="551">
        <v>471.95</v>
      </c>
      <c r="J62" s="551">
        <v>1</v>
      </c>
      <c r="K62" s="552">
        <v>471.95</v>
      </c>
    </row>
    <row r="63" spans="1:11" ht="14.4" customHeight="1" x14ac:dyDescent="0.3">
      <c r="A63" s="538" t="s">
        <v>461</v>
      </c>
      <c r="B63" s="539" t="s">
        <v>462</v>
      </c>
      <c r="C63" s="542" t="s">
        <v>475</v>
      </c>
      <c r="D63" s="571" t="s">
        <v>595</v>
      </c>
      <c r="E63" s="542" t="s">
        <v>1286</v>
      </c>
      <c r="F63" s="571" t="s">
        <v>1287</v>
      </c>
      <c r="G63" s="542" t="s">
        <v>1170</v>
      </c>
      <c r="H63" s="542" t="s">
        <v>1171</v>
      </c>
      <c r="I63" s="551">
        <v>4311.49</v>
      </c>
      <c r="J63" s="551">
        <v>1</v>
      </c>
      <c r="K63" s="552">
        <v>4311.49</v>
      </c>
    </row>
    <row r="64" spans="1:11" ht="14.4" customHeight="1" x14ac:dyDescent="0.3">
      <c r="A64" s="538" t="s">
        <v>461</v>
      </c>
      <c r="B64" s="539" t="s">
        <v>462</v>
      </c>
      <c r="C64" s="542" t="s">
        <v>475</v>
      </c>
      <c r="D64" s="571" t="s">
        <v>595</v>
      </c>
      <c r="E64" s="542" t="s">
        <v>1288</v>
      </c>
      <c r="F64" s="571" t="s">
        <v>1289</v>
      </c>
      <c r="G64" s="542" t="s">
        <v>1172</v>
      </c>
      <c r="H64" s="542" t="s">
        <v>1173</v>
      </c>
      <c r="I64" s="551">
        <v>440.1</v>
      </c>
      <c r="J64" s="551">
        <v>12</v>
      </c>
      <c r="K64" s="552">
        <v>5281.1900000000005</v>
      </c>
    </row>
    <row r="65" spans="1:11" ht="14.4" customHeight="1" x14ac:dyDescent="0.3">
      <c r="A65" s="538" t="s">
        <v>461</v>
      </c>
      <c r="B65" s="539" t="s">
        <v>462</v>
      </c>
      <c r="C65" s="542" t="s">
        <v>475</v>
      </c>
      <c r="D65" s="571" t="s">
        <v>595</v>
      </c>
      <c r="E65" s="542" t="s">
        <v>1288</v>
      </c>
      <c r="F65" s="571" t="s">
        <v>1289</v>
      </c>
      <c r="G65" s="542" t="s">
        <v>1174</v>
      </c>
      <c r="H65" s="542" t="s">
        <v>1175</v>
      </c>
      <c r="I65" s="551">
        <v>440.2</v>
      </c>
      <c r="J65" s="551">
        <v>6</v>
      </c>
      <c r="K65" s="552">
        <v>2641.19</v>
      </c>
    </row>
    <row r="66" spans="1:11" ht="14.4" customHeight="1" x14ac:dyDescent="0.3">
      <c r="A66" s="538" t="s">
        <v>461</v>
      </c>
      <c r="B66" s="539" t="s">
        <v>462</v>
      </c>
      <c r="C66" s="542" t="s">
        <v>475</v>
      </c>
      <c r="D66" s="571" t="s">
        <v>595</v>
      </c>
      <c r="E66" s="542" t="s">
        <v>1288</v>
      </c>
      <c r="F66" s="571" t="s">
        <v>1289</v>
      </c>
      <c r="G66" s="542" t="s">
        <v>1176</v>
      </c>
      <c r="H66" s="542" t="s">
        <v>1177</v>
      </c>
      <c r="I66" s="551">
        <v>1713.5</v>
      </c>
      <c r="J66" s="551">
        <v>1</v>
      </c>
      <c r="K66" s="552">
        <v>1713.5</v>
      </c>
    </row>
    <row r="67" spans="1:11" ht="14.4" customHeight="1" x14ac:dyDescent="0.3">
      <c r="A67" s="538" t="s">
        <v>461</v>
      </c>
      <c r="B67" s="539" t="s">
        <v>462</v>
      </c>
      <c r="C67" s="542" t="s">
        <v>475</v>
      </c>
      <c r="D67" s="571" t="s">
        <v>595</v>
      </c>
      <c r="E67" s="542" t="s">
        <v>1278</v>
      </c>
      <c r="F67" s="571" t="s">
        <v>1279</v>
      </c>
      <c r="G67" s="542" t="s">
        <v>1178</v>
      </c>
      <c r="H67" s="542" t="s">
        <v>1179</v>
      </c>
      <c r="I67" s="551">
        <v>123.66</v>
      </c>
      <c r="J67" s="551">
        <v>36</v>
      </c>
      <c r="K67" s="552">
        <v>4451.83</v>
      </c>
    </row>
    <row r="68" spans="1:11" ht="14.4" customHeight="1" x14ac:dyDescent="0.3">
      <c r="A68" s="538" t="s">
        <v>461</v>
      </c>
      <c r="B68" s="539" t="s">
        <v>462</v>
      </c>
      <c r="C68" s="542" t="s">
        <v>475</v>
      </c>
      <c r="D68" s="571" t="s">
        <v>595</v>
      </c>
      <c r="E68" s="542" t="s">
        <v>1278</v>
      </c>
      <c r="F68" s="571" t="s">
        <v>1279</v>
      </c>
      <c r="G68" s="542" t="s">
        <v>1180</v>
      </c>
      <c r="H68" s="542" t="s">
        <v>1181</v>
      </c>
      <c r="I68" s="551">
        <v>26.9</v>
      </c>
      <c r="J68" s="551">
        <v>100</v>
      </c>
      <c r="K68" s="552">
        <v>2690.2</v>
      </c>
    </row>
    <row r="69" spans="1:11" ht="14.4" customHeight="1" x14ac:dyDescent="0.3">
      <c r="A69" s="538" t="s">
        <v>461</v>
      </c>
      <c r="B69" s="539" t="s">
        <v>462</v>
      </c>
      <c r="C69" s="542" t="s">
        <v>475</v>
      </c>
      <c r="D69" s="571" t="s">
        <v>595</v>
      </c>
      <c r="E69" s="542" t="s">
        <v>1278</v>
      </c>
      <c r="F69" s="571" t="s">
        <v>1279</v>
      </c>
      <c r="G69" s="542" t="s">
        <v>1096</v>
      </c>
      <c r="H69" s="542" t="s">
        <v>1097</v>
      </c>
      <c r="I69" s="551">
        <v>60.55</v>
      </c>
      <c r="J69" s="551">
        <v>180</v>
      </c>
      <c r="K69" s="552">
        <v>10899.16</v>
      </c>
    </row>
    <row r="70" spans="1:11" ht="14.4" customHeight="1" x14ac:dyDescent="0.3">
      <c r="A70" s="538" t="s">
        <v>461</v>
      </c>
      <c r="B70" s="539" t="s">
        <v>462</v>
      </c>
      <c r="C70" s="542" t="s">
        <v>475</v>
      </c>
      <c r="D70" s="571" t="s">
        <v>595</v>
      </c>
      <c r="E70" s="542" t="s">
        <v>1278</v>
      </c>
      <c r="F70" s="571" t="s">
        <v>1279</v>
      </c>
      <c r="G70" s="542" t="s">
        <v>1098</v>
      </c>
      <c r="H70" s="542" t="s">
        <v>1099</v>
      </c>
      <c r="I70" s="551">
        <v>86.18</v>
      </c>
      <c r="J70" s="551">
        <v>72</v>
      </c>
      <c r="K70" s="552">
        <v>6205.0300000000007</v>
      </c>
    </row>
    <row r="71" spans="1:11" ht="14.4" customHeight="1" x14ac:dyDescent="0.3">
      <c r="A71" s="538" t="s">
        <v>461</v>
      </c>
      <c r="B71" s="539" t="s">
        <v>462</v>
      </c>
      <c r="C71" s="542" t="s">
        <v>475</v>
      </c>
      <c r="D71" s="571" t="s">
        <v>595</v>
      </c>
      <c r="E71" s="542" t="s">
        <v>1278</v>
      </c>
      <c r="F71" s="571" t="s">
        <v>1279</v>
      </c>
      <c r="G71" s="542" t="s">
        <v>1110</v>
      </c>
      <c r="H71" s="542" t="s">
        <v>1111</v>
      </c>
      <c r="I71" s="551">
        <v>374.38</v>
      </c>
      <c r="J71" s="551">
        <v>24</v>
      </c>
      <c r="K71" s="552">
        <v>8985.18</v>
      </c>
    </row>
    <row r="72" spans="1:11" ht="14.4" customHeight="1" x14ac:dyDescent="0.3">
      <c r="A72" s="538" t="s">
        <v>461</v>
      </c>
      <c r="B72" s="539" t="s">
        <v>462</v>
      </c>
      <c r="C72" s="542" t="s">
        <v>475</v>
      </c>
      <c r="D72" s="571" t="s">
        <v>595</v>
      </c>
      <c r="E72" s="542" t="s">
        <v>1278</v>
      </c>
      <c r="F72" s="571" t="s">
        <v>1279</v>
      </c>
      <c r="G72" s="542" t="s">
        <v>1112</v>
      </c>
      <c r="H72" s="542" t="s">
        <v>1113</v>
      </c>
      <c r="I72" s="551">
        <v>95.469999999999985</v>
      </c>
      <c r="J72" s="551">
        <v>132</v>
      </c>
      <c r="K72" s="552">
        <v>12601.93</v>
      </c>
    </row>
    <row r="73" spans="1:11" ht="14.4" customHeight="1" x14ac:dyDescent="0.3">
      <c r="A73" s="538" t="s">
        <v>461</v>
      </c>
      <c r="B73" s="539" t="s">
        <v>462</v>
      </c>
      <c r="C73" s="542" t="s">
        <v>475</v>
      </c>
      <c r="D73" s="571" t="s">
        <v>595</v>
      </c>
      <c r="E73" s="542" t="s">
        <v>1278</v>
      </c>
      <c r="F73" s="571" t="s">
        <v>1279</v>
      </c>
      <c r="G73" s="542" t="s">
        <v>1114</v>
      </c>
      <c r="H73" s="542" t="s">
        <v>1115</v>
      </c>
      <c r="I73" s="551">
        <v>97.34</v>
      </c>
      <c r="J73" s="551">
        <v>12</v>
      </c>
      <c r="K73" s="552">
        <v>1168.1099999999999</v>
      </c>
    </row>
    <row r="74" spans="1:11" ht="14.4" customHeight="1" x14ac:dyDescent="0.3">
      <c r="A74" s="538" t="s">
        <v>461</v>
      </c>
      <c r="B74" s="539" t="s">
        <v>462</v>
      </c>
      <c r="C74" s="542" t="s">
        <v>475</v>
      </c>
      <c r="D74" s="571" t="s">
        <v>595</v>
      </c>
      <c r="E74" s="542" t="s">
        <v>1278</v>
      </c>
      <c r="F74" s="571" t="s">
        <v>1279</v>
      </c>
      <c r="G74" s="542" t="s">
        <v>1182</v>
      </c>
      <c r="H74" s="542" t="s">
        <v>1183</v>
      </c>
      <c r="I74" s="551">
        <v>825.25</v>
      </c>
      <c r="J74" s="551">
        <v>24</v>
      </c>
      <c r="K74" s="552">
        <v>19806.11</v>
      </c>
    </row>
    <row r="75" spans="1:11" ht="14.4" customHeight="1" x14ac:dyDescent="0.3">
      <c r="A75" s="538" t="s">
        <v>461</v>
      </c>
      <c r="B75" s="539" t="s">
        <v>462</v>
      </c>
      <c r="C75" s="542" t="s">
        <v>475</v>
      </c>
      <c r="D75" s="571" t="s">
        <v>595</v>
      </c>
      <c r="E75" s="542" t="s">
        <v>1278</v>
      </c>
      <c r="F75" s="571" t="s">
        <v>1279</v>
      </c>
      <c r="G75" s="542" t="s">
        <v>1184</v>
      </c>
      <c r="H75" s="542" t="s">
        <v>1185</v>
      </c>
      <c r="I75" s="551">
        <v>120.72</v>
      </c>
      <c r="J75" s="551">
        <v>24</v>
      </c>
      <c r="K75" s="552">
        <v>2897.31</v>
      </c>
    </row>
    <row r="76" spans="1:11" ht="14.4" customHeight="1" x14ac:dyDescent="0.3">
      <c r="A76" s="538" t="s">
        <v>461</v>
      </c>
      <c r="B76" s="539" t="s">
        <v>462</v>
      </c>
      <c r="C76" s="542" t="s">
        <v>475</v>
      </c>
      <c r="D76" s="571" t="s">
        <v>595</v>
      </c>
      <c r="E76" s="542" t="s">
        <v>1278</v>
      </c>
      <c r="F76" s="571" t="s">
        <v>1279</v>
      </c>
      <c r="G76" s="542" t="s">
        <v>1186</v>
      </c>
      <c r="H76" s="542" t="s">
        <v>1187</v>
      </c>
      <c r="I76" s="551">
        <v>55.88</v>
      </c>
      <c r="J76" s="551">
        <v>72</v>
      </c>
      <c r="K76" s="552">
        <v>4023.39</v>
      </c>
    </row>
    <row r="77" spans="1:11" ht="14.4" customHeight="1" x14ac:dyDescent="0.3">
      <c r="A77" s="538" t="s">
        <v>461</v>
      </c>
      <c r="B77" s="539" t="s">
        <v>462</v>
      </c>
      <c r="C77" s="542" t="s">
        <v>467</v>
      </c>
      <c r="D77" s="571" t="s">
        <v>593</v>
      </c>
      <c r="E77" s="542" t="s">
        <v>1274</v>
      </c>
      <c r="F77" s="571" t="s">
        <v>1275</v>
      </c>
      <c r="G77" s="542" t="s">
        <v>1188</v>
      </c>
      <c r="H77" s="542" t="s">
        <v>1189</v>
      </c>
      <c r="I77" s="551">
        <v>99.06</v>
      </c>
      <c r="J77" s="551">
        <v>2</v>
      </c>
      <c r="K77" s="552">
        <v>198.12</v>
      </c>
    </row>
    <row r="78" spans="1:11" ht="14.4" customHeight="1" x14ac:dyDescent="0.3">
      <c r="A78" s="538" t="s">
        <v>461</v>
      </c>
      <c r="B78" s="539" t="s">
        <v>462</v>
      </c>
      <c r="C78" s="542" t="s">
        <v>467</v>
      </c>
      <c r="D78" s="571" t="s">
        <v>593</v>
      </c>
      <c r="E78" s="542" t="s">
        <v>1274</v>
      </c>
      <c r="F78" s="571" t="s">
        <v>1275</v>
      </c>
      <c r="G78" s="542" t="s">
        <v>1190</v>
      </c>
      <c r="H78" s="542" t="s">
        <v>1191</v>
      </c>
      <c r="I78" s="551">
        <v>183.09</v>
      </c>
      <c r="J78" s="551">
        <v>2</v>
      </c>
      <c r="K78" s="552">
        <v>366.18</v>
      </c>
    </row>
    <row r="79" spans="1:11" ht="14.4" customHeight="1" x14ac:dyDescent="0.3">
      <c r="A79" s="538" t="s">
        <v>461</v>
      </c>
      <c r="B79" s="539" t="s">
        <v>462</v>
      </c>
      <c r="C79" s="542" t="s">
        <v>467</v>
      </c>
      <c r="D79" s="571" t="s">
        <v>593</v>
      </c>
      <c r="E79" s="542" t="s">
        <v>1274</v>
      </c>
      <c r="F79" s="571" t="s">
        <v>1275</v>
      </c>
      <c r="G79" s="542" t="s">
        <v>1192</v>
      </c>
      <c r="H79" s="542" t="s">
        <v>1193</v>
      </c>
      <c r="I79" s="551">
        <v>0.39</v>
      </c>
      <c r="J79" s="551">
        <v>1000</v>
      </c>
      <c r="K79" s="552">
        <v>390</v>
      </c>
    </row>
    <row r="80" spans="1:11" ht="14.4" customHeight="1" x14ac:dyDescent="0.3">
      <c r="A80" s="538" t="s">
        <v>461</v>
      </c>
      <c r="B80" s="539" t="s">
        <v>462</v>
      </c>
      <c r="C80" s="542" t="s">
        <v>467</v>
      </c>
      <c r="D80" s="571" t="s">
        <v>593</v>
      </c>
      <c r="E80" s="542" t="s">
        <v>1274</v>
      </c>
      <c r="F80" s="571" t="s">
        <v>1275</v>
      </c>
      <c r="G80" s="542" t="s">
        <v>1194</v>
      </c>
      <c r="H80" s="542" t="s">
        <v>1195</v>
      </c>
      <c r="I80" s="551">
        <v>2.39</v>
      </c>
      <c r="J80" s="551">
        <v>100</v>
      </c>
      <c r="K80" s="552">
        <v>239</v>
      </c>
    </row>
    <row r="81" spans="1:11" ht="14.4" customHeight="1" x14ac:dyDescent="0.3">
      <c r="A81" s="538" t="s">
        <v>461</v>
      </c>
      <c r="B81" s="539" t="s">
        <v>462</v>
      </c>
      <c r="C81" s="542" t="s">
        <v>467</v>
      </c>
      <c r="D81" s="571" t="s">
        <v>593</v>
      </c>
      <c r="E81" s="542" t="s">
        <v>1274</v>
      </c>
      <c r="F81" s="571" t="s">
        <v>1275</v>
      </c>
      <c r="G81" s="542" t="s">
        <v>1196</v>
      </c>
      <c r="H81" s="542" t="s">
        <v>1197</v>
      </c>
      <c r="I81" s="551">
        <v>3.11</v>
      </c>
      <c r="J81" s="551">
        <v>100</v>
      </c>
      <c r="K81" s="552">
        <v>311</v>
      </c>
    </row>
    <row r="82" spans="1:11" ht="14.4" customHeight="1" x14ac:dyDescent="0.3">
      <c r="A82" s="538" t="s">
        <v>461</v>
      </c>
      <c r="B82" s="539" t="s">
        <v>462</v>
      </c>
      <c r="C82" s="542" t="s">
        <v>467</v>
      </c>
      <c r="D82" s="571" t="s">
        <v>593</v>
      </c>
      <c r="E82" s="542" t="s">
        <v>1274</v>
      </c>
      <c r="F82" s="571" t="s">
        <v>1275</v>
      </c>
      <c r="G82" s="542" t="s">
        <v>1198</v>
      </c>
      <c r="H82" s="542" t="s">
        <v>1199</v>
      </c>
      <c r="I82" s="551">
        <v>3.01</v>
      </c>
      <c r="J82" s="551">
        <v>400</v>
      </c>
      <c r="K82" s="552">
        <v>1204</v>
      </c>
    </row>
    <row r="83" spans="1:11" ht="14.4" customHeight="1" x14ac:dyDescent="0.3">
      <c r="A83" s="538" t="s">
        <v>461</v>
      </c>
      <c r="B83" s="539" t="s">
        <v>462</v>
      </c>
      <c r="C83" s="542" t="s">
        <v>467</v>
      </c>
      <c r="D83" s="571" t="s">
        <v>593</v>
      </c>
      <c r="E83" s="542" t="s">
        <v>1274</v>
      </c>
      <c r="F83" s="571" t="s">
        <v>1275</v>
      </c>
      <c r="G83" s="542" t="s">
        <v>1200</v>
      </c>
      <c r="H83" s="542" t="s">
        <v>1201</v>
      </c>
      <c r="I83" s="551">
        <v>0.88</v>
      </c>
      <c r="J83" s="551">
        <v>2000</v>
      </c>
      <c r="K83" s="552">
        <v>1760</v>
      </c>
    </row>
    <row r="84" spans="1:11" ht="14.4" customHeight="1" x14ac:dyDescent="0.3">
      <c r="A84" s="538" t="s">
        <v>461</v>
      </c>
      <c r="B84" s="539" t="s">
        <v>462</v>
      </c>
      <c r="C84" s="542" t="s">
        <v>467</v>
      </c>
      <c r="D84" s="571" t="s">
        <v>593</v>
      </c>
      <c r="E84" s="542" t="s">
        <v>1274</v>
      </c>
      <c r="F84" s="571" t="s">
        <v>1275</v>
      </c>
      <c r="G84" s="542" t="s">
        <v>1060</v>
      </c>
      <c r="H84" s="542" t="s">
        <v>1061</v>
      </c>
      <c r="I84" s="551">
        <v>61.21</v>
      </c>
      <c r="J84" s="551">
        <v>3</v>
      </c>
      <c r="K84" s="552">
        <v>183.63</v>
      </c>
    </row>
    <row r="85" spans="1:11" ht="14.4" customHeight="1" x14ac:dyDescent="0.3">
      <c r="A85" s="538" t="s">
        <v>461</v>
      </c>
      <c r="B85" s="539" t="s">
        <v>462</v>
      </c>
      <c r="C85" s="542" t="s">
        <v>467</v>
      </c>
      <c r="D85" s="571" t="s">
        <v>593</v>
      </c>
      <c r="E85" s="542" t="s">
        <v>1274</v>
      </c>
      <c r="F85" s="571" t="s">
        <v>1275</v>
      </c>
      <c r="G85" s="542" t="s">
        <v>1202</v>
      </c>
      <c r="H85" s="542" t="s">
        <v>1203</v>
      </c>
      <c r="I85" s="551">
        <v>1.1499999999999999</v>
      </c>
      <c r="J85" s="551">
        <v>1500</v>
      </c>
      <c r="K85" s="552">
        <v>1718.1</v>
      </c>
    </row>
    <row r="86" spans="1:11" ht="14.4" customHeight="1" x14ac:dyDescent="0.3">
      <c r="A86" s="538" t="s">
        <v>461</v>
      </c>
      <c r="B86" s="539" t="s">
        <v>462</v>
      </c>
      <c r="C86" s="542" t="s">
        <v>467</v>
      </c>
      <c r="D86" s="571" t="s">
        <v>593</v>
      </c>
      <c r="E86" s="542" t="s">
        <v>1274</v>
      </c>
      <c r="F86" s="571" t="s">
        <v>1275</v>
      </c>
      <c r="G86" s="542" t="s">
        <v>1204</v>
      </c>
      <c r="H86" s="542" t="s">
        <v>1205</v>
      </c>
      <c r="I86" s="551">
        <v>450</v>
      </c>
      <c r="J86" s="551">
        <v>2</v>
      </c>
      <c r="K86" s="552">
        <v>899.99</v>
      </c>
    </row>
    <row r="87" spans="1:11" ht="14.4" customHeight="1" x14ac:dyDescent="0.3">
      <c r="A87" s="538" t="s">
        <v>461</v>
      </c>
      <c r="B87" s="539" t="s">
        <v>462</v>
      </c>
      <c r="C87" s="542" t="s">
        <v>467</v>
      </c>
      <c r="D87" s="571" t="s">
        <v>593</v>
      </c>
      <c r="E87" s="542" t="s">
        <v>1274</v>
      </c>
      <c r="F87" s="571" t="s">
        <v>1275</v>
      </c>
      <c r="G87" s="542" t="s">
        <v>1206</v>
      </c>
      <c r="H87" s="542" t="s">
        <v>1207</v>
      </c>
      <c r="I87" s="551">
        <v>1.17</v>
      </c>
      <c r="J87" s="551">
        <v>2100</v>
      </c>
      <c r="K87" s="552">
        <v>2457</v>
      </c>
    </row>
    <row r="88" spans="1:11" ht="14.4" customHeight="1" x14ac:dyDescent="0.3">
      <c r="A88" s="538" t="s">
        <v>461</v>
      </c>
      <c r="B88" s="539" t="s">
        <v>462</v>
      </c>
      <c r="C88" s="542" t="s">
        <v>467</v>
      </c>
      <c r="D88" s="571" t="s">
        <v>593</v>
      </c>
      <c r="E88" s="542" t="s">
        <v>1274</v>
      </c>
      <c r="F88" s="571" t="s">
        <v>1275</v>
      </c>
      <c r="G88" s="542" t="s">
        <v>1062</v>
      </c>
      <c r="H88" s="542" t="s">
        <v>1063</v>
      </c>
      <c r="I88" s="551">
        <v>26.164999999999999</v>
      </c>
      <c r="J88" s="551">
        <v>5</v>
      </c>
      <c r="K88" s="552">
        <v>130.83000000000001</v>
      </c>
    </row>
    <row r="89" spans="1:11" ht="14.4" customHeight="1" x14ac:dyDescent="0.3">
      <c r="A89" s="538" t="s">
        <v>461</v>
      </c>
      <c r="B89" s="539" t="s">
        <v>462</v>
      </c>
      <c r="C89" s="542" t="s">
        <v>467</v>
      </c>
      <c r="D89" s="571" t="s">
        <v>593</v>
      </c>
      <c r="E89" s="542" t="s">
        <v>1274</v>
      </c>
      <c r="F89" s="571" t="s">
        <v>1275</v>
      </c>
      <c r="G89" s="542" t="s">
        <v>1208</v>
      </c>
      <c r="H89" s="542" t="s">
        <v>1209</v>
      </c>
      <c r="I89" s="551">
        <v>10.635</v>
      </c>
      <c r="J89" s="551">
        <v>40</v>
      </c>
      <c r="K89" s="552">
        <v>425.56</v>
      </c>
    </row>
    <row r="90" spans="1:11" ht="14.4" customHeight="1" x14ac:dyDescent="0.3">
      <c r="A90" s="538" t="s">
        <v>461</v>
      </c>
      <c r="B90" s="539" t="s">
        <v>462</v>
      </c>
      <c r="C90" s="542" t="s">
        <v>467</v>
      </c>
      <c r="D90" s="571" t="s">
        <v>593</v>
      </c>
      <c r="E90" s="542" t="s">
        <v>1274</v>
      </c>
      <c r="F90" s="571" t="s">
        <v>1275</v>
      </c>
      <c r="G90" s="542" t="s">
        <v>1064</v>
      </c>
      <c r="H90" s="542" t="s">
        <v>1065</v>
      </c>
      <c r="I90" s="551">
        <v>0.85</v>
      </c>
      <c r="J90" s="551">
        <v>100</v>
      </c>
      <c r="K90" s="552">
        <v>85</v>
      </c>
    </row>
    <row r="91" spans="1:11" ht="14.4" customHeight="1" x14ac:dyDescent="0.3">
      <c r="A91" s="538" t="s">
        <v>461</v>
      </c>
      <c r="B91" s="539" t="s">
        <v>462</v>
      </c>
      <c r="C91" s="542" t="s">
        <v>467</v>
      </c>
      <c r="D91" s="571" t="s">
        <v>593</v>
      </c>
      <c r="E91" s="542" t="s">
        <v>1274</v>
      </c>
      <c r="F91" s="571" t="s">
        <v>1275</v>
      </c>
      <c r="G91" s="542" t="s">
        <v>1066</v>
      </c>
      <c r="H91" s="542" t="s">
        <v>1067</v>
      </c>
      <c r="I91" s="551">
        <v>1.52</v>
      </c>
      <c r="J91" s="551">
        <v>50</v>
      </c>
      <c r="K91" s="552">
        <v>76</v>
      </c>
    </row>
    <row r="92" spans="1:11" ht="14.4" customHeight="1" x14ac:dyDescent="0.3">
      <c r="A92" s="538" t="s">
        <v>461</v>
      </c>
      <c r="B92" s="539" t="s">
        <v>462</v>
      </c>
      <c r="C92" s="542" t="s">
        <v>467</v>
      </c>
      <c r="D92" s="571" t="s">
        <v>593</v>
      </c>
      <c r="E92" s="542" t="s">
        <v>1274</v>
      </c>
      <c r="F92" s="571" t="s">
        <v>1275</v>
      </c>
      <c r="G92" s="542" t="s">
        <v>1210</v>
      </c>
      <c r="H92" s="542" t="s">
        <v>1211</v>
      </c>
      <c r="I92" s="551">
        <v>2.0699999999999998</v>
      </c>
      <c r="J92" s="551">
        <v>50</v>
      </c>
      <c r="K92" s="552">
        <v>103.5</v>
      </c>
    </row>
    <row r="93" spans="1:11" ht="14.4" customHeight="1" x14ac:dyDescent="0.3">
      <c r="A93" s="538" t="s">
        <v>461</v>
      </c>
      <c r="B93" s="539" t="s">
        <v>462</v>
      </c>
      <c r="C93" s="542" t="s">
        <v>467</v>
      </c>
      <c r="D93" s="571" t="s">
        <v>593</v>
      </c>
      <c r="E93" s="542" t="s">
        <v>1274</v>
      </c>
      <c r="F93" s="571" t="s">
        <v>1275</v>
      </c>
      <c r="G93" s="542" t="s">
        <v>1212</v>
      </c>
      <c r="H93" s="542" t="s">
        <v>1213</v>
      </c>
      <c r="I93" s="551">
        <v>243.51</v>
      </c>
      <c r="J93" s="551">
        <v>1</v>
      </c>
      <c r="K93" s="552">
        <v>243.51</v>
      </c>
    </row>
    <row r="94" spans="1:11" ht="14.4" customHeight="1" x14ac:dyDescent="0.3">
      <c r="A94" s="538" t="s">
        <v>461</v>
      </c>
      <c r="B94" s="539" t="s">
        <v>462</v>
      </c>
      <c r="C94" s="542" t="s">
        <v>467</v>
      </c>
      <c r="D94" s="571" t="s">
        <v>593</v>
      </c>
      <c r="E94" s="542" t="s">
        <v>1274</v>
      </c>
      <c r="F94" s="571" t="s">
        <v>1275</v>
      </c>
      <c r="G94" s="542" t="s">
        <v>1214</v>
      </c>
      <c r="H94" s="542" t="s">
        <v>1215</v>
      </c>
      <c r="I94" s="551">
        <v>0.91</v>
      </c>
      <c r="J94" s="551">
        <v>500</v>
      </c>
      <c r="K94" s="552">
        <v>455.4</v>
      </c>
    </row>
    <row r="95" spans="1:11" ht="14.4" customHeight="1" x14ac:dyDescent="0.3">
      <c r="A95" s="538" t="s">
        <v>461</v>
      </c>
      <c r="B95" s="539" t="s">
        <v>462</v>
      </c>
      <c r="C95" s="542" t="s">
        <v>467</v>
      </c>
      <c r="D95" s="571" t="s">
        <v>593</v>
      </c>
      <c r="E95" s="542" t="s">
        <v>1274</v>
      </c>
      <c r="F95" s="571" t="s">
        <v>1275</v>
      </c>
      <c r="G95" s="542" t="s">
        <v>1068</v>
      </c>
      <c r="H95" s="542" t="s">
        <v>1069</v>
      </c>
      <c r="I95" s="551">
        <v>13.87</v>
      </c>
      <c r="J95" s="551">
        <v>24</v>
      </c>
      <c r="K95" s="552">
        <v>332.8</v>
      </c>
    </row>
    <row r="96" spans="1:11" ht="14.4" customHeight="1" x14ac:dyDescent="0.3">
      <c r="A96" s="538" t="s">
        <v>461</v>
      </c>
      <c r="B96" s="539" t="s">
        <v>462</v>
      </c>
      <c r="C96" s="542" t="s">
        <v>467</v>
      </c>
      <c r="D96" s="571" t="s">
        <v>593</v>
      </c>
      <c r="E96" s="542" t="s">
        <v>1274</v>
      </c>
      <c r="F96" s="571" t="s">
        <v>1275</v>
      </c>
      <c r="G96" s="542" t="s">
        <v>1216</v>
      </c>
      <c r="H96" s="542" t="s">
        <v>1217</v>
      </c>
      <c r="I96" s="551">
        <v>40.340000000000003</v>
      </c>
      <c r="J96" s="551">
        <v>10</v>
      </c>
      <c r="K96" s="552">
        <v>403.39</v>
      </c>
    </row>
    <row r="97" spans="1:11" ht="14.4" customHeight="1" x14ac:dyDescent="0.3">
      <c r="A97" s="538" t="s">
        <v>461</v>
      </c>
      <c r="B97" s="539" t="s">
        <v>462</v>
      </c>
      <c r="C97" s="542" t="s">
        <v>467</v>
      </c>
      <c r="D97" s="571" t="s">
        <v>593</v>
      </c>
      <c r="E97" s="542" t="s">
        <v>1274</v>
      </c>
      <c r="F97" s="571" t="s">
        <v>1275</v>
      </c>
      <c r="G97" s="542" t="s">
        <v>1218</v>
      </c>
      <c r="H97" s="542" t="s">
        <v>1219</v>
      </c>
      <c r="I97" s="551">
        <v>1317.69</v>
      </c>
      <c r="J97" s="551">
        <v>2</v>
      </c>
      <c r="K97" s="552">
        <v>2635.38</v>
      </c>
    </row>
    <row r="98" spans="1:11" ht="14.4" customHeight="1" x14ac:dyDescent="0.3">
      <c r="A98" s="538" t="s">
        <v>461</v>
      </c>
      <c r="B98" s="539" t="s">
        <v>462</v>
      </c>
      <c r="C98" s="542" t="s">
        <v>467</v>
      </c>
      <c r="D98" s="571" t="s">
        <v>593</v>
      </c>
      <c r="E98" s="542" t="s">
        <v>1274</v>
      </c>
      <c r="F98" s="571" t="s">
        <v>1275</v>
      </c>
      <c r="G98" s="542" t="s">
        <v>1070</v>
      </c>
      <c r="H98" s="542" t="s">
        <v>1071</v>
      </c>
      <c r="I98" s="551">
        <v>2.88</v>
      </c>
      <c r="J98" s="551">
        <v>50</v>
      </c>
      <c r="K98" s="552">
        <v>144</v>
      </c>
    </row>
    <row r="99" spans="1:11" ht="14.4" customHeight="1" x14ac:dyDescent="0.3">
      <c r="A99" s="538" t="s">
        <v>461</v>
      </c>
      <c r="B99" s="539" t="s">
        <v>462</v>
      </c>
      <c r="C99" s="542" t="s">
        <v>467</v>
      </c>
      <c r="D99" s="571" t="s">
        <v>593</v>
      </c>
      <c r="E99" s="542" t="s">
        <v>1274</v>
      </c>
      <c r="F99" s="571" t="s">
        <v>1275</v>
      </c>
      <c r="G99" s="542" t="s">
        <v>1072</v>
      </c>
      <c r="H99" s="542" t="s">
        <v>1073</v>
      </c>
      <c r="I99" s="551">
        <v>4.79</v>
      </c>
      <c r="J99" s="551">
        <v>36</v>
      </c>
      <c r="K99" s="552">
        <v>172.44</v>
      </c>
    </row>
    <row r="100" spans="1:11" ht="14.4" customHeight="1" x14ac:dyDescent="0.3">
      <c r="A100" s="538" t="s">
        <v>461</v>
      </c>
      <c r="B100" s="539" t="s">
        <v>462</v>
      </c>
      <c r="C100" s="542" t="s">
        <v>467</v>
      </c>
      <c r="D100" s="571" t="s">
        <v>593</v>
      </c>
      <c r="E100" s="542" t="s">
        <v>1274</v>
      </c>
      <c r="F100" s="571" t="s">
        <v>1275</v>
      </c>
      <c r="G100" s="542" t="s">
        <v>1220</v>
      </c>
      <c r="H100" s="542" t="s">
        <v>1221</v>
      </c>
      <c r="I100" s="551">
        <v>56.35</v>
      </c>
      <c r="J100" s="551">
        <v>1</v>
      </c>
      <c r="K100" s="552">
        <v>56.35</v>
      </c>
    </row>
    <row r="101" spans="1:11" ht="14.4" customHeight="1" x14ac:dyDescent="0.3">
      <c r="A101" s="538" t="s">
        <v>461</v>
      </c>
      <c r="B101" s="539" t="s">
        <v>462</v>
      </c>
      <c r="C101" s="542" t="s">
        <v>467</v>
      </c>
      <c r="D101" s="571" t="s">
        <v>593</v>
      </c>
      <c r="E101" s="542" t="s">
        <v>1274</v>
      </c>
      <c r="F101" s="571" t="s">
        <v>1275</v>
      </c>
      <c r="G101" s="542" t="s">
        <v>1222</v>
      </c>
      <c r="H101" s="542" t="s">
        <v>1223</v>
      </c>
      <c r="I101" s="551">
        <v>5.0199999999999996</v>
      </c>
      <c r="J101" s="551">
        <v>25</v>
      </c>
      <c r="K101" s="552">
        <v>125.4</v>
      </c>
    </row>
    <row r="102" spans="1:11" ht="14.4" customHeight="1" x14ac:dyDescent="0.3">
      <c r="A102" s="538" t="s">
        <v>461</v>
      </c>
      <c r="B102" s="539" t="s">
        <v>462</v>
      </c>
      <c r="C102" s="542" t="s">
        <v>467</v>
      </c>
      <c r="D102" s="571" t="s">
        <v>593</v>
      </c>
      <c r="E102" s="542" t="s">
        <v>1274</v>
      </c>
      <c r="F102" s="571" t="s">
        <v>1275</v>
      </c>
      <c r="G102" s="542" t="s">
        <v>1224</v>
      </c>
      <c r="H102" s="542" t="s">
        <v>1225</v>
      </c>
      <c r="I102" s="551">
        <v>16.329999999999998</v>
      </c>
      <c r="J102" s="551">
        <v>70</v>
      </c>
      <c r="K102" s="552">
        <v>1143.0999999999999</v>
      </c>
    </row>
    <row r="103" spans="1:11" ht="14.4" customHeight="1" x14ac:dyDescent="0.3">
      <c r="A103" s="538" t="s">
        <v>461</v>
      </c>
      <c r="B103" s="539" t="s">
        <v>462</v>
      </c>
      <c r="C103" s="542" t="s">
        <v>467</v>
      </c>
      <c r="D103" s="571" t="s">
        <v>593</v>
      </c>
      <c r="E103" s="542" t="s">
        <v>1274</v>
      </c>
      <c r="F103" s="571" t="s">
        <v>1275</v>
      </c>
      <c r="G103" s="542" t="s">
        <v>1226</v>
      </c>
      <c r="H103" s="542" t="s">
        <v>1227</v>
      </c>
      <c r="I103" s="551">
        <v>22.3</v>
      </c>
      <c r="J103" s="551">
        <v>8</v>
      </c>
      <c r="K103" s="552">
        <v>178.38</v>
      </c>
    </row>
    <row r="104" spans="1:11" ht="14.4" customHeight="1" x14ac:dyDescent="0.3">
      <c r="A104" s="538" t="s">
        <v>461</v>
      </c>
      <c r="B104" s="539" t="s">
        <v>462</v>
      </c>
      <c r="C104" s="542" t="s">
        <v>467</v>
      </c>
      <c r="D104" s="571" t="s">
        <v>593</v>
      </c>
      <c r="E104" s="542" t="s">
        <v>1274</v>
      </c>
      <c r="F104" s="571" t="s">
        <v>1275</v>
      </c>
      <c r="G104" s="542" t="s">
        <v>1228</v>
      </c>
      <c r="H104" s="542" t="s">
        <v>1229</v>
      </c>
      <c r="I104" s="551">
        <v>0.56999999999999995</v>
      </c>
      <c r="J104" s="551">
        <v>200</v>
      </c>
      <c r="K104" s="552">
        <v>113.8</v>
      </c>
    </row>
    <row r="105" spans="1:11" ht="14.4" customHeight="1" x14ac:dyDescent="0.3">
      <c r="A105" s="538" t="s">
        <v>461</v>
      </c>
      <c r="B105" s="539" t="s">
        <v>462</v>
      </c>
      <c r="C105" s="542" t="s">
        <v>467</v>
      </c>
      <c r="D105" s="571" t="s">
        <v>593</v>
      </c>
      <c r="E105" s="542" t="s">
        <v>1274</v>
      </c>
      <c r="F105" s="571" t="s">
        <v>1275</v>
      </c>
      <c r="G105" s="542" t="s">
        <v>1230</v>
      </c>
      <c r="H105" s="542" t="s">
        <v>1231</v>
      </c>
      <c r="I105" s="551">
        <v>1868.75</v>
      </c>
      <c r="J105" s="551">
        <v>1</v>
      </c>
      <c r="K105" s="552">
        <v>1868.75</v>
      </c>
    </row>
    <row r="106" spans="1:11" ht="14.4" customHeight="1" x14ac:dyDescent="0.3">
      <c r="A106" s="538" t="s">
        <v>461</v>
      </c>
      <c r="B106" s="539" t="s">
        <v>462</v>
      </c>
      <c r="C106" s="542" t="s">
        <v>467</v>
      </c>
      <c r="D106" s="571" t="s">
        <v>593</v>
      </c>
      <c r="E106" s="542" t="s">
        <v>1274</v>
      </c>
      <c r="F106" s="571" t="s">
        <v>1275</v>
      </c>
      <c r="G106" s="542" t="s">
        <v>1232</v>
      </c>
      <c r="H106" s="542" t="s">
        <v>1233</v>
      </c>
      <c r="I106" s="551">
        <v>67.06</v>
      </c>
      <c r="J106" s="551">
        <v>10</v>
      </c>
      <c r="K106" s="552">
        <v>670.62</v>
      </c>
    </row>
    <row r="107" spans="1:11" ht="14.4" customHeight="1" x14ac:dyDescent="0.3">
      <c r="A107" s="538" t="s">
        <v>461</v>
      </c>
      <c r="B107" s="539" t="s">
        <v>462</v>
      </c>
      <c r="C107" s="542" t="s">
        <v>467</v>
      </c>
      <c r="D107" s="571" t="s">
        <v>593</v>
      </c>
      <c r="E107" s="542" t="s">
        <v>1274</v>
      </c>
      <c r="F107" s="571" t="s">
        <v>1275</v>
      </c>
      <c r="G107" s="542" t="s">
        <v>1234</v>
      </c>
      <c r="H107" s="542" t="s">
        <v>1235</v>
      </c>
      <c r="I107" s="551">
        <v>7.81</v>
      </c>
      <c r="J107" s="551">
        <v>600</v>
      </c>
      <c r="K107" s="552">
        <v>4688.55</v>
      </c>
    </row>
    <row r="108" spans="1:11" ht="14.4" customHeight="1" x14ac:dyDescent="0.3">
      <c r="A108" s="538" t="s">
        <v>461</v>
      </c>
      <c r="B108" s="539" t="s">
        <v>462</v>
      </c>
      <c r="C108" s="542" t="s">
        <v>467</v>
      </c>
      <c r="D108" s="571" t="s">
        <v>593</v>
      </c>
      <c r="E108" s="542" t="s">
        <v>1274</v>
      </c>
      <c r="F108" s="571" t="s">
        <v>1275</v>
      </c>
      <c r="G108" s="542" t="s">
        <v>1236</v>
      </c>
      <c r="H108" s="542" t="s">
        <v>1237</v>
      </c>
      <c r="I108" s="551">
        <v>5.43</v>
      </c>
      <c r="J108" s="551">
        <v>50</v>
      </c>
      <c r="K108" s="552">
        <v>271.39999999999998</v>
      </c>
    </row>
    <row r="109" spans="1:11" ht="14.4" customHeight="1" x14ac:dyDescent="0.3">
      <c r="A109" s="538" t="s">
        <v>461</v>
      </c>
      <c r="B109" s="539" t="s">
        <v>462</v>
      </c>
      <c r="C109" s="542" t="s">
        <v>467</v>
      </c>
      <c r="D109" s="571" t="s">
        <v>593</v>
      </c>
      <c r="E109" s="542" t="s">
        <v>1274</v>
      </c>
      <c r="F109" s="571" t="s">
        <v>1275</v>
      </c>
      <c r="G109" s="542" t="s">
        <v>1238</v>
      </c>
      <c r="H109" s="542" t="s">
        <v>1239</v>
      </c>
      <c r="I109" s="551">
        <v>1775.6</v>
      </c>
      <c r="J109" s="551">
        <v>1</v>
      </c>
      <c r="K109" s="552">
        <v>1775.6</v>
      </c>
    </row>
    <row r="110" spans="1:11" ht="14.4" customHeight="1" x14ac:dyDescent="0.3">
      <c r="A110" s="538" t="s">
        <v>461</v>
      </c>
      <c r="B110" s="539" t="s">
        <v>462</v>
      </c>
      <c r="C110" s="542" t="s">
        <v>467</v>
      </c>
      <c r="D110" s="571" t="s">
        <v>593</v>
      </c>
      <c r="E110" s="542" t="s">
        <v>1274</v>
      </c>
      <c r="F110" s="571" t="s">
        <v>1275</v>
      </c>
      <c r="G110" s="542" t="s">
        <v>1240</v>
      </c>
      <c r="H110" s="542" t="s">
        <v>1241</v>
      </c>
      <c r="I110" s="551">
        <v>517.5</v>
      </c>
      <c r="J110" s="551">
        <v>10</v>
      </c>
      <c r="K110" s="552">
        <v>5175</v>
      </c>
    </row>
    <row r="111" spans="1:11" ht="14.4" customHeight="1" x14ac:dyDescent="0.3">
      <c r="A111" s="538" t="s">
        <v>461</v>
      </c>
      <c r="B111" s="539" t="s">
        <v>462</v>
      </c>
      <c r="C111" s="542" t="s">
        <v>467</v>
      </c>
      <c r="D111" s="571" t="s">
        <v>593</v>
      </c>
      <c r="E111" s="542" t="s">
        <v>1274</v>
      </c>
      <c r="F111" s="571" t="s">
        <v>1275</v>
      </c>
      <c r="G111" s="542" t="s">
        <v>1242</v>
      </c>
      <c r="H111" s="542" t="s">
        <v>1243</v>
      </c>
      <c r="I111" s="551">
        <v>2044.9</v>
      </c>
      <c r="J111" s="551">
        <v>1</v>
      </c>
      <c r="K111" s="552">
        <v>2044.9</v>
      </c>
    </row>
    <row r="112" spans="1:11" ht="14.4" customHeight="1" x14ac:dyDescent="0.3">
      <c r="A112" s="538" t="s">
        <v>461</v>
      </c>
      <c r="B112" s="539" t="s">
        <v>462</v>
      </c>
      <c r="C112" s="542" t="s">
        <v>467</v>
      </c>
      <c r="D112" s="571" t="s">
        <v>593</v>
      </c>
      <c r="E112" s="542" t="s">
        <v>1274</v>
      </c>
      <c r="F112" s="571" t="s">
        <v>1275</v>
      </c>
      <c r="G112" s="542" t="s">
        <v>1244</v>
      </c>
      <c r="H112" s="542" t="s">
        <v>1245</v>
      </c>
      <c r="I112" s="551">
        <v>200.03</v>
      </c>
      <c r="J112" s="551">
        <v>30</v>
      </c>
      <c r="K112" s="552">
        <v>6000.93</v>
      </c>
    </row>
    <row r="113" spans="1:11" ht="14.4" customHeight="1" x14ac:dyDescent="0.3">
      <c r="A113" s="538" t="s">
        <v>461</v>
      </c>
      <c r="B113" s="539" t="s">
        <v>462</v>
      </c>
      <c r="C113" s="542" t="s">
        <v>467</v>
      </c>
      <c r="D113" s="571" t="s">
        <v>593</v>
      </c>
      <c r="E113" s="542" t="s">
        <v>1274</v>
      </c>
      <c r="F113" s="571" t="s">
        <v>1275</v>
      </c>
      <c r="G113" s="542" t="s">
        <v>1246</v>
      </c>
      <c r="H113" s="542" t="s">
        <v>1247</v>
      </c>
      <c r="I113" s="551">
        <v>144.24</v>
      </c>
      <c r="J113" s="551">
        <v>5</v>
      </c>
      <c r="K113" s="552">
        <v>721.22</v>
      </c>
    </row>
    <row r="114" spans="1:11" ht="14.4" customHeight="1" x14ac:dyDescent="0.3">
      <c r="A114" s="538" t="s">
        <v>461</v>
      </c>
      <c r="B114" s="539" t="s">
        <v>462</v>
      </c>
      <c r="C114" s="542" t="s">
        <v>467</v>
      </c>
      <c r="D114" s="571" t="s">
        <v>593</v>
      </c>
      <c r="E114" s="542" t="s">
        <v>1274</v>
      </c>
      <c r="F114" s="571" t="s">
        <v>1275</v>
      </c>
      <c r="G114" s="542" t="s">
        <v>1248</v>
      </c>
      <c r="H114" s="542" t="s">
        <v>1249</v>
      </c>
      <c r="I114" s="551">
        <v>59.82</v>
      </c>
      <c r="J114" s="551">
        <v>25</v>
      </c>
      <c r="K114" s="552">
        <v>1495.38</v>
      </c>
    </row>
    <row r="115" spans="1:11" ht="14.4" customHeight="1" x14ac:dyDescent="0.3">
      <c r="A115" s="538" t="s">
        <v>461</v>
      </c>
      <c r="B115" s="539" t="s">
        <v>462</v>
      </c>
      <c r="C115" s="542" t="s">
        <v>467</v>
      </c>
      <c r="D115" s="571" t="s">
        <v>593</v>
      </c>
      <c r="E115" s="542" t="s">
        <v>1276</v>
      </c>
      <c r="F115" s="571" t="s">
        <v>1277</v>
      </c>
      <c r="G115" s="542" t="s">
        <v>1250</v>
      </c>
      <c r="H115" s="542" t="s">
        <v>1251</v>
      </c>
      <c r="I115" s="551">
        <v>1.0900000000000001</v>
      </c>
      <c r="J115" s="551">
        <v>300</v>
      </c>
      <c r="K115" s="552">
        <v>327</v>
      </c>
    </row>
    <row r="116" spans="1:11" ht="14.4" customHeight="1" x14ac:dyDescent="0.3">
      <c r="A116" s="538" t="s">
        <v>461</v>
      </c>
      <c r="B116" s="539" t="s">
        <v>462</v>
      </c>
      <c r="C116" s="542" t="s">
        <v>467</v>
      </c>
      <c r="D116" s="571" t="s">
        <v>593</v>
      </c>
      <c r="E116" s="542" t="s">
        <v>1276</v>
      </c>
      <c r="F116" s="571" t="s">
        <v>1277</v>
      </c>
      <c r="G116" s="542" t="s">
        <v>1076</v>
      </c>
      <c r="H116" s="542" t="s">
        <v>1077</v>
      </c>
      <c r="I116" s="551">
        <v>0.47</v>
      </c>
      <c r="J116" s="551">
        <v>100</v>
      </c>
      <c r="K116" s="552">
        <v>47</v>
      </c>
    </row>
    <row r="117" spans="1:11" ht="14.4" customHeight="1" x14ac:dyDescent="0.3">
      <c r="A117" s="538" t="s">
        <v>461</v>
      </c>
      <c r="B117" s="539" t="s">
        <v>462</v>
      </c>
      <c r="C117" s="542" t="s">
        <v>467</v>
      </c>
      <c r="D117" s="571" t="s">
        <v>593</v>
      </c>
      <c r="E117" s="542" t="s">
        <v>1276</v>
      </c>
      <c r="F117" s="571" t="s">
        <v>1277</v>
      </c>
      <c r="G117" s="542" t="s">
        <v>1078</v>
      </c>
      <c r="H117" s="542" t="s">
        <v>1079</v>
      </c>
      <c r="I117" s="551">
        <v>0.67</v>
      </c>
      <c r="J117" s="551">
        <v>200</v>
      </c>
      <c r="K117" s="552">
        <v>134</v>
      </c>
    </row>
    <row r="118" spans="1:11" ht="14.4" customHeight="1" x14ac:dyDescent="0.3">
      <c r="A118" s="538" t="s">
        <v>461</v>
      </c>
      <c r="B118" s="539" t="s">
        <v>462</v>
      </c>
      <c r="C118" s="542" t="s">
        <v>467</v>
      </c>
      <c r="D118" s="571" t="s">
        <v>593</v>
      </c>
      <c r="E118" s="542" t="s">
        <v>1276</v>
      </c>
      <c r="F118" s="571" t="s">
        <v>1277</v>
      </c>
      <c r="G118" s="542" t="s">
        <v>1252</v>
      </c>
      <c r="H118" s="542" t="s">
        <v>1253</v>
      </c>
      <c r="I118" s="551">
        <v>2.1800000000000002</v>
      </c>
      <c r="J118" s="551">
        <v>100</v>
      </c>
      <c r="K118" s="552">
        <v>217.74</v>
      </c>
    </row>
    <row r="119" spans="1:11" ht="14.4" customHeight="1" x14ac:dyDescent="0.3">
      <c r="A119" s="538" t="s">
        <v>461</v>
      </c>
      <c r="B119" s="539" t="s">
        <v>462</v>
      </c>
      <c r="C119" s="542" t="s">
        <v>467</v>
      </c>
      <c r="D119" s="571" t="s">
        <v>593</v>
      </c>
      <c r="E119" s="542" t="s">
        <v>1276</v>
      </c>
      <c r="F119" s="571" t="s">
        <v>1277</v>
      </c>
      <c r="G119" s="542" t="s">
        <v>1254</v>
      </c>
      <c r="H119" s="542" t="s">
        <v>1255</v>
      </c>
      <c r="I119" s="551">
        <v>0.02</v>
      </c>
      <c r="J119" s="551">
        <v>10</v>
      </c>
      <c r="K119" s="552">
        <v>0.2</v>
      </c>
    </row>
    <row r="120" spans="1:11" ht="14.4" customHeight="1" x14ac:dyDescent="0.3">
      <c r="A120" s="538" t="s">
        <v>461</v>
      </c>
      <c r="B120" s="539" t="s">
        <v>462</v>
      </c>
      <c r="C120" s="542" t="s">
        <v>467</v>
      </c>
      <c r="D120" s="571" t="s">
        <v>593</v>
      </c>
      <c r="E120" s="542" t="s">
        <v>1276</v>
      </c>
      <c r="F120" s="571" t="s">
        <v>1277</v>
      </c>
      <c r="G120" s="542" t="s">
        <v>1082</v>
      </c>
      <c r="H120" s="542" t="s">
        <v>1083</v>
      </c>
      <c r="I120" s="551">
        <v>2.06</v>
      </c>
      <c r="J120" s="551">
        <v>20</v>
      </c>
      <c r="K120" s="552">
        <v>41.2</v>
      </c>
    </row>
    <row r="121" spans="1:11" ht="14.4" customHeight="1" x14ac:dyDescent="0.3">
      <c r="A121" s="538" t="s">
        <v>461</v>
      </c>
      <c r="B121" s="539" t="s">
        <v>462</v>
      </c>
      <c r="C121" s="542" t="s">
        <v>467</v>
      </c>
      <c r="D121" s="571" t="s">
        <v>593</v>
      </c>
      <c r="E121" s="542" t="s">
        <v>1276</v>
      </c>
      <c r="F121" s="571" t="s">
        <v>1277</v>
      </c>
      <c r="G121" s="542" t="s">
        <v>1088</v>
      </c>
      <c r="H121" s="542" t="s">
        <v>1089</v>
      </c>
      <c r="I121" s="551">
        <v>15</v>
      </c>
      <c r="J121" s="551">
        <v>3</v>
      </c>
      <c r="K121" s="552">
        <v>45</v>
      </c>
    </row>
    <row r="122" spans="1:11" ht="14.4" customHeight="1" x14ac:dyDescent="0.3">
      <c r="A122" s="538" t="s">
        <v>461</v>
      </c>
      <c r="B122" s="539" t="s">
        <v>462</v>
      </c>
      <c r="C122" s="542" t="s">
        <v>467</v>
      </c>
      <c r="D122" s="571" t="s">
        <v>593</v>
      </c>
      <c r="E122" s="542" t="s">
        <v>1276</v>
      </c>
      <c r="F122" s="571" t="s">
        <v>1277</v>
      </c>
      <c r="G122" s="542" t="s">
        <v>1256</v>
      </c>
      <c r="H122" s="542" t="s">
        <v>1257</v>
      </c>
      <c r="I122" s="551">
        <v>12.1</v>
      </c>
      <c r="J122" s="551">
        <v>25</v>
      </c>
      <c r="K122" s="552">
        <v>302.5</v>
      </c>
    </row>
    <row r="123" spans="1:11" ht="14.4" customHeight="1" x14ac:dyDescent="0.3">
      <c r="A123" s="538" t="s">
        <v>461</v>
      </c>
      <c r="B123" s="539" t="s">
        <v>462</v>
      </c>
      <c r="C123" s="542" t="s">
        <v>467</v>
      </c>
      <c r="D123" s="571" t="s">
        <v>593</v>
      </c>
      <c r="E123" s="542" t="s">
        <v>1276</v>
      </c>
      <c r="F123" s="571" t="s">
        <v>1277</v>
      </c>
      <c r="G123" s="542" t="s">
        <v>1258</v>
      </c>
      <c r="H123" s="542" t="s">
        <v>1259</v>
      </c>
      <c r="I123" s="551">
        <v>5.2</v>
      </c>
      <c r="J123" s="551">
        <v>20</v>
      </c>
      <c r="K123" s="552">
        <v>104</v>
      </c>
    </row>
    <row r="124" spans="1:11" ht="14.4" customHeight="1" x14ac:dyDescent="0.3">
      <c r="A124" s="538" t="s">
        <v>461</v>
      </c>
      <c r="B124" s="539" t="s">
        <v>462</v>
      </c>
      <c r="C124" s="542" t="s">
        <v>467</v>
      </c>
      <c r="D124" s="571" t="s">
        <v>593</v>
      </c>
      <c r="E124" s="542" t="s">
        <v>1276</v>
      </c>
      <c r="F124" s="571" t="s">
        <v>1277</v>
      </c>
      <c r="G124" s="542" t="s">
        <v>1260</v>
      </c>
      <c r="H124" s="542" t="s">
        <v>1261</v>
      </c>
      <c r="I124" s="551">
        <v>21.234999999999999</v>
      </c>
      <c r="J124" s="551">
        <v>130</v>
      </c>
      <c r="K124" s="552">
        <v>2760.4</v>
      </c>
    </row>
    <row r="125" spans="1:11" ht="14.4" customHeight="1" x14ac:dyDescent="0.3">
      <c r="A125" s="538" t="s">
        <v>461</v>
      </c>
      <c r="B125" s="539" t="s">
        <v>462</v>
      </c>
      <c r="C125" s="542" t="s">
        <v>467</v>
      </c>
      <c r="D125" s="571" t="s">
        <v>593</v>
      </c>
      <c r="E125" s="542" t="s">
        <v>1276</v>
      </c>
      <c r="F125" s="571" t="s">
        <v>1277</v>
      </c>
      <c r="G125" s="542" t="s">
        <v>1262</v>
      </c>
      <c r="H125" s="542" t="s">
        <v>1263</v>
      </c>
      <c r="I125" s="551">
        <v>209.33</v>
      </c>
      <c r="J125" s="551">
        <v>2</v>
      </c>
      <c r="K125" s="552">
        <v>418.66</v>
      </c>
    </row>
    <row r="126" spans="1:11" ht="14.4" customHeight="1" x14ac:dyDescent="0.3">
      <c r="A126" s="538" t="s">
        <v>461</v>
      </c>
      <c r="B126" s="539" t="s">
        <v>462</v>
      </c>
      <c r="C126" s="542" t="s">
        <v>467</v>
      </c>
      <c r="D126" s="571" t="s">
        <v>593</v>
      </c>
      <c r="E126" s="542" t="s">
        <v>1276</v>
      </c>
      <c r="F126" s="571" t="s">
        <v>1277</v>
      </c>
      <c r="G126" s="542" t="s">
        <v>1152</v>
      </c>
      <c r="H126" s="542" t="s">
        <v>1153</v>
      </c>
      <c r="I126" s="551">
        <v>30.86</v>
      </c>
      <c r="J126" s="551">
        <v>75</v>
      </c>
      <c r="K126" s="552">
        <v>2314.13</v>
      </c>
    </row>
    <row r="127" spans="1:11" ht="14.4" customHeight="1" x14ac:dyDescent="0.3">
      <c r="A127" s="538" t="s">
        <v>461</v>
      </c>
      <c r="B127" s="539" t="s">
        <v>462</v>
      </c>
      <c r="C127" s="542" t="s">
        <v>467</v>
      </c>
      <c r="D127" s="571" t="s">
        <v>593</v>
      </c>
      <c r="E127" s="542" t="s">
        <v>1276</v>
      </c>
      <c r="F127" s="571" t="s">
        <v>1277</v>
      </c>
      <c r="G127" s="542" t="s">
        <v>1264</v>
      </c>
      <c r="H127" s="542" t="s">
        <v>1265</v>
      </c>
      <c r="I127" s="551">
        <v>4.0999999999999996</v>
      </c>
      <c r="J127" s="551">
        <v>50</v>
      </c>
      <c r="K127" s="552">
        <v>205</v>
      </c>
    </row>
    <row r="128" spans="1:11" ht="14.4" customHeight="1" x14ac:dyDescent="0.3">
      <c r="A128" s="538" t="s">
        <v>461</v>
      </c>
      <c r="B128" s="539" t="s">
        <v>462</v>
      </c>
      <c r="C128" s="542" t="s">
        <v>467</v>
      </c>
      <c r="D128" s="571" t="s">
        <v>593</v>
      </c>
      <c r="E128" s="542" t="s">
        <v>1276</v>
      </c>
      <c r="F128" s="571" t="s">
        <v>1277</v>
      </c>
      <c r="G128" s="542" t="s">
        <v>1266</v>
      </c>
      <c r="H128" s="542" t="s">
        <v>1267</v>
      </c>
      <c r="I128" s="551">
        <v>1</v>
      </c>
      <c r="J128" s="551">
        <v>100</v>
      </c>
      <c r="K128" s="552">
        <v>100</v>
      </c>
    </row>
    <row r="129" spans="1:11" ht="14.4" customHeight="1" x14ac:dyDescent="0.3">
      <c r="A129" s="538" t="s">
        <v>461</v>
      </c>
      <c r="B129" s="539" t="s">
        <v>462</v>
      </c>
      <c r="C129" s="542" t="s">
        <v>467</v>
      </c>
      <c r="D129" s="571" t="s">
        <v>593</v>
      </c>
      <c r="E129" s="542" t="s">
        <v>1276</v>
      </c>
      <c r="F129" s="571" t="s">
        <v>1277</v>
      </c>
      <c r="G129" s="542" t="s">
        <v>1268</v>
      </c>
      <c r="H129" s="542" t="s">
        <v>1269</v>
      </c>
      <c r="I129" s="551">
        <v>418.66</v>
      </c>
      <c r="J129" s="551">
        <v>2</v>
      </c>
      <c r="K129" s="552">
        <v>837.32</v>
      </c>
    </row>
    <row r="130" spans="1:11" ht="14.4" customHeight="1" x14ac:dyDescent="0.3">
      <c r="A130" s="538" t="s">
        <v>461</v>
      </c>
      <c r="B130" s="539" t="s">
        <v>462</v>
      </c>
      <c r="C130" s="542" t="s">
        <v>467</v>
      </c>
      <c r="D130" s="571" t="s">
        <v>593</v>
      </c>
      <c r="E130" s="542" t="s">
        <v>1280</v>
      </c>
      <c r="F130" s="571" t="s">
        <v>1281</v>
      </c>
      <c r="G130" s="542" t="s">
        <v>1120</v>
      </c>
      <c r="H130" s="542" t="s">
        <v>1121</v>
      </c>
      <c r="I130" s="551">
        <v>0.3</v>
      </c>
      <c r="J130" s="551">
        <v>100</v>
      </c>
      <c r="K130" s="552">
        <v>30</v>
      </c>
    </row>
    <row r="131" spans="1:11" ht="14.4" customHeight="1" x14ac:dyDescent="0.3">
      <c r="A131" s="538" t="s">
        <v>461</v>
      </c>
      <c r="B131" s="539" t="s">
        <v>462</v>
      </c>
      <c r="C131" s="542" t="s">
        <v>467</v>
      </c>
      <c r="D131" s="571" t="s">
        <v>593</v>
      </c>
      <c r="E131" s="542" t="s">
        <v>1280</v>
      </c>
      <c r="F131" s="571" t="s">
        <v>1281</v>
      </c>
      <c r="G131" s="542" t="s">
        <v>1270</v>
      </c>
      <c r="H131" s="542" t="s">
        <v>1271</v>
      </c>
      <c r="I131" s="551">
        <v>0.3</v>
      </c>
      <c r="J131" s="551">
        <v>100</v>
      </c>
      <c r="K131" s="552">
        <v>30</v>
      </c>
    </row>
    <row r="132" spans="1:11" ht="14.4" customHeight="1" x14ac:dyDescent="0.3">
      <c r="A132" s="538" t="s">
        <v>461</v>
      </c>
      <c r="B132" s="539" t="s">
        <v>462</v>
      </c>
      <c r="C132" s="542" t="s">
        <v>467</v>
      </c>
      <c r="D132" s="571" t="s">
        <v>593</v>
      </c>
      <c r="E132" s="542" t="s">
        <v>1280</v>
      </c>
      <c r="F132" s="571" t="s">
        <v>1281</v>
      </c>
      <c r="G132" s="542" t="s">
        <v>1122</v>
      </c>
      <c r="H132" s="542" t="s">
        <v>1123</v>
      </c>
      <c r="I132" s="551">
        <v>0.49</v>
      </c>
      <c r="J132" s="551">
        <v>100</v>
      </c>
      <c r="K132" s="552">
        <v>49</v>
      </c>
    </row>
    <row r="133" spans="1:11" ht="14.4" customHeight="1" thickBot="1" x14ac:dyDescent="0.35">
      <c r="A133" s="530" t="s">
        <v>461</v>
      </c>
      <c r="B133" s="531" t="s">
        <v>462</v>
      </c>
      <c r="C133" s="534" t="s">
        <v>467</v>
      </c>
      <c r="D133" s="572" t="s">
        <v>593</v>
      </c>
      <c r="E133" s="534" t="s">
        <v>1282</v>
      </c>
      <c r="F133" s="572" t="s">
        <v>1283</v>
      </c>
      <c r="G133" s="534" t="s">
        <v>1272</v>
      </c>
      <c r="H133" s="534" t="s">
        <v>1273</v>
      </c>
      <c r="I133" s="553">
        <v>1.21</v>
      </c>
      <c r="J133" s="553">
        <v>3600</v>
      </c>
      <c r="K133" s="554">
        <v>4356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3" width="13.109375" hidden="1" customWidth="1"/>
    <col min="34" max="34" width="13.109375" customWidth="1"/>
  </cols>
  <sheetData>
    <row r="1" spans="1:35" ht="18.600000000000001" thickBot="1" x14ac:dyDescent="0.4">
      <c r="A1" s="399" t="s">
        <v>108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</row>
    <row r="2" spans="1:35" ht="15" thickBot="1" x14ac:dyDescent="0.35">
      <c r="A2" s="240" t="s">
        <v>281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</row>
    <row r="3" spans="1:35" x14ac:dyDescent="0.3">
      <c r="A3" s="259" t="s">
        <v>205</v>
      </c>
      <c r="B3" s="400" t="s">
        <v>186</v>
      </c>
      <c r="C3" s="242">
        <v>0</v>
      </c>
      <c r="D3" s="243">
        <v>101</v>
      </c>
      <c r="E3" s="243">
        <v>102</v>
      </c>
      <c r="F3" s="262">
        <v>305</v>
      </c>
      <c r="G3" s="262">
        <v>306</v>
      </c>
      <c r="H3" s="262">
        <v>407</v>
      </c>
      <c r="I3" s="262">
        <v>408</v>
      </c>
      <c r="J3" s="262">
        <v>409</v>
      </c>
      <c r="K3" s="262">
        <v>410</v>
      </c>
      <c r="L3" s="262">
        <v>415</v>
      </c>
      <c r="M3" s="262">
        <v>416</v>
      </c>
      <c r="N3" s="262">
        <v>418</v>
      </c>
      <c r="O3" s="262">
        <v>419</v>
      </c>
      <c r="P3" s="262">
        <v>420</v>
      </c>
      <c r="Q3" s="262">
        <v>421</v>
      </c>
      <c r="R3" s="262">
        <v>522</v>
      </c>
      <c r="S3" s="262">
        <v>523</v>
      </c>
      <c r="T3" s="262">
        <v>524</v>
      </c>
      <c r="U3" s="262">
        <v>525</v>
      </c>
      <c r="V3" s="262">
        <v>526</v>
      </c>
      <c r="W3" s="262">
        <v>527</v>
      </c>
      <c r="X3" s="262">
        <v>528</v>
      </c>
      <c r="Y3" s="262">
        <v>629</v>
      </c>
      <c r="Z3" s="262">
        <v>630</v>
      </c>
      <c r="AA3" s="262">
        <v>636</v>
      </c>
      <c r="AB3" s="262">
        <v>637</v>
      </c>
      <c r="AC3" s="262">
        <v>640</v>
      </c>
      <c r="AD3" s="262">
        <v>642</v>
      </c>
      <c r="AE3" s="262">
        <v>743</v>
      </c>
      <c r="AF3" s="243">
        <v>745</v>
      </c>
      <c r="AG3" s="243">
        <v>746</v>
      </c>
      <c r="AH3" s="582">
        <v>930</v>
      </c>
      <c r="AI3" s="598"/>
    </row>
    <row r="4" spans="1:35" ht="36.6" outlineLevel="1" thickBot="1" x14ac:dyDescent="0.35">
      <c r="A4" s="260">
        <v>2015</v>
      </c>
      <c r="B4" s="401"/>
      <c r="C4" s="244" t="s">
        <v>187</v>
      </c>
      <c r="D4" s="245" t="s">
        <v>188</v>
      </c>
      <c r="E4" s="245" t="s">
        <v>189</v>
      </c>
      <c r="F4" s="263" t="s">
        <v>217</v>
      </c>
      <c r="G4" s="263" t="s">
        <v>218</v>
      </c>
      <c r="H4" s="263" t="s">
        <v>280</v>
      </c>
      <c r="I4" s="263" t="s">
        <v>219</v>
      </c>
      <c r="J4" s="263" t="s">
        <v>220</v>
      </c>
      <c r="K4" s="263" t="s">
        <v>221</v>
      </c>
      <c r="L4" s="263" t="s">
        <v>222</v>
      </c>
      <c r="M4" s="263" t="s">
        <v>223</v>
      </c>
      <c r="N4" s="263" t="s">
        <v>224</v>
      </c>
      <c r="O4" s="263" t="s">
        <v>225</v>
      </c>
      <c r="P4" s="263" t="s">
        <v>226</v>
      </c>
      <c r="Q4" s="263" t="s">
        <v>227</v>
      </c>
      <c r="R4" s="263" t="s">
        <v>228</v>
      </c>
      <c r="S4" s="263" t="s">
        <v>229</v>
      </c>
      <c r="T4" s="263" t="s">
        <v>230</v>
      </c>
      <c r="U4" s="263" t="s">
        <v>231</v>
      </c>
      <c r="V4" s="263" t="s">
        <v>232</v>
      </c>
      <c r="W4" s="263" t="s">
        <v>233</v>
      </c>
      <c r="X4" s="263" t="s">
        <v>242</v>
      </c>
      <c r="Y4" s="263" t="s">
        <v>234</v>
      </c>
      <c r="Z4" s="263" t="s">
        <v>243</v>
      </c>
      <c r="AA4" s="263" t="s">
        <v>235</v>
      </c>
      <c r="AB4" s="263" t="s">
        <v>236</v>
      </c>
      <c r="AC4" s="263" t="s">
        <v>237</v>
      </c>
      <c r="AD4" s="263" t="s">
        <v>238</v>
      </c>
      <c r="AE4" s="263" t="s">
        <v>239</v>
      </c>
      <c r="AF4" s="245" t="s">
        <v>240</v>
      </c>
      <c r="AG4" s="245" t="s">
        <v>241</v>
      </c>
      <c r="AH4" s="583" t="s">
        <v>207</v>
      </c>
      <c r="AI4" s="598"/>
    </row>
    <row r="5" spans="1:35" x14ac:dyDescent="0.3">
      <c r="A5" s="246" t="s">
        <v>190</v>
      </c>
      <c r="B5" s="282"/>
      <c r="C5" s="283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584"/>
      <c r="AI5" s="598"/>
    </row>
    <row r="6" spans="1:35" ht="15" collapsed="1" thickBot="1" x14ac:dyDescent="0.35">
      <c r="A6" s="247" t="s">
        <v>73</v>
      </c>
      <c r="B6" s="285">
        <f xml:space="preserve">
TRUNC(IF($A$4&lt;=12,SUMIFS('ON Data'!F:F,'ON Data'!$D:$D,$A$4,'ON Data'!$E:$E,1),SUMIFS('ON Data'!F:F,'ON Data'!$E:$E,1)/'ON Data'!$D$3),1)</f>
        <v>12.9</v>
      </c>
      <c r="C6" s="286">
        <f xml:space="preserve">
TRUNC(IF($A$4&lt;=12,SUMIFS('ON Data'!G:G,'ON Data'!$D:$D,$A$4,'ON Data'!$E:$E,1),SUMIFS('ON Data'!G:G,'ON Data'!$E:$E,1)/'ON Data'!$D$3),1)</f>
        <v>0</v>
      </c>
      <c r="D6" s="287">
        <f xml:space="preserve">
TRUNC(IF($A$4&lt;=12,SUMIFS('ON Data'!H:H,'ON Data'!$D:$D,$A$4,'ON Data'!$E:$E,1),SUMIFS('ON Data'!H:H,'ON Data'!$E:$E,1)/'ON Data'!$D$3),1)</f>
        <v>6.4</v>
      </c>
      <c r="E6" s="287">
        <f xml:space="preserve">
TRUNC(IF($A$4&lt;=12,SUMIFS('ON Data'!I:I,'ON Data'!$D:$D,$A$4,'ON Data'!$E:$E,1),SUMIFS('ON Data'!I:I,'ON Data'!$E:$E,1)/'ON Data'!$D$3),1)</f>
        <v>0</v>
      </c>
      <c r="F6" s="287">
        <f xml:space="preserve">
TRUNC(IF($A$4&lt;=12,SUMIFS('ON Data'!K:K,'ON Data'!$D:$D,$A$4,'ON Data'!$E:$E,1),SUMIFS('ON Data'!K:K,'ON Data'!$E:$E,1)/'ON Data'!$D$3),1)</f>
        <v>5</v>
      </c>
      <c r="G6" s="287">
        <f xml:space="preserve">
TRUNC(IF($A$4&lt;=12,SUMIFS('ON Data'!L:L,'ON Data'!$D:$D,$A$4,'ON Data'!$E:$E,1),SUMIFS('ON Data'!L:L,'ON Data'!$E:$E,1)/'ON Data'!$D$3),1)</f>
        <v>0</v>
      </c>
      <c r="H6" s="287">
        <f xml:space="preserve">
TRUNC(IF($A$4&lt;=12,SUMIFS('ON Data'!M:M,'ON Data'!$D:$D,$A$4,'ON Data'!$E:$E,1),SUMIFS('ON Data'!M:M,'ON Data'!$E:$E,1)/'ON Data'!$D$3),1)</f>
        <v>0</v>
      </c>
      <c r="I6" s="287">
        <f xml:space="preserve">
TRUNC(IF($A$4&lt;=12,SUMIFS('ON Data'!N:N,'ON Data'!$D:$D,$A$4,'ON Data'!$E:$E,1),SUMIFS('ON Data'!N:N,'ON Data'!$E:$E,1)/'ON Data'!$D$3),1)</f>
        <v>0</v>
      </c>
      <c r="J6" s="287">
        <f xml:space="preserve">
TRUNC(IF($A$4&lt;=12,SUMIFS('ON Data'!O:O,'ON Data'!$D:$D,$A$4,'ON Data'!$E:$E,1),SUMIFS('ON Data'!O:O,'ON Data'!$E:$E,1)/'ON Data'!$D$3),1)</f>
        <v>0</v>
      </c>
      <c r="K6" s="287">
        <f xml:space="preserve">
TRUNC(IF($A$4&lt;=12,SUMIFS('ON Data'!P:P,'ON Data'!$D:$D,$A$4,'ON Data'!$E:$E,1),SUMIFS('ON Data'!P:P,'ON Data'!$E:$E,1)/'ON Data'!$D$3),1)</f>
        <v>0</v>
      </c>
      <c r="L6" s="287">
        <f xml:space="preserve">
TRUNC(IF($A$4&lt;=12,SUMIFS('ON Data'!Q:Q,'ON Data'!$D:$D,$A$4,'ON Data'!$E:$E,1),SUMIFS('ON Data'!Q:Q,'ON Data'!$E:$E,1)/'ON Data'!$D$3),1)</f>
        <v>0</v>
      </c>
      <c r="M6" s="287">
        <f xml:space="preserve">
TRUNC(IF($A$4&lt;=12,SUMIFS('ON Data'!R:R,'ON Data'!$D:$D,$A$4,'ON Data'!$E:$E,1),SUMIFS('ON Data'!R:R,'ON Data'!$E:$E,1)/'ON Data'!$D$3),1)</f>
        <v>0</v>
      </c>
      <c r="N6" s="287">
        <f xml:space="preserve">
TRUNC(IF($A$4&lt;=12,SUMIFS('ON Data'!S:S,'ON Data'!$D:$D,$A$4,'ON Data'!$E:$E,1),SUMIFS('ON Data'!S:S,'ON Data'!$E:$E,1)/'ON Data'!$D$3),1)</f>
        <v>0</v>
      </c>
      <c r="O6" s="287">
        <f xml:space="preserve">
TRUNC(IF($A$4&lt;=12,SUMIFS('ON Data'!T:T,'ON Data'!$D:$D,$A$4,'ON Data'!$E:$E,1),SUMIFS('ON Data'!T:T,'ON Data'!$E:$E,1)/'ON Data'!$D$3),1)</f>
        <v>0</v>
      </c>
      <c r="P6" s="287">
        <f xml:space="preserve">
TRUNC(IF($A$4&lt;=12,SUMIFS('ON Data'!U:U,'ON Data'!$D:$D,$A$4,'ON Data'!$E:$E,1),SUMIFS('ON Data'!U:U,'ON Data'!$E:$E,1)/'ON Data'!$D$3),1)</f>
        <v>0</v>
      </c>
      <c r="Q6" s="287">
        <f xml:space="preserve">
TRUNC(IF($A$4&lt;=12,SUMIFS('ON Data'!V:V,'ON Data'!$D:$D,$A$4,'ON Data'!$E:$E,1),SUMIFS('ON Data'!V:V,'ON Data'!$E:$E,1)/'ON Data'!$D$3),1)</f>
        <v>0</v>
      </c>
      <c r="R6" s="287">
        <f xml:space="preserve">
TRUNC(IF($A$4&lt;=12,SUMIFS('ON Data'!W:W,'ON Data'!$D:$D,$A$4,'ON Data'!$E:$E,1),SUMIFS('ON Data'!W:W,'ON Data'!$E:$E,1)/'ON Data'!$D$3),1)</f>
        <v>0</v>
      </c>
      <c r="S6" s="287">
        <f xml:space="preserve">
TRUNC(IF($A$4&lt;=12,SUMIFS('ON Data'!X:X,'ON Data'!$D:$D,$A$4,'ON Data'!$E:$E,1),SUMIFS('ON Data'!X:X,'ON Data'!$E:$E,1)/'ON Data'!$D$3),1)</f>
        <v>0</v>
      </c>
      <c r="T6" s="287">
        <f xml:space="preserve">
TRUNC(IF($A$4&lt;=12,SUMIFS('ON Data'!Y:Y,'ON Data'!$D:$D,$A$4,'ON Data'!$E:$E,1),SUMIFS('ON Data'!Y:Y,'ON Data'!$E:$E,1)/'ON Data'!$D$3),1)</f>
        <v>0</v>
      </c>
      <c r="U6" s="287">
        <f xml:space="preserve">
TRUNC(IF($A$4&lt;=12,SUMIFS('ON Data'!Z:Z,'ON Data'!$D:$D,$A$4,'ON Data'!$E:$E,1),SUMIFS('ON Data'!Z:Z,'ON Data'!$E:$E,1)/'ON Data'!$D$3),1)</f>
        <v>0</v>
      </c>
      <c r="V6" s="287">
        <f xml:space="preserve">
TRUNC(IF($A$4&lt;=12,SUMIFS('ON Data'!AA:AA,'ON Data'!$D:$D,$A$4,'ON Data'!$E:$E,1),SUMIFS('ON Data'!AA:AA,'ON Data'!$E:$E,1)/'ON Data'!$D$3),1)</f>
        <v>0</v>
      </c>
      <c r="W6" s="287">
        <f xml:space="preserve">
TRUNC(IF($A$4&lt;=12,SUMIFS('ON Data'!AB:AB,'ON Data'!$D:$D,$A$4,'ON Data'!$E:$E,1),SUMIFS('ON Data'!AB:AB,'ON Data'!$E:$E,1)/'ON Data'!$D$3),1)</f>
        <v>0</v>
      </c>
      <c r="X6" s="287">
        <f xml:space="preserve">
TRUNC(IF($A$4&lt;=12,SUMIFS('ON Data'!AC:AC,'ON Data'!$D:$D,$A$4,'ON Data'!$E:$E,1),SUMIFS('ON Data'!AC:AC,'ON Data'!$E:$E,1)/'ON Data'!$D$3),1)</f>
        <v>0</v>
      </c>
      <c r="Y6" s="287">
        <f xml:space="preserve">
TRUNC(IF($A$4&lt;=12,SUMIFS('ON Data'!AD:AD,'ON Data'!$D:$D,$A$4,'ON Data'!$E:$E,1),SUMIFS('ON Data'!AD:AD,'ON Data'!$E:$E,1)/'ON Data'!$D$3),1)</f>
        <v>0</v>
      </c>
      <c r="Z6" s="287">
        <f xml:space="preserve">
TRUNC(IF($A$4&lt;=12,SUMIFS('ON Data'!AE:AE,'ON Data'!$D:$D,$A$4,'ON Data'!$E:$E,1),SUMIFS('ON Data'!AE:AE,'ON Data'!$E:$E,1)/'ON Data'!$D$3),1)</f>
        <v>0</v>
      </c>
      <c r="AA6" s="287">
        <f xml:space="preserve">
TRUNC(IF($A$4&lt;=12,SUMIFS('ON Data'!AF:AF,'ON Data'!$D:$D,$A$4,'ON Data'!$E:$E,1),SUMIFS('ON Data'!AF:AF,'ON Data'!$E:$E,1)/'ON Data'!$D$3),1)</f>
        <v>0</v>
      </c>
      <c r="AB6" s="287">
        <f xml:space="preserve">
TRUNC(IF($A$4&lt;=12,SUMIFS('ON Data'!AG:AG,'ON Data'!$D:$D,$A$4,'ON Data'!$E:$E,1),SUMIFS('ON Data'!AG:AG,'ON Data'!$E:$E,1)/'ON Data'!$D$3),1)</f>
        <v>0</v>
      </c>
      <c r="AC6" s="287">
        <f xml:space="preserve">
TRUNC(IF($A$4&lt;=12,SUMIFS('ON Data'!AH:AH,'ON Data'!$D:$D,$A$4,'ON Data'!$E:$E,1),SUMIFS('ON Data'!AH:AH,'ON Data'!$E:$E,1)/'ON Data'!$D$3),1)</f>
        <v>0</v>
      </c>
      <c r="AD6" s="287">
        <f xml:space="preserve">
TRUNC(IF($A$4&lt;=12,SUMIFS('ON Data'!AI:AI,'ON Data'!$D:$D,$A$4,'ON Data'!$E:$E,1),SUMIFS('ON Data'!AI:AI,'ON Data'!$E:$E,1)/'ON Data'!$D$3),1)</f>
        <v>0</v>
      </c>
      <c r="AE6" s="287">
        <f xml:space="preserve">
TRUNC(IF($A$4&lt;=12,SUMIFS('ON Data'!AJ:AJ,'ON Data'!$D:$D,$A$4,'ON Data'!$E:$E,1),SUMIFS('ON Data'!AJ:AJ,'ON Data'!$E:$E,1)/'ON Data'!$D$3),1)</f>
        <v>0</v>
      </c>
      <c r="AF6" s="287">
        <f xml:space="preserve">
TRUNC(IF($A$4&lt;=12,SUMIFS('ON Data'!AK:AK,'ON Data'!$D:$D,$A$4,'ON Data'!$E:$E,1),SUMIFS('ON Data'!AK:AK,'ON Data'!$E:$E,1)/'ON Data'!$D$3),1)</f>
        <v>0</v>
      </c>
      <c r="AG6" s="287">
        <f xml:space="preserve">
TRUNC(IF($A$4&lt;=12,SUMIFS('ON Data'!AL:AL,'ON Data'!$D:$D,$A$4,'ON Data'!$E:$E,1),SUMIFS('ON Data'!AL:AL,'ON Data'!$E:$E,1)/'ON Data'!$D$3),1)</f>
        <v>0</v>
      </c>
      <c r="AH6" s="585">
        <f xml:space="preserve">
TRUNC(IF($A$4&lt;=12,SUMIFS('ON Data'!AN:AN,'ON Data'!$D:$D,$A$4,'ON Data'!$E:$E,1),SUMIFS('ON Data'!AN:AN,'ON Data'!$E:$E,1)/'ON Data'!$D$3),1)</f>
        <v>1.5</v>
      </c>
      <c r="AI6" s="598"/>
    </row>
    <row r="7" spans="1:35" ht="15" hidden="1" outlineLevel="1" thickBot="1" x14ac:dyDescent="0.35">
      <c r="A7" s="247" t="s">
        <v>109</v>
      </c>
      <c r="B7" s="285"/>
      <c r="C7" s="288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585"/>
      <c r="AI7" s="598"/>
    </row>
    <row r="8" spans="1:35" ht="15" hidden="1" outlineLevel="1" thickBot="1" x14ac:dyDescent="0.35">
      <c r="A8" s="247" t="s">
        <v>75</v>
      </c>
      <c r="B8" s="285"/>
      <c r="C8" s="288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585"/>
      <c r="AI8" s="598"/>
    </row>
    <row r="9" spans="1:35" ht="15" hidden="1" outlineLevel="1" thickBot="1" x14ac:dyDescent="0.35">
      <c r="A9" s="248" t="s">
        <v>68</v>
      </c>
      <c r="B9" s="289"/>
      <c r="C9" s="290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586"/>
      <c r="AI9" s="598"/>
    </row>
    <row r="10" spans="1:35" x14ac:dyDescent="0.3">
      <c r="A10" s="249" t="s">
        <v>191</v>
      </c>
      <c r="B10" s="264"/>
      <c r="C10" s="265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587"/>
      <c r="AI10" s="598"/>
    </row>
    <row r="11" spans="1:35" x14ac:dyDescent="0.3">
      <c r="A11" s="250" t="s">
        <v>192</v>
      </c>
      <c r="B11" s="267">
        <f xml:space="preserve">
IF($A$4&lt;=12,SUMIFS('ON Data'!F:F,'ON Data'!$D:$D,$A$4,'ON Data'!$E:$E,2),SUMIFS('ON Data'!F:F,'ON Data'!$E:$E,2))</f>
        <v>6132</v>
      </c>
      <c r="C11" s="268">
        <f xml:space="preserve">
IF($A$4&lt;=12,SUMIFS('ON Data'!G:G,'ON Data'!$D:$D,$A$4,'ON Data'!$E:$E,2),SUMIFS('ON Data'!G:G,'ON Data'!$E:$E,2))</f>
        <v>0</v>
      </c>
      <c r="D11" s="269">
        <f xml:space="preserve">
IF($A$4&lt;=12,SUMIFS('ON Data'!H:H,'ON Data'!$D:$D,$A$4,'ON Data'!$E:$E,2),SUMIFS('ON Data'!H:H,'ON Data'!$E:$E,2))</f>
        <v>2976</v>
      </c>
      <c r="E11" s="269">
        <f xml:space="preserve">
IF($A$4&lt;=12,SUMIFS('ON Data'!I:I,'ON Data'!$D:$D,$A$4,'ON Data'!$E:$E,2),SUMIFS('ON Data'!I:I,'ON Data'!$E:$E,2))</f>
        <v>0</v>
      </c>
      <c r="F11" s="269">
        <f xml:space="preserve">
IF($A$4&lt;=12,SUMIFS('ON Data'!K:K,'ON Data'!$D:$D,$A$4,'ON Data'!$E:$E,2),SUMIFS('ON Data'!K:K,'ON Data'!$E:$E,2))</f>
        <v>2396</v>
      </c>
      <c r="G11" s="269">
        <f xml:space="preserve">
IF($A$4&lt;=12,SUMIFS('ON Data'!L:L,'ON Data'!$D:$D,$A$4,'ON Data'!$E:$E,2),SUMIFS('ON Data'!L:L,'ON Data'!$E:$E,2))</f>
        <v>0</v>
      </c>
      <c r="H11" s="269">
        <f xml:space="preserve">
IF($A$4&lt;=12,SUMIFS('ON Data'!M:M,'ON Data'!$D:$D,$A$4,'ON Data'!$E:$E,2),SUMIFS('ON Data'!M:M,'ON Data'!$E:$E,2))</f>
        <v>0</v>
      </c>
      <c r="I11" s="269">
        <f xml:space="preserve">
IF($A$4&lt;=12,SUMIFS('ON Data'!N:N,'ON Data'!$D:$D,$A$4,'ON Data'!$E:$E,2),SUMIFS('ON Data'!N:N,'ON Data'!$E:$E,2))</f>
        <v>0</v>
      </c>
      <c r="J11" s="269">
        <f xml:space="preserve">
IF($A$4&lt;=12,SUMIFS('ON Data'!O:O,'ON Data'!$D:$D,$A$4,'ON Data'!$E:$E,2),SUMIFS('ON Data'!O:O,'ON Data'!$E:$E,2))</f>
        <v>0</v>
      </c>
      <c r="K11" s="269">
        <f xml:space="preserve">
IF($A$4&lt;=12,SUMIFS('ON Data'!P:P,'ON Data'!$D:$D,$A$4,'ON Data'!$E:$E,2),SUMIFS('ON Data'!P:P,'ON Data'!$E:$E,2))</f>
        <v>0</v>
      </c>
      <c r="L11" s="269">
        <f xml:space="preserve">
IF($A$4&lt;=12,SUMIFS('ON Data'!Q:Q,'ON Data'!$D:$D,$A$4,'ON Data'!$E:$E,2),SUMIFS('ON Data'!Q:Q,'ON Data'!$E:$E,2))</f>
        <v>0</v>
      </c>
      <c r="M11" s="269">
        <f xml:space="preserve">
IF($A$4&lt;=12,SUMIFS('ON Data'!R:R,'ON Data'!$D:$D,$A$4,'ON Data'!$E:$E,2),SUMIFS('ON Data'!R:R,'ON Data'!$E:$E,2))</f>
        <v>0</v>
      </c>
      <c r="N11" s="269">
        <f xml:space="preserve">
IF($A$4&lt;=12,SUMIFS('ON Data'!S:S,'ON Data'!$D:$D,$A$4,'ON Data'!$E:$E,2),SUMIFS('ON Data'!S:S,'ON Data'!$E:$E,2))</f>
        <v>0</v>
      </c>
      <c r="O11" s="269">
        <f xml:space="preserve">
IF($A$4&lt;=12,SUMIFS('ON Data'!T:T,'ON Data'!$D:$D,$A$4,'ON Data'!$E:$E,2),SUMIFS('ON Data'!T:T,'ON Data'!$E:$E,2))</f>
        <v>0</v>
      </c>
      <c r="P11" s="269">
        <f xml:space="preserve">
IF($A$4&lt;=12,SUMIFS('ON Data'!U:U,'ON Data'!$D:$D,$A$4,'ON Data'!$E:$E,2),SUMIFS('ON Data'!U:U,'ON Data'!$E:$E,2))</f>
        <v>0</v>
      </c>
      <c r="Q11" s="269">
        <f xml:space="preserve">
IF($A$4&lt;=12,SUMIFS('ON Data'!V:V,'ON Data'!$D:$D,$A$4,'ON Data'!$E:$E,2),SUMIFS('ON Data'!V:V,'ON Data'!$E:$E,2))</f>
        <v>0</v>
      </c>
      <c r="R11" s="269">
        <f xml:space="preserve">
IF($A$4&lt;=12,SUMIFS('ON Data'!W:W,'ON Data'!$D:$D,$A$4,'ON Data'!$E:$E,2),SUMIFS('ON Data'!W:W,'ON Data'!$E:$E,2))</f>
        <v>0</v>
      </c>
      <c r="S11" s="269">
        <f xml:space="preserve">
IF($A$4&lt;=12,SUMIFS('ON Data'!X:X,'ON Data'!$D:$D,$A$4,'ON Data'!$E:$E,2),SUMIFS('ON Data'!X:X,'ON Data'!$E:$E,2))</f>
        <v>0</v>
      </c>
      <c r="T11" s="269">
        <f xml:space="preserve">
IF($A$4&lt;=12,SUMIFS('ON Data'!Y:Y,'ON Data'!$D:$D,$A$4,'ON Data'!$E:$E,2),SUMIFS('ON Data'!Y:Y,'ON Data'!$E:$E,2))</f>
        <v>0</v>
      </c>
      <c r="U11" s="269">
        <f xml:space="preserve">
IF($A$4&lt;=12,SUMIFS('ON Data'!Z:Z,'ON Data'!$D:$D,$A$4,'ON Data'!$E:$E,2),SUMIFS('ON Data'!Z:Z,'ON Data'!$E:$E,2))</f>
        <v>0</v>
      </c>
      <c r="V11" s="269">
        <f xml:space="preserve">
IF($A$4&lt;=12,SUMIFS('ON Data'!AA:AA,'ON Data'!$D:$D,$A$4,'ON Data'!$E:$E,2),SUMIFS('ON Data'!AA:AA,'ON Data'!$E:$E,2))</f>
        <v>0</v>
      </c>
      <c r="W11" s="269">
        <f xml:space="preserve">
IF($A$4&lt;=12,SUMIFS('ON Data'!AB:AB,'ON Data'!$D:$D,$A$4,'ON Data'!$E:$E,2),SUMIFS('ON Data'!AB:AB,'ON Data'!$E:$E,2))</f>
        <v>0</v>
      </c>
      <c r="X11" s="269">
        <f xml:space="preserve">
IF($A$4&lt;=12,SUMIFS('ON Data'!AC:AC,'ON Data'!$D:$D,$A$4,'ON Data'!$E:$E,2),SUMIFS('ON Data'!AC:AC,'ON Data'!$E:$E,2))</f>
        <v>0</v>
      </c>
      <c r="Y11" s="269">
        <f xml:space="preserve">
IF($A$4&lt;=12,SUMIFS('ON Data'!AD:AD,'ON Data'!$D:$D,$A$4,'ON Data'!$E:$E,2),SUMIFS('ON Data'!AD:AD,'ON Data'!$E:$E,2))</f>
        <v>0</v>
      </c>
      <c r="Z11" s="269">
        <f xml:space="preserve">
IF($A$4&lt;=12,SUMIFS('ON Data'!AE:AE,'ON Data'!$D:$D,$A$4,'ON Data'!$E:$E,2),SUMIFS('ON Data'!AE:AE,'ON Data'!$E:$E,2))</f>
        <v>0</v>
      </c>
      <c r="AA11" s="269">
        <f xml:space="preserve">
IF($A$4&lt;=12,SUMIFS('ON Data'!AF:AF,'ON Data'!$D:$D,$A$4,'ON Data'!$E:$E,2),SUMIFS('ON Data'!AF:AF,'ON Data'!$E:$E,2))</f>
        <v>0</v>
      </c>
      <c r="AB11" s="269">
        <f xml:space="preserve">
IF($A$4&lt;=12,SUMIFS('ON Data'!AG:AG,'ON Data'!$D:$D,$A$4,'ON Data'!$E:$E,2),SUMIFS('ON Data'!AG:AG,'ON Data'!$E:$E,2))</f>
        <v>0</v>
      </c>
      <c r="AC11" s="269">
        <f xml:space="preserve">
IF($A$4&lt;=12,SUMIFS('ON Data'!AH:AH,'ON Data'!$D:$D,$A$4,'ON Data'!$E:$E,2),SUMIFS('ON Data'!AH:AH,'ON Data'!$E:$E,2))</f>
        <v>0</v>
      </c>
      <c r="AD11" s="269">
        <f xml:space="preserve">
IF($A$4&lt;=12,SUMIFS('ON Data'!AI:AI,'ON Data'!$D:$D,$A$4,'ON Data'!$E:$E,2),SUMIFS('ON Data'!AI:AI,'ON Data'!$E:$E,2))</f>
        <v>0</v>
      </c>
      <c r="AE11" s="269">
        <f xml:space="preserve">
IF($A$4&lt;=12,SUMIFS('ON Data'!AJ:AJ,'ON Data'!$D:$D,$A$4,'ON Data'!$E:$E,2),SUMIFS('ON Data'!AJ:AJ,'ON Data'!$E:$E,2))</f>
        <v>0</v>
      </c>
      <c r="AF11" s="269">
        <f xml:space="preserve">
IF($A$4&lt;=12,SUMIFS('ON Data'!AK:AK,'ON Data'!$D:$D,$A$4,'ON Data'!$E:$E,2),SUMIFS('ON Data'!AK:AK,'ON Data'!$E:$E,2))</f>
        <v>0</v>
      </c>
      <c r="AG11" s="269">
        <f xml:space="preserve">
IF($A$4&lt;=12,SUMIFS('ON Data'!AL:AL,'ON Data'!$D:$D,$A$4,'ON Data'!$E:$E,2),SUMIFS('ON Data'!AL:AL,'ON Data'!$E:$E,2))</f>
        <v>0</v>
      </c>
      <c r="AH11" s="588">
        <f xml:space="preserve">
IF($A$4&lt;=12,SUMIFS('ON Data'!AN:AN,'ON Data'!$D:$D,$A$4,'ON Data'!$E:$E,2),SUMIFS('ON Data'!AN:AN,'ON Data'!$E:$E,2))</f>
        <v>760</v>
      </c>
      <c r="AI11" s="598"/>
    </row>
    <row r="12" spans="1:35" x14ac:dyDescent="0.3">
      <c r="A12" s="250" t="s">
        <v>193</v>
      </c>
      <c r="B12" s="267">
        <f xml:space="preserve">
IF($A$4&lt;=12,SUMIFS('ON Data'!F:F,'ON Data'!$D:$D,$A$4,'ON Data'!$E:$E,3),SUMIFS('ON Data'!F:F,'ON Data'!$E:$E,3))</f>
        <v>8</v>
      </c>
      <c r="C12" s="268">
        <f xml:space="preserve">
IF($A$4&lt;=12,SUMIFS('ON Data'!G:G,'ON Data'!$D:$D,$A$4,'ON Data'!$E:$E,3),SUMIFS('ON Data'!G:G,'ON Data'!$E:$E,3))</f>
        <v>0</v>
      </c>
      <c r="D12" s="269">
        <f xml:space="preserve">
IF($A$4&lt;=12,SUMIFS('ON Data'!H:H,'ON Data'!$D:$D,$A$4,'ON Data'!$E:$E,3),SUMIFS('ON Data'!H:H,'ON Data'!$E:$E,3))</f>
        <v>8</v>
      </c>
      <c r="E12" s="269">
        <f xml:space="preserve">
IF($A$4&lt;=12,SUMIFS('ON Data'!I:I,'ON Data'!$D:$D,$A$4,'ON Data'!$E:$E,3),SUMIFS('ON Data'!I:I,'ON Data'!$E:$E,3))</f>
        <v>0</v>
      </c>
      <c r="F12" s="269">
        <f xml:space="preserve">
IF($A$4&lt;=12,SUMIFS('ON Data'!K:K,'ON Data'!$D:$D,$A$4,'ON Data'!$E:$E,3),SUMIFS('ON Data'!K:K,'ON Data'!$E:$E,3))</f>
        <v>0</v>
      </c>
      <c r="G12" s="269">
        <f xml:space="preserve">
IF($A$4&lt;=12,SUMIFS('ON Data'!L:L,'ON Data'!$D:$D,$A$4,'ON Data'!$E:$E,3),SUMIFS('ON Data'!L:L,'ON Data'!$E:$E,3))</f>
        <v>0</v>
      </c>
      <c r="H12" s="269">
        <f xml:space="preserve">
IF($A$4&lt;=12,SUMIFS('ON Data'!M:M,'ON Data'!$D:$D,$A$4,'ON Data'!$E:$E,3),SUMIFS('ON Data'!M:M,'ON Data'!$E:$E,3))</f>
        <v>0</v>
      </c>
      <c r="I12" s="269">
        <f xml:space="preserve">
IF($A$4&lt;=12,SUMIFS('ON Data'!N:N,'ON Data'!$D:$D,$A$4,'ON Data'!$E:$E,3),SUMIFS('ON Data'!N:N,'ON Data'!$E:$E,3))</f>
        <v>0</v>
      </c>
      <c r="J12" s="269">
        <f xml:space="preserve">
IF($A$4&lt;=12,SUMIFS('ON Data'!O:O,'ON Data'!$D:$D,$A$4,'ON Data'!$E:$E,3),SUMIFS('ON Data'!O:O,'ON Data'!$E:$E,3))</f>
        <v>0</v>
      </c>
      <c r="K12" s="269">
        <f xml:space="preserve">
IF($A$4&lt;=12,SUMIFS('ON Data'!P:P,'ON Data'!$D:$D,$A$4,'ON Data'!$E:$E,3),SUMIFS('ON Data'!P:P,'ON Data'!$E:$E,3))</f>
        <v>0</v>
      </c>
      <c r="L12" s="269">
        <f xml:space="preserve">
IF($A$4&lt;=12,SUMIFS('ON Data'!Q:Q,'ON Data'!$D:$D,$A$4,'ON Data'!$E:$E,3),SUMIFS('ON Data'!Q:Q,'ON Data'!$E:$E,3))</f>
        <v>0</v>
      </c>
      <c r="M12" s="269">
        <f xml:space="preserve">
IF($A$4&lt;=12,SUMIFS('ON Data'!R:R,'ON Data'!$D:$D,$A$4,'ON Data'!$E:$E,3),SUMIFS('ON Data'!R:R,'ON Data'!$E:$E,3))</f>
        <v>0</v>
      </c>
      <c r="N12" s="269">
        <f xml:space="preserve">
IF($A$4&lt;=12,SUMIFS('ON Data'!S:S,'ON Data'!$D:$D,$A$4,'ON Data'!$E:$E,3),SUMIFS('ON Data'!S:S,'ON Data'!$E:$E,3))</f>
        <v>0</v>
      </c>
      <c r="O12" s="269">
        <f xml:space="preserve">
IF($A$4&lt;=12,SUMIFS('ON Data'!T:T,'ON Data'!$D:$D,$A$4,'ON Data'!$E:$E,3),SUMIFS('ON Data'!T:T,'ON Data'!$E:$E,3))</f>
        <v>0</v>
      </c>
      <c r="P12" s="269">
        <f xml:space="preserve">
IF($A$4&lt;=12,SUMIFS('ON Data'!U:U,'ON Data'!$D:$D,$A$4,'ON Data'!$E:$E,3),SUMIFS('ON Data'!U:U,'ON Data'!$E:$E,3))</f>
        <v>0</v>
      </c>
      <c r="Q12" s="269">
        <f xml:space="preserve">
IF($A$4&lt;=12,SUMIFS('ON Data'!V:V,'ON Data'!$D:$D,$A$4,'ON Data'!$E:$E,3),SUMIFS('ON Data'!V:V,'ON Data'!$E:$E,3))</f>
        <v>0</v>
      </c>
      <c r="R12" s="269">
        <f xml:space="preserve">
IF($A$4&lt;=12,SUMIFS('ON Data'!W:W,'ON Data'!$D:$D,$A$4,'ON Data'!$E:$E,3),SUMIFS('ON Data'!W:W,'ON Data'!$E:$E,3))</f>
        <v>0</v>
      </c>
      <c r="S12" s="269">
        <f xml:space="preserve">
IF($A$4&lt;=12,SUMIFS('ON Data'!X:X,'ON Data'!$D:$D,$A$4,'ON Data'!$E:$E,3),SUMIFS('ON Data'!X:X,'ON Data'!$E:$E,3))</f>
        <v>0</v>
      </c>
      <c r="T12" s="269">
        <f xml:space="preserve">
IF($A$4&lt;=12,SUMIFS('ON Data'!Y:Y,'ON Data'!$D:$D,$A$4,'ON Data'!$E:$E,3),SUMIFS('ON Data'!Y:Y,'ON Data'!$E:$E,3))</f>
        <v>0</v>
      </c>
      <c r="U12" s="269">
        <f xml:space="preserve">
IF($A$4&lt;=12,SUMIFS('ON Data'!Z:Z,'ON Data'!$D:$D,$A$4,'ON Data'!$E:$E,3),SUMIFS('ON Data'!Z:Z,'ON Data'!$E:$E,3))</f>
        <v>0</v>
      </c>
      <c r="V12" s="269">
        <f xml:space="preserve">
IF($A$4&lt;=12,SUMIFS('ON Data'!AA:AA,'ON Data'!$D:$D,$A$4,'ON Data'!$E:$E,3),SUMIFS('ON Data'!AA:AA,'ON Data'!$E:$E,3))</f>
        <v>0</v>
      </c>
      <c r="W12" s="269">
        <f xml:space="preserve">
IF($A$4&lt;=12,SUMIFS('ON Data'!AB:AB,'ON Data'!$D:$D,$A$4,'ON Data'!$E:$E,3),SUMIFS('ON Data'!AB:AB,'ON Data'!$E:$E,3))</f>
        <v>0</v>
      </c>
      <c r="X12" s="269">
        <f xml:space="preserve">
IF($A$4&lt;=12,SUMIFS('ON Data'!AC:AC,'ON Data'!$D:$D,$A$4,'ON Data'!$E:$E,3),SUMIFS('ON Data'!AC:AC,'ON Data'!$E:$E,3))</f>
        <v>0</v>
      </c>
      <c r="Y12" s="269">
        <f xml:space="preserve">
IF($A$4&lt;=12,SUMIFS('ON Data'!AD:AD,'ON Data'!$D:$D,$A$4,'ON Data'!$E:$E,3),SUMIFS('ON Data'!AD:AD,'ON Data'!$E:$E,3))</f>
        <v>0</v>
      </c>
      <c r="Z12" s="269">
        <f xml:space="preserve">
IF($A$4&lt;=12,SUMIFS('ON Data'!AE:AE,'ON Data'!$D:$D,$A$4,'ON Data'!$E:$E,3),SUMIFS('ON Data'!AE:AE,'ON Data'!$E:$E,3))</f>
        <v>0</v>
      </c>
      <c r="AA12" s="269">
        <f xml:space="preserve">
IF($A$4&lt;=12,SUMIFS('ON Data'!AF:AF,'ON Data'!$D:$D,$A$4,'ON Data'!$E:$E,3),SUMIFS('ON Data'!AF:AF,'ON Data'!$E:$E,3))</f>
        <v>0</v>
      </c>
      <c r="AB12" s="269">
        <f xml:space="preserve">
IF($A$4&lt;=12,SUMIFS('ON Data'!AG:AG,'ON Data'!$D:$D,$A$4,'ON Data'!$E:$E,3),SUMIFS('ON Data'!AG:AG,'ON Data'!$E:$E,3))</f>
        <v>0</v>
      </c>
      <c r="AC12" s="269">
        <f xml:space="preserve">
IF($A$4&lt;=12,SUMIFS('ON Data'!AH:AH,'ON Data'!$D:$D,$A$4,'ON Data'!$E:$E,3),SUMIFS('ON Data'!AH:AH,'ON Data'!$E:$E,3))</f>
        <v>0</v>
      </c>
      <c r="AD12" s="269">
        <f xml:space="preserve">
IF($A$4&lt;=12,SUMIFS('ON Data'!AI:AI,'ON Data'!$D:$D,$A$4,'ON Data'!$E:$E,3),SUMIFS('ON Data'!AI:AI,'ON Data'!$E:$E,3))</f>
        <v>0</v>
      </c>
      <c r="AE12" s="269">
        <f xml:space="preserve">
IF($A$4&lt;=12,SUMIFS('ON Data'!AJ:AJ,'ON Data'!$D:$D,$A$4,'ON Data'!$E:$E,3),SUMIFS('ON Data'!AJ:AJ,'ON Data'!$E:$E,3))</f>
        <v>0</v>
      </c>
      <c r="AF12" s="269">
        <f xml:space="preserve">
IF($A$4&lt;=12,SUMIFS('ON Data'!AK:AK,'ON Data'!$D:$D,$A$4,'ON Data'!$E:$E,3),SUMIFS('ON Data'!AK:AK,'ON Data'!$E:$E,3))</f>
        <v>0</v>
      </c>
      <c r="AG12" s="269">
        <f xml:space="preserve">
IF($A$4&lt;=12,SUMIFS('ON Data'!AL:AL,'ON Data'!$D:$D,$A$4,'ON Data'!$E:$E,3),SUMIFS('ON Data'!AL:AL,'ON Data'!$E:$E,3))</f>
        <v>0</v>
      </c>
      <c r="AH12" s="588">
        <f xml:space="preserve">
IF($A$4&lt;=12,SUMIFS('ON Data'!AN:AN,'ON Data'!$D:$D,$A$4,'ON Data'!$E:$E,3),SUMIFS('ON Data'!AN:AN,'ON Data'!$E:$E,3))</f>
        <v>0</v>
      </c>
      <c r="AI12" s="598"/>
    </row>
    <row r="13" spans="1:35" x14ac:dyDescent="0.3">
      <c r="A13" s="250" t="s">
        <v>200</v>
      </c>
      <c r="B13" s="267">
        <f xml:space="preserve">
IF($A$4&lt;=12,SUMIFS('ON Data'!F:F,'ON Data'!$D:$D,$A$4,'ON Data'!$E:$E,4),SUMIFS('ON Data'!F:F,'ON Data'!$E:$E,4))</f>
        <v>246.5</v>
      </c>
      <c r="C13" s="268">
        <f xml:space="preserve">
IF($A$4&lt;=12,SUMIFS('ON Data'!G:G,'ON Data'!$D:$D,$A$4,'ON Data'!$E:$E,4),SUMIFS('ON Data'!G:G,'ON Data'!$E:$E,4))</f>
        <v>0</v>
      </c>
      <c r="D13" s="269">
        <f xml:space="preserve">
IF($A$4&lt;=12,SUMIFS('ON Data'!H:H,'ON Data'!$D:$D,$A$4,'ON Data'!$E:$E,4),SUMIFS('ON Data'!H:H,'ON Data'!$E:$E,4))</f>
        <v>246.5</v>
      </c>
      <c r="E13" s="269">
        <f xml:space="preserve">
IF($A$4&lt;=12,SUMIFS('ON Data'!I:I,'ON Data'!$D:$D,$A$4,'ON Data'!$E:$E,4),SUMIFS('ON Data'!I:I,'ON Data'!$E:$E,4))</f>
        <v>0</v>
      </c>
      <c r="F13" s="269">
        <f xml:space="preserve">
IF($A$4&lt;=12,SUMIFS('ON Data'!K:K,'ON Data'!$D:$D,$A$4,'ON Data'!$E:$E,4),SUMIFS('ON Data'!K:K,'ON Data'!$E:$E,4))</f>
        <v>0</v>
      </c>
      <c r="G13" s="269">
        <f xml:space="preserve">
IF($A$4&lt;=12,SUMIFS('ON Data'!L:L,'ON Data'!$D:$D,$A$4,'ON Data'!$E:$E,4),SUMIFS('ON Data'!L:L,'ON Data'!$E:$E,4))</f>
        <v>0</v>
      </c>
      <c r="H13" s="269">
        <f xml:space="preserve">
IF($A$4&lt;=12,SUMIFS('ON Data'!M:M,'ON Data'!$D:$D,$A$4,'ON Data'!$E:$E,4),SUMIFS('ON Data'!M:M,'ON Data'!$E:$E,4))</f>
        <v>0</v>
      </c>
      <c r="I13" s="269">
        <f xml:space="preserve">
IF($A$4&lt;=12,SUMIFS('ON Data'!N:N,'ON Data'!$D:$D,$A$4,'ON Data'!$E:$E,4),SUMIFS('ON Data'!N:N,'ON Data'!$E:$E,4))</f>
        <v>0</v>
      </c>
      <c r="J13" s="269">
        <f xml:space="preserve">
IF($A$4&lt;=12,SUMIFS('ON Data'!O:O,'ON Data'!$D:$D,$A$4,'ON Data'!$E:$E,4),SUMIFS('ON Data'!O:O,'ON Data'!$E:$E,4))</f>
        <v>0</v>
      </c>
      <c r="K13" s="269">
        <f xml:space="preserve">
IF($A$4&lt;=12,SUMIFS('ON Data'!P:P,'ON Data'!$D:$D,$A$4,'ON Data'!$E:$E,4),SUMIFS('ON Data'!P:P,'ON Data'!$E:$E,4))</f>
        <v>0</v>
      </c>
      <c r="L13" s="269">
        <f xml:space="preserve">
IF($A$4&lt;=12,SUMIFS('ON Data'!Q:Q,'ON Data'!$D:$D,$A$4,'ON Data'!$E:$E,4),SUMIFS('ON Data'!Q:Q,'ON Data'!$E:$E,4))</f>
        <v>0</v>
      </c>
      <c r="M13" s="269">
        <f xml:space="preserve">
IF($A$4&lt;=12,SUMIFS('ON Data'!R:R,'ON Data'!$D:$D,$A$4,'ON Data'!$E:$E,4),SUMIFS('ON Data'!R:R,'ON Data'!$E:$E,4))</f>
        <v>0</v>
      </c>
      <c r="N13" s="269">
        <f xml:space="preserve">
IF($A$4&lt;=12,SUMIFS('ON Data'!S:S,'ON Data'!$D:$D,$A$4,'ON Data'!$E:$E,4),SUMIFS('ON Data'!S:S,'ON Data'!$E:$E,4))</f>
        <v>0</v>
      </c>
      <c r="O13" s="269">
        <f xml:space="preserve">
IF($A$4&lt;=12,SUMIFS('ON Data'!T:T,'ON Data'!$D:$D,$A$4,'ON Data'!$E:$E,4),SUMIFS('ON Data'!T:T,'ON Data'!$E:$E,4))</f>
        <v>0</v>
      </c>
      <c r="P13" s="269">
        <f xml:space="preserve">
IF($A$4&lt;=12,SUMIFS('ON Data'!U:U,'ON Data'!$D:$D,$A$4,'ON Data'!$E:$E,4),SUMIFS('ON Data'!U:U,'ON Data'!$E:$E,4))</f>
        <v>0</v>
      </c>
      <c r="Q13" s="269">
        <f xml:space="preserve">
IF($A$4&lt;=12,SUMIFS('ON Data'!V:V,'ON Data'!$D:$D,$A$4,'ON Data'!$E:$E,4),SUMIFS('ON Data'!V:V,'ON Data'!$E:$E,4))</f>
        <v>0</v>
      </c>
      <c r="R13" s="269">
        <f xml:space="preserve">
IF($A$4&lt;=12,SUMIFS('ON Data'!W:W,'ON Data'!$D:$D,$A$4,'ON Data'!$E:$E,4),SUMIFS('ON Data'!W:W,'ON Data'!$E:$E,4))</f>
        <v>0</v>
      </c>
      <c r="S13" s="269">
        <f xml:space="preserve">
IF($A$4&lt;=12,SUMIFS('ON Data'!X:X,'ON Data'!$D:$D,$A$4,'ON Data'!$E:$E,4),SUMIFS('ON Data'!X:X,'ON Data'!$E:$E,4))</f>
        <v>0</v>
      </c>
      <c r="T13" s="269">
        <f xml:space="preserve">
IF($A$4&lt;=12,SUMIFS('ON Data'!Y:Y,'ON Data'!$D:$D,$A$4,'ON Data'!$E:$E,4),SUMIFS('ON Data'!Y:Y,'ON Data'!$E:$E,4))</f>
        <v>0</v>
      </c>
      <c r="U13" s="269">
        <f xml:space="preserve">
IF($A$4&lt;=12,SUMIFS('ON Data'!Z:Z,'ON Data'!$D:$D,$A$4,'ON Data'!$E:$E,4),SUMIFS('ON Data'!Z:Z,'ON Data'!$E:$E,4))</f>
        <v>0</v>
      </c>
      <c r="V13" s="269">
        <f xml:space="preserve">
IF($A$4&lt;=12,SUMIFS('ON Data'!AA:AA,'ON Data'!$D:$D,$A$4,'ON Data'!$E:$E,4),SUMIFS('ON Data'!AA:AA,'ON Data'!$E:$E,4))</f>
        <v>0</v>
      </c>
      <c r="W13" s="269">
        <f xml:space="preserve">
IF($A$4&lt;=12,SUMIFS('ON Data'!AB:AB,'ON Data'!$D:$D,$A$4,'ON Data'!$E:$E,4),SUMIFS('ON Data'!AB:AB,'ON Data'!$E:$E,4))</f>
        <v>0</v>
      </c>
      <c r="X13" s="269">
        <f xml:space="preserve">
IF($A$4&lt;=12,SUMIFS('ON Data'!AC:AC,'ON Data'!$D:$D,$A$4,'ON Data'!$E:$E,4),SUMIFS('ON Data'!AC:AC,'ON Data'!$E:$E,4))</f>
        <v>0</v>
      </c>
      <c r="Y13" s="269">
        <f xml:space="preserve">
IF($A$4&lt;=12,SUMIFS('ON Data'!AD:AD,'ON Data'!$D:$D,$A$4,'ON Data'!$E:$E,4),SUMIFS('ON Data'!AD:AD,'ON Data'!$E:$E,4))</f>
        <v>0</v>
      </c>
      <c r="Z13" s="269">
        <f xml:space="preserve">
IF($A$4&lt;=12,SUMIFS('ON Data'!AE:AE,'ON Data'!$D:$D,$A$4,'ON Data'!$E:$E,4),SUMIFS('ON Data'!AE:AE,'ON Data'!$E:$E,4))</f>
        <v>0</v>
      </c>
      <c r="AA13" s="269">
        <f xml:space="preserve">
IF($A$4&lt;=12,SUMIFS('ON Data'!AF:AF,'ON Data'!$D:$D,$A$4,'ON Data'!$E:$E,4),SUMIFS('ON Data'!AF:AF,'ON Data'!$E:$E,4))</f>
        <v>0</v>
      </c>
      <c r="AB13" s="269">
        <f xml:space="preserve">
IF($A$4&lt;=12,SUMIFS('ON Data'!AG:AG,'ON Data'!$D:$D,$A$4,'ON Data'!$E:$E,4),SUMIFS('ON Data'!AG:AG,'ON Data'!$E:$E,4))</f>
        <v>0</v>
      </c>
      <c r="AC13" s="269">
        <f xml:space="preserve">
IF($A$4&lt;=12,SUMIFS('ON Data'!AH:AH,'ON Data'!$D:$D,$A$4,'ON Data'!$E:$E,4),SUMIFS('ON Data'!AH:AH,'ON Data'!$E:$E,4))</f>
        <v>0</v>
      </c>
      <c r="AD13" s="269">
        <f xml:space="preserve">
IF($A$4&lt;=12,SUMIFS('ON Data'!AI:AI,'ON Data'!$D:$D,$A$4,'ON Data'!$E:$E,4),SUMIFS('ON Data'!AI:AI,'ON Data'!$E:$E,4))</f>
        <v>0</v>
      </c>
      <c r="AE13" s="269">
        <f xml:space="preserve">
IF($A$4&lt;=12,SUMIFS('ON Data'!AJ:AJ,'ON Data'!$D:$D,$A$4,'ON Data'!$E:$E,4),SUMIFS('ON Data'!AJ:AJ,'ON Data'!$E:$E,4))</f>
        <v>0</v>
      </c>
      <c r="AF13" s="269">
        <f xml:space="preserve">
IF($A$4&lt;=12,SUMIFS('ON Data'!AK:AK,'ON Data'!$D:$D,$A$4,'ON Data'!$E:$E,4),SUMIFS('ON Data'!AK:AK,'ON Data'!$E:$E,4))</f>
        <v>0</v>
      </c>
      <c r="AG13" s="269">
        <f xml:space="preserve">
IF($A$4&lt;=12,SUMIFS('ON Data'!AL:AL,'ON Data'!$D:$D,$A$4,'ON Data'!$E:$E,4),SUMIFS('ON Data'!AL:AL,'ON Data'!$E:$E,4))</f>
        <v>0</v>
      </c>
      <c r="AH13" s="588">
        <f xml:space="preserve">
IF($A$4&lt;=12,SUMIFS('ON Data'!AN:AN,'ON Data'!$D:$D,$A$4,'ON Data'!$E:$E,4),SUMIFS('ON Data'!AN:AN,'ON Data'!$E:$E,4))</f>
        <v>0</v>
      </c>
      <c r="AI13" s="598"/>
    </row>
    <row r="14" spans="1:35" ht="15" thickBot="1" x14ac:dyDescent="0.35">
      <c r="A14" s="251" t="s">
        <v>194</v>
      </c>
      <c r="B14" s="270">
        <f xml:space="preserve">
IF($A$4&lt;=12,SUMIFS('ON Data'!F:F,'ON Data'!$D:$D,$A$4,'ON Data'!$E:$E,5),SUMIFS('ON Data'!F:F,'ON Data'!$E:$E,5))</f>
        <v>0</v>
      </c>
      <c r="C14" s="271">
        <f xml:space="preserve">
IF($A$4&lt;=12,SUMIFS('ON Data'!G:G,'ON Data'!$D:$D,$A$4,'ON Data'!$E:$E,5),SUMIFS('ON Data'!G:G,'ON Data'!$E:$E,5))</f>
        <v>0</v>
      </c>
      <c r="D14" s="272">
        <f xml:space="preserve">
IF($A$4&lt;=12,SUMIFS('ON Data'!H:H,'ON Data'!$D:$D,$A$4,'ON Data'!$E:$E,5),SUMIFS('ON Data'!H:H,'ON Data'!$E:$E,5))</f>
        <v>0</v>
      </c>
      <c r="E14" s="272">
        <f xml:space="preserve">
IF($A$4&lt;=12,SUMIFS('ON Data'!I:I,'ON Data'!$D:$D,$A$4,'ON Data'!$E:$E,5),SUMIFS('ON Data'!I:I,'ON Data'!$E:$E,5))</f>
        <v>0</v>
      </c>
      <c r="F14" s="272">
        <f xml:space="preserve">
IF($A$4&lt;=12,SUMIFS('ON Data'!K:K,'ON Data'!$D:$D,$A$4,'ON Data'!$E:$E,5),SUMIFS('ON Data'!K:K,'ON Data'!$E:$E,5))</f>
        <v>0</v>
      </c>
      <c r="G14" s="272">
        <f xml:space="preserve">
IF($A$4&lt;=12,SUMIFS('ON Data'!L:L,'ON Data'!$D:$D,$A$4,'ON Data'!$E:$E,5),SUMIFS('ON Data'!L:L,'ON Data'!$E:$E,5))</f>
        <v>0</v>
      </c>
      <c r="H14" s="272">
        <f xml:space="preserve">
IF($A$4&lt;=12,SUMIFS('ON Data'!M:M,'ON Data'!$D:$D,$A$4,'ON Data'!$E:$E,5),SUMIFS('ON Data'!M:M,'ON Data'!$E:$E,5))</f>
        <v>0</v>
      </c>
      <c r="I14" s="272">
        <f xml:space="preserve">
IF($A$4&lt;=12,SUMIFS('ON Data'!N:N,'ON Data'!$D:$D,$A$4,'ON Data'!$E:$E,5),SUMIFS('ON Data'!N:N,'ON Data'!$E:$E,5))</f>
        <v>0</v>
      </c>
      <c r="J14" s="272">
        <f xml:space="preserve">
IF($A$4&lt;=12,SUMIFS('ON Data'!O:O,'ON Data'!$D:$D,$A$4,'ON Data'!$E:$E,5),SUMIFS('ON Data'!O:O,'ON Data'!$E:$E,5))</f>
        <v>0</v>
      </c>
      <c r="K14" s="272">
        <f xml:space="preserve">
IF($A$4&lt;=12,SUMIFS('ON Data'!P:P,'ON Data'!$D:$D,$A$4,'ON Data'!$E:$E,5),SUMIFS('ON Data'!P:P,'ON Data'!$E:$E,5))</f>
        <v>0</v>
      </c>
      <c r="L14" s="272">
        <f xml:space="preserve">
IF($A$4&lt;=12,SUMIFS('ON Data'!Q:Q,'ON Data'!$D:$D,$A$4,'ON Data'!$E:$E,5),SUMIFS('ON Data'!Q:Q,'ON Data'!$E:$E,5))</f>
        <v>0</v>
      </c>
      <c r="M14" s="272">
        <f xml:space="preserve">
IF($A$4&lt;=12,SUMIFS('ON Data'!R:R,'ON Data'!$D:$D,$A$4,'ON Data'!$E:$E,5),SUMIFS('ON Data'!R:R,'ON Data'!$E:$E,5))</f>
        <v>0</v>
      </c>
      <c r="N14" s="272">
        <f xml:space="preserve">
IF($A$4&lt;=12,SUMIFS('ON Data'!S:S,'ON Data'!$D:$D,$A$4,'ON Data'!$E:$E,5),SUMIFS('ON Data'!S:S,'ON Data'!$E:$E,5))</f>
        <v>0</v>
      </c>
      <c r="O14" s="272">
        <f xml:space="preserve">
IF($A$4&lt;=12,SUMIFS('ON Data'!T:T,'ON Data'!$D:$D,$A$4,'ON Data'!$E:$E,5),SUMIFS('ON Data'!T:T,'ON Data'!$E:$E,5))</f>
        <v>0</v>
      </c>
      <c r="P14" s="272">
        <f xml:space="preserve">
IF($A$4&lt;=12,SUMIFS('ON Data'!U:U,'ON Data'!$D:$D,$A$4,'ON Data'!$E:$E,5),SUMIFS('ON Data'!U:U,'ON Data'!$E:$E,5))</f>
        <v>0</v>
      </c>
      <c r="Q14" s="272">
        <f xml:space="preserve">
IF($A$4&lt;=12,SUMIFS('ON Data'!V:V,'ON Data'!$D:$D,$A$4,'ON Data'!$E:$E,5),SUMIFS('ON Data'!V:V,'ON Data'!$E:$E,5))</f>
        <v>0</v>
      </c>
      <c r="R14" s="272">
        <f xml:space="preserve">
IF($A$4&lt;=12,SUMIFS('ON Data'!W:W,'ON Data'!$D:$D,$A$4,'ON Data'!$E:$E,5),SUMIFS('ON Data'!W:W,'ON Data'!$E:$E,5))</f>
        <v>0</v>
      </c>
      <c r="S14" s="272">
        <f xml:space="preserve">
IF($A$4&lt;=12,SUMIFS('ON Data'!X:X,'ON Data'!$D:$D,$A$4,'ON Data'!$E:$E,5),SUMIFS('ON Data'!X:X,'ON Data'!$E:$E,5))</f>
        <v>0</v>
      </c>
      <c r="T14" s="272">
        <f xml:space="preserve">
IF($A$4&lt;=12,SUMIFS('ON Data'!Y:Y,'ON Data'!$D:$D,$A$4,'ON Data'!$E:$E,5),SUMIFS('ON Data'!Y:Y,'ON Data'!$E:$E,5))</f>
        <v>0</v>
      </c>
      <c r="U14" s="272">
        <f xml:space="preserve">
IF($A$4&lt;=12,SUMIFS('ON Data'!Z:Z,'ON Data'!$D:$D,$A$4,'ON Data'!$E:$E,5),SUMIFS('ON Data'!Z:Z,'ON Data'!$E:$E,5))</f>
        <v>0</v>
      </c>
      <c r="V14" s="272">
        <f xml:space="preserve">
IF($A$4&lt;=12,SUMIFS('ON Data'!AA:AA,'ON Data'!$D:$D,$A$4,'ON Data'!$E:$E,5),SUMIFS('ON Data'!AA:AA,'ON Data'!$E:$E,5))</f>
        <v>0</v>
      </c>
      <c r="W14" s="272">
        <f xml:space="preserve">
IF($A$4&lt;=12,SUMIFS('ON Data'!AB:AB,'ON Data'!$D:$D,$A$4,'ON Data'!$E:$E,5),SUMIFS('ON Data'!AB:AB,'ON Data'!$E:$E,5))</f>
        <v>0</v>
      </c>
      <c r="X14" s="272">
        <f xml:space="preserve">
IF($A$4&lt;=12,SUMIFS('ON Data'!AC:AC,'ON Data'!$D:$D,$A$4,'ON Data'!$E:$E,5),SUMIFS('ON Data'!AC:AC,'ON Data'!$E:$E,5))</f>
        <v>0</v>
      </c>
      <c r="Y14" s="272">
        <f xml:space="preserve">
IF($A$4&lt;=12,SUMIFS('ON Data'!AD:AD,'ON Data'!$D:$D,$A$4,'ON Data'!$E:$E,5),SUMIFS('ON Data'!AD:AD,'ON Data'!$E:$E,5))</f>
        <v>0</v>
      </c>
      <c r="Z14" s="272">
        <f xml:space="preserve">
IF($A$4&lt;=12,SUMIFS('ON Data'!AE:AE,'ON Data'!$D:$D,$A$4,'ON Data'!$E:$E,5),SUMIFS('ON Data'!AE:AE,'ON Data'!$E:$E,5))</f>
        <v>0</v>
      </c>
      <c r="AA14" s="272">
        <f xml:space="preserve">
IF($A$4&lt;=12,SUMIFS('ON Data'!AF:AF,'ON Data'!$D:$D,$A$4,'ON Data'!$E:$E,5),SUMIFS('ON Data'!AF:AF,'ON Data'!$E:$E,5))</f>
        <v>0</v>
      </c>
      <c r="AB14" s="272">
        <f xml:space="preserve">
IF($A$4&lt;=12,SUMIFS('ON Data'!AG:AG,'ON Data'!$D:$D,$A$4,'ON Data'!$E:$E,5),SUMIFS('ON Data'!AG:AG,'ON Data'!$E:$E,5))</f>
        <v>0</v>
      </c>
      <c r="AC14" s="272">
        <f xml:space="preserve">
IF($A$4&lt;=12,SUMIFS('ON Data'!AH:AH,'ON Data'!$D:$D,$A$4,'ON Data'!$E:$E,5),SUMIFS('ON Data'!AH:AH,'ON Data'!$E:$E,5))</f>
        <v>0</v>
      </c>
      <c r="AD14" s="272">
        <f xml:space="preserve">
IF($A$4&lt;=12,SUMIFS('ON Data'!AI:AI,'ON Data'!$D:$D,$A$4,'ON Data'!$E:$E,5),SUMIFS('ON Data'!AI:AI,'ON Data'!$E:$E,5))</f>
        <v>0</v>
      </c>
      <c r="AE14" s="272">
        <f xml:space="preserve">
IF($A$4&lt;=12,SUMIFS('ON Data'!AJ:AJ,'ON Data'!$D:$D,$A$4,'ON Data'!$E:$E,5),SUMIFS('ON Data'!AJ:AJ,'ON Data'!$E:$E,5))</f>
        <v>0</v>
      </c>
      <c r="AF14" s="272">
        <f xml:space="preserve">
IF($A$4&lt;=12,SUMIFS('ON Data'!AK:AK,'ON Data'!$D:$D,$A$4,'ON Data'!$E:$E,5),SUMIFS('ON Data'!AK:AK,'ON Data'!$E:$E,5))</f>
        <v>0</v>
      </c>
      <c r="AG14" s="272">
        <f xml:space="preserve">
IF($A$4&lt;=12,SUMIFS('ON Data'!AL:AL,'ON Data'!$D:$D,$A$4,'ON Data'!$E:$E,5),SUMIFS('ON Data'!AL:AL,'ON Data'!$E:$E,5))</f>
        <v>0</v>
      </c>
      <c r="AH14" s="589">
        <f xml:space="preserve">
IF($A$4&lt;=12,SUMIFS('ON Data'!AN:AN,'ON Data'!$D:$D,$A$4,'ON Data'!$E:$E,5),SUMIFS('ON Data'!AN:AN,'ON Data'!$E:$E,5))</f>
        <v>0</v>
      </c>
      <c r="AI14" s="598"/>
    </row>
    <row r="15" spans="1:35" x14ac:dyDescent="0.3">
      <c r="A15" s="166" t="s">
        <v>204</v>
      </c>
      <c r="B15" s="273"/>
      <c r="C15" s="274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590"/>
      <c r="AI15" s="598"/>
    </row>
    <row r="16" spans="1:35" x14ac:dyDescent="0.3">
      <c r="A16" s="252" t="s">
        <v>195</v>
      </c>
      <c r="B16" s="267">
        <f xml:space="preserve">
IF($A$4&lt;=12,SUMIFS('ON Data'!F:F,'ON Data'!$D:$D,$A$4,'ON Data'!$E:$E,7),SUMIFS('ON Data'!F:F,'ON Data'!$E:$E,7))</f>
        <v>0</v>
      </c>
      <c r="C16" s="268">
        <f xml:space="preserve">
IF($A$4&lt;=12,SUMIFS('ON Data'!G:G,'ON Data'!$D:$D,$A$4,'ON Data'!$E:$E,7),SUMIFS('ON Data'!G:G,'ON Data'!$E:$E,7))</f>
        <v>0</v>
      </c>
      <c r="D16" s="269">
        <f xml:space="preserve">
IF($A$4&lt;=12,SUMIFS('ON Data'!H:H,'ON Data'!$D:$D,$A$4,'ON Data'!$E:$E,7),SUMIFS('ON Data'!H:H,'ON Data'!$E:$E,7))</f>
        <v>0</v>
      </c>
      <c r="E16" s="269">
        <f xml:space="preserve">
IF($A$4&lt;=12,SUMIFS('ON Data'!I:I,'ON Data'!$D:$D,$A$4,'ON Data'!$E:$E,7),SUMIFS('ON Data'!I:I,'ON Data'!$E:$E,7))</f>
        <v>0</v>
      </c>
      <c r="F16" s="269">
        <f xml:space="preserve">
IF($A$4&lt;=12,SUMIFS('ON Data'!K:K,'ON Data'!$D:$D,$A$4,'ON Data'!$E:$E,7),SUMIFS('ON Data'!K:K,'ON Data'!$E:$E,7))</f>
        <v>0</v>
      </c>
      <c r="G16" s="269">
        <f xml:space="preserve">
IF($A$4&lt;=12,SUMIFS('ON Data'!L:L,'ON Data'!$D:$D,$A$4,'ON Data'!$E:$E,7),SUMIFS('ON Data'!L:L,'ON Data'!$E:$E,7))</f>
        <v>0</v>
      </c>
      <c r="H16" s="269">
        <f xml:space="preserve">
IF($A$4&lt;=12,SUMIFS('ON Data'!M:M,'ON Data'!$D:$D,$A$4,'ON Data'!$E:$E,7),SUMIFS('ON Data'!M:M,'ON Data'!$E:$E,7))</f>
        <v>0</v>
      </c>
      <c r="I16" s="269">
        <f xml:space="preserve">
IF($A$4&lt;=12,SUMIFS('ON Data'!N:N,'ON Data'!$D:$D,$A$4,'ON Data'!$E:$E,7),SUMIFS('ON Data'!N:N,'ON Data'!$E:$E,7))</f>
        <v>0</v>
      </c>
      <c r="J16" s="269">
        <f xml:space="preserve">
IF($A$4&lt;=12,SUMIFS('ON Data'!O:O,'ON Data'!$D:$D,$A$4,'ON Data'!$E:$E,7),SUMIFS('ON Data'!O:O,'ON Data'!$E:$E,7))</f>
        <v>0</v>
      </c>
      <c r="K16" s="269">
        <f xml:space="preserve">
IF($A$4&lt;=12,SUMIFS('ON Data'!P:P,'ON Data'!$D:$D,$A$4,'ON Data'!$E:$E,7),SUMIFS('ON Data'!P:P,'ON Data'!$E:$E,7))</f>
        <v>0</v>
      </c>
      <c r="L16" s="269">
        <f xml:space="preserve">
IF($A$4&lt;=12,SUMIFS('ON Data'!Q:Q,'ON Data'!$D:$D,$A$4,'ON Data'!$E:$E,7),SUMIFS('ON Data'!Q:Q,'ON Data'!$E:$E,7))</f>
        <v>0</v>
      </c>
      <c r="M16" s="269">
        <f xml:space="preserve">
IF($A$4&lt;=12,SUMIFS('ON Data'!R:R,'ON Data'!$D:$D,$A$4,'ON Data'!$E:$E,7),SUMIFS('ON Data'!R:R,'ON Data'!$E:$E,7))</f>
        <v>0</v>
      </c>
      <c r="N16" s="269">
        <f xml:space="preserve">
IF($A$4&lt;=12,SUMIFS('ON Data'!S:S,'ON Data'!$D:$D,$A$4,'ON Data'!$E:$E,7),SUMIFS('ON Data'!S:S,'ON Data'!$E:$E,7))</f>
        <v>0</v>
      </c>
      <c r="O16" s="269">
        <f xml:space="preserve">
IF($A$4&lt;=12,SUMIFS('ON Data'!T:T,'ON Data'!$D:$D,$A$4,'ON Data'!$E:$E,7),SUMIFS('ON Data'!T:T,'ON Data'!$E:$E,7))</f>
        <v>0</v>
      </c>
      <c r="P16" s="269">
        <f xml:space="preserve">
IF($A$4&lt;=12,SUMIFS('ON Data'!U:U,'ON Data'!$D:$D,$A$4,'ON Data'!$E:$E,7),SUMIFS('ON Data'!U:U,'ON Data'!$E:$E,7))</f>
        <v>0</v>
      </c>
      <c r="Q16" s="269">
        <f xml:space="preserve">
IF($A$4&lt;=12,SUMIFS('ON Data'!V:V,'ON Data'!$D:$D,$A$4,'ON Data'!$E:$E,7),SUMIFS('ON Data'!V:V,'ON Data'!$E:$E,7))</f>
        <v>0</v>
      </c>
      <c r="R16" s="269">
        <f xml:space="preserve">
IF($A$4&lt;=12,SUMIFS('ON Data'!W:W,'ON Data'!$D:$D,$A$4,'ON Data'!$E:$E,7),SUMIFS('ON Data'!W:W,'ON Data'!$E:$E,7))</f>
        <v>0</v>
      </c>
      <c r="S16" s="269">
        <f xml:space="preserve">
IF($A$4&lt;=12,SUMIFS('ON Data'!X:X,'ON Data'!$D:$D,$A$4,'ON Data'!$E:$E,7),SUMIFS('ON Data'!X:X,'ON Data'!$E:$E,7))</f>
        <v>0</v>
      </c>
      <c r="T16" s="269">
        <f xml:space="preserve">
IF($A$4&lt;=12,SUMIFS('ON Data'!Y:Y,'ON Data'!$D:$D,$A$4,'ON Data'!$E:$E,7),SUMIFS('ON Data'!Y:Y,'ON Data'!$E:$E,7))</f>
        <v>0</v>
      </c>
      <c r="U16" s="269">
        <f xml:space="preserve">
IF($A$4&lt;=12,SUMIFS('ON Data'!Z:Z,'ON Data'!$D:$D,$A$4,'ON Data'!$E:$E,7),SUMIFS('ON Data'!Z:Z,'ON Data'!$E:$E,7))</f>
        <v>0</v>
      </c>
      <c r="V16" s="269">
        <f xml:space="preserve">
IF($A$4&lt;=12,SUMIFS('ON Data'!AA:AA,'ON Data'!$D:$D,$A$4,'ON Data'!$E:$E,7),SUMIFS('ON Data'!AA:AA,'ON Data'!$E:$E,7))</f>
        <v>0</v>
      </c>
      <c r="W16" s="269">
        <f xml:space="preserve">
IF($A$4&lt;=12,SUMIFS('ON Data'!AB:AB,'ON Data'!$D:$D,$A$4,'ON Data'!$E:$E,7),SUMIFS('ON Data'!AB:AB,'ON Data'!$E:$E,7))</f>
        <v>0</v>
      </c>
      <c r="X16" s="269">
        <f xml:space="preserve">
IF($A$4&lt;=12,SUMIFS('ON Data'!AC:AC,'ON Data'!$D:$D,$A$4,'ON Data'!$E:$E,7),SUMIFS('ON Data'!AC:AC,'ON Data'!$E:$E,7))</f>
        <v>0</v>
      </c>
      <c r="Y16" s="269">
        <f xml:space="preserve">
IF($A$4&lt;=12,SUMIFS('ON Data'!AD:AD,'ON Data'!$D:$D,$A$4,'ON Data'!$E:$E,7),SUMIFS('ON Data'!AD:AD,'ON Data'!$E:$E,7))</f>
        <v>0</v>
      </c>
      <c r="Z16" s="269">
        <f xml:space="preserve">
IF($A$4&lt;=12,SUMIFS('ON Data'!AE:AE,'ON Data'!$D:$D,$A$4,'ON Data'!$E:$E,7),SUMIFS('ON Data'!AE:AE,'ON Data'!$E:$E,7))</f>
        <v>0</v>
      </c>
      <c r="AA16" s="269">
        <f xml:space="preserve">
IF($A$4&lt;=12,SUMIFS('ON Data'!AF:AF,'ON Data'!$D:$D,$A$4,'ON Data'!$E:$E,7),SUMIFS('ON Data'!AF:AF,'ON Data'!$E:$E,7))</f>
        <v>0</v>
      </c>
      <c r="AB16" s="269">
        <f xml:space="preserve">
IF($A$4&lt;=12,SUMIFS('ON Data'!AG:AG,'ON Data'!$D:$D,$A$4,'ON Data'!$E:$E,7),SUMIFS('ON Data'!AG:AG,'ON Data'!$E:$E,7))</f>
        <v>0</v>
      </c>
      <c r="AC16" s="269">
        <f xml:space="preserve">
IF($A$4&lt;=12,SUMIFS('ON Data'!AH:AH,'ON Data'!$D:$D,$A$4,'ON Data'!$E:$E,7),SUMIFS('ON Data'!AH:AH,'ON Data'!$E:$E,7))</f>
        <v>0</v>
      </c>
      <c r="AD16" s="269">
        <f xml:space="preserve">
IF($A$4&lt;=12,SUMIFS('ON Data'!AI:AI,'ON Data'!$D:$D,$A$4,'ON Data'!$E:$E,7),SUMIFS('ON Data'!AI:AI,'ON Data'!$E:$E,7))</f>
        <v>0</v>
      </c>
      <c r="AE16" s="269">
        <f xml:space="preserve">
IF($A$4&lt;=12,SUMIFS('ON Data'!AJ:AJ,'ON Data'!$D:$D,$A$4,'ON Data'!$E:$E,7),SUMIFS('ON Data'!AJ:AJ,'ON Data'!$E:$E,7))</f>
        <v>0</v>
      </c>
      <c r="AF16" s="269">
        <f xml:space="preserve">
IF($A$4&lt;=12,SUMIFS('ON Data'!AK:AK,'ON Data'!$D:$D,$A$4,'ON Data'!$E:$E,7),SUMIFS('ON Data'!AK:AK,'ON Data'!$E:$E,7))</f>
        <v>0</v>
      </c>
      <c r="AG16" s="269">
        <f xml:space="preserve">
IF($A$4&lt;=12,SUMIFS('ON Data'!AL:AL,'ON Data'!$D:$D,$A$4,'ON Data'!$E:$E,7),SUMIFS('ON Data'!AL:AL,'ON Data'!$E:$E,7))</f>
        <v>0</v>
      </c>
      <c r="AH16" s="588">
        <f xml:space="preserve">
IF($A$4&lt;=12,SUMIFS('ON Data'!AN:AN,'ON Data'!$D:$D,$A$4,'ON Data'!$E:$E,7),SUMIFS('ON Data'!AN:AN,'ON Data'!$E:$E,7))</f>
        <v>0</v>
      </c>
      <c r="AI16" s="598"/>
    </row>
    <row r="17" spans="1:35" x14ac:dyDescent="0.3">
      <c r="A17" s="252" t="s">
        <v>196</v>
      </c>
      <c r="B17" s="267">
        <f xml:space="preserve">
IF($A$4&lt;=12,SUMIFS('ON Data'!F:F,'ON Data'!$D:$D,$A$4,'ON Data'!$E:$E,8),SUMIFS('ON Data'!F:F,'ON Data'!$E:$E,8))</f>
        <v>0</v>
      </c>
      <c r="C17" s="268">
        <f xml:space="preserve">
IF($A$4&lt;=12,SUMIFS('ON Data'!G:G,'ON Data'!$D:$D,$A$4,'ON Data'!$E:$E,8),SUMIFS('ON Data'!G:G,'ON Data'!$E:$E,8))</f>
        <v>0</v>
      </c>
      <c r="D17" s="269">
        <f xml:space="preserve">
IF($A$4&lt;=12,SUMIFS('ON Data'!H:H,'ON Data'!$D:$D,$A$4,'ON Data'!$E:$E,8),SUMIFS('ON Data'!H:H,'ON Data'!$E:$E,8))</f>
        <v>0</v>
      </c>
      <c r="E17" s="269">
        <f xml:space="preserve">
IF($A$4&lt;=12,SUMIFS('ON Data'!I:I,'ON Data'!$D:$D,$A$4,'ON Data'!$E:$E,8),SUMIFS('ON Data'!I:I,'ON Data'!$E:$E,8))</f>
        <v>0</v>
      </c>
      <c r="F17" s="269">
        <f xml:space="preserve">
IF($A$4&lt;=12,SUMIFS('ON Data'!K:K,'ON Data'!$D:$D,$A$4,'ON Data'!$E:$E,8),SUMIFS('ON Data'!K:K,'ON Data'!$E:$E,8))</f>
        <v>0</v>
      </c>
      <c r="G17" s="269">
        <f xml:space="preserve">
IF($A$4&lt;=12,SUMIFS('ON Data'!L:L,'ON Data'!$D:$D,$A$4,'ON Data'!$E:$E,8),SUMIFS('ON Data'!L:L,'ON Data'!$E:$E,8))</f>
        <v>0</v>
      </c>
      <c r="H17" s="269">
        <f xml:space="preserve">
IF($A$4&lt;=12,SUMIFS('ON Data'!M:M,'ON Data'!$D:$D,$A$4,'ON Data'!$E:$E,8),SUMIFS('ON Data'!M:M,'ON Data'!$E:$E,8))</f>
        <v>0</v>
      </c>
      <c r="I17" s="269">
        <f xml:space="preserve">
IF($A$4&lt;=12,SUMIFS('ON Data'!N:N,'ON Data'!$D:$D,$A$4,'ON Data'!$E:$E,8),SUMIFS('ON Data'!N:N,'ON Data'!$E:$E,8))</f>
        <v>0</v>
      </c>
      <c r="J17" s="269">
        <f xml:space="preserve">
IF($A$4&lt;=12,SUMIFS('ON Data'!O:O,'ON Data'!$D:$D,$A$4,'ON Data'!$E:$E,8),SUMIFS('ON Data'!O:O,'ON Data'!$E:$E,8))</f>
        <v>0</v>
      </c>
      <c r="K17" s="269">
        <f xml:space="preserve">
IF($A$4&lt;=12,SUMIFS('ON Data'!P:P,'ON Data'!$D:$D,$A$4,'ON Data'!$E:$E,8),SUMIFS('ON Data'!P:P,'ON Data'!$E:$E,8))</f>
        <v>0</v>
      </c>
      <c r="L17" s="269">
        <f xml:space="preserve">
IF($A$4&lt;=12,SUMIFS('ON Data'!Q:Q,'ON Data'!$D:$D,$A$4,'ON Data'!$E:$E,8),SUMIFS('ON Data'!Q:Q,'ON Data'!$E:$E,8))</f>
        <v>0</v>
      </c>
      <c r="M17" s="269">
        <f xml:space="preserve">
IF($A$4&lt;=12,SUMIFS('ON Data'!R:R,'ON Data'!$D:$D,$A$4,'ON Data'!$E:$E,8),SUMIFS('ON Data'!R:R,'ON Data'!$E:$E,8))</f>
        <v>0</v>
      </c>
      <c r="N17" s="269">
        <f xml:space="preserve">
IF($A$4&lt;=12,SUMIFS('ON Data'!S:S,'ON Data'!$D:$D,$A$4,'ON Data'!$E:$E,8),SUMIFS('ON Data'!S:S,'ON Data'!$E:$E,8))</f>
        <v>0</v>
      </c>
      <c r="O17" s="269">
        <f xml:space="preserve">
IF($A$4&lt;=12,SUMIFS('ON Data'!T:T,'ON Data'!$D:$D,$A$4,'ON Data'!$E:$E,8),SUMIFS('ON Data'!T:T,'ON Data'!$E:$E,8))</f>
        <v>0</v>
      </c>
      <c r="P17" s="269">
        <f xml:space="preserve">
IF($A$4&lt;=12,SUMIFS('ON Data'!U:U,'ON Data'!$D:$D,$A$4,'ON Data'!$E:$E,8),SUMIFS('ON Data'!U:U,'ON Data'!$E:$E,8))</f>
        <v>0</v>
      </c>
      <c r="Q17" s="269">
        <f xml:space="preserve">
IF($A$4&lt;=12,SUMIFS('ON Data'!V:V,'ON Data'!$D:$D,$A$4,'ON Data'!$E:$E,8),SUMIFS('ON Data'!V:V,'ON Data'!$E:$E,8))</f>
        <v>0</v>
      </c>
      <c r="R17" s="269">
        <f xml:space="preserve">
IF($A$4&lt;=12,SUMIFS('ON Data'!W:W,'ON Data'!$D:$D,$A$4,'ON Data'!$E:$E,8),SUMIFS('ON Data'!W:W,'ON Data'!$E:$E,8))</f>
        <v>0</v>
      </c>
      <c r="S17" s="269">
        <f xml:space="preserve">
IF($A$4&lt;=12,SUMIFS('ON Data'!X:X,'ON Data'!$D:$D,$A$4,'ON Data'!$E:$E,8),SUMIFS('ON Data'!X:X,'ON Data'!$E:$E,8))</f>
        <v>0</v>
      </c>
      <c r="T17" s="269">
        <f xml:space="preserve">
IF($A$4&lt;=12,SUMIFS('ON Data'!Y:Y,'ON Data'!$D:$D,$A$4,'ON Data'!$E:$E,8),SUMIFS('ON Data'!Y:Y,'ON Data'!$E:$E,8))</f>
        <v>0</v>
      </c>
      <c r="U17" s="269">
        <f xml:space="preserve">
IF($A$4&lt;=12,SUMIFS('ON Data'!Z:Z,'ON Data'!$D:$D,$A$4,'ON Data'!$E:$E,8),SUMIFS('ON Data'!Z:Z,'ON Data'!$E:$E,8))</f>
        <v>0</v>
      </c>
      <c r="V17" s="269">
        <f xml:space="preserve">
IF($A$4&lt;=12,SUMIFS('ON Data'!AA:AA,'ON Data'!$D:$D,$A$4,'ON Data'!$E:$E,8),SUMIFS('ON Data'!AA:AA,'ON Data'!$E:$E,8))</f>
        <v>0</v>
      </c>
      <c r="W17" s="269">
        <f xml:space="preserve">
IF($A$4&lt;=12,SUMIFS('ON Data'!AB:AB,'ON Data'!$D:$D,$A$4,'ON Data'!$E:$E,8),SUMIFS('ON Data'!AB:AB,'ON Data'!$E:$E,8))</f>
        <v>0</v>
      </c>
      <c r="X17" s="269">
        <f xml:space="preserve">
IF($A$4&lt;=12,SUMIFS('ON Data'!AC:AC,'ON Data'!$D:$D,$A$4,'ON Data'!$E:$E,8),SUMIFS('ON Data'!AC:AC,'ON Data'!$E:$E,8))</f>
        <v>0</v>
      </c>
      <c r="Y17" s="269">
        <f xml:space="preserve">
IF($A$4&lt;=12,SUMIFS('ON Data'!AD:AD,'ON Data'!$D:$D,$A$4,'ON Data'!$E:$E,8),SUMIFS('ON Data'!AD:AD,'ON Data'!$E:$E,8))</f>
        <v>0</v>
      </c>
      <c r="Z17" s="269">
        <f xml:space="preserve">
IF($A$4&lt;=12,SUMIFS('ON Data'!AE:AE,'ON Data'!$D:$D,$A$4,'ON Data'!$E:$E,8),SUMIFS('ON Data'!AE:AE,'ON Data'!$E:$E,8))</f>
        <v>0</v>
      </c>
      <c r="AA17" s="269">
        <f xml:space="preserve">
IF($A$4&lt;=12,SUMIFS('ON Data'!AF:AF,'ON Data'!$D:$D,$A$4,'ON Data'!$E:$E,8),SUMIFS('ON Data'!AF:AF,'ON Data'!$E:$E,8))</f>
        <v>0</v>
      </c>
      <c r="AB17" s="269">
        <f xml:space="preserve">
IF($A$4&lt;=12,SUMIFS('ON Data'!AG:AG,'ON Data'!$D:$D,$A$4,'ON Data'!$E:$E,8),SUMIFS('ON Data'!AG:AG,'ON Data'!$E:$E,8))</f>
        <v>0</v>
      </c>
      <c r="AC17" s="269">
        <f xml:space="preserve">
IF($A$4&lt;=12,SUMIFS('ON Data'!AH:AH,'ON Data'!$D:$D,$A$4,'ON Data'!$E:$E,8),SUMIFS('ON Data'!AH:AH,'ON Data'!$E:$E,8))</f>
        <v>0</v>
      </c>
      <c r="AD17" s="269">
        <f xml:space="preserve">
IF($A$4&lt;=12,SUMIFS('ON Data'!AI:AI,'ON Data'!$D:$D,$A$4,'ON Data'!$E:$E,8),SUMIFS('ON Data'!AI:AI,'ON Data'!$E:$E,8))</f>
        <v>0</v>
      </c>
      <c r="AE17" s="269">
        <f xml:space="preserve">
IF($A$4&lt;=12,SUMIFS('ON Data'!AJ:AJ,'ON Data'!$D:$D,$A$4,'ON Data'!$E:$E,8),SUMIFS('ON Data'!AJ:AJ,'ON Data'!$E:$E,8))</f>
        <v>0</v>
      </c>
      <c r="AF17" s="269">
        <f xml:space="preserve">
IF($A$4&lt;=12,SUMIFS('ON Data'!AK:AK,'ON Data'!$D:$D,$A$4,'ON Data'!$E:$E,8),SUMIFS('ON Data'!AK:AK,'ON Data'!$E:$E,8))</f>
        <v>0</v>
      </c>
      <c r="AG17" s="269">
        <f xml:space="preserve">
IF($A$4&lt;=12,SUMIFS('ON Data'!AL:AL,'ON Data'!$D:$D,$A$4,'ON Data'!$E:$E,8),SUMIFS('ON Data'!AL:AL,'ON Data'!$E:$E,8))</f>
        <v>0</v>
      </c>
      <c r="AH17" s="588">
        <f xml:space="preserve">
IF($A$4&lt;=12,SUMIFS('ON Data'!AN:AN,'ON Data'!$D:$D,$A$4,'ON Data'!$E:$E,8),SUMIFS('ON Data'!AN:AN,'ON Data'!$E:$E,8))</f>
        <v>0</v>
      </c>
      <c r="AI17" s="598"/>
    </row>
    <row r="18" spans="1:35" x14ac:dyDescent="0.3">
      <c r="A18" s="252" t="s">
        <v>197</v>
      </c>
      <c r="B18" s="267">
        <f xml:space="preserve">
B19-B16-B17</f>
        <v>57056</v>
      </c>
      <c r="C18" s="268">
        <f t="shared" ref="C18:G18" si="0" xml:space="preserve">
C19-C16-C17</f>
        <v>0</v>
      </c>
      <c r="D18" s="269">
        <f t="shared" si="0"/>
        <v>47756</v>
      </c>
      <c r="E18" s="269">
        <f t="shared" si="0"/>
        <v>0</v>
      </c>
      <c r="F18" s="269">
        <f t="shared" si="0"/>
        <v>7800</v>
      </c>
      <c r="G18" s="269">
        <f t="shared" si="0"/>
        <v>0</v>
      </c>
      <c r="H18" s="269">
        <f t="shared" ref="H18:AH18" si="1" xml:space="preserve">
H19-H16-H17</f>
        <v>0</v>
      </c>
      <c r="I18" s="269">
        <f t="shared" si="1"/>
        <v>0</v>
      </c>
      <c r="J18" s="269">
        <f t="shared" si="1"/>
        <v>0</v>
      </c>
      <c r="K18" s="269">
        <f t="shared" si="1"/>
        <v>0</v>
      </c>
      <c r="L18" s="269">
        <f t="shared" si="1"/>
        <v>0</v>
      </c>
      <c r="M18" s="269">
        <f t="shared" si="1"/>
        <v>0</v>
      </c>
      <c r="N18" s="269">
        <f t="shared" si="1"/>
        <v>0</v>
      </c>
      <c r="O18" s="269">
        <f t="shared" si="1"/>
        <v>0</v>
      </c>
      <c r="P18" s="269">
        <f t="shared" si="1"/>
        <v>0</v>
      </c>
      <c r="Q18" s="269">
        <f t="shared" si="1"/>
        <v>0</v>
      </c>
      <c r="R18" s="269">
        <f t="shared" si="1"/>
        <v>0</v>
      </c>
      <c r="S18" s="269">
        <f t="shared" si="1"/>
        <v>0</v>
      </c>
      <c r="T18" s="269">
        <f t="shared" si="1"/>
        <v>0</v>
      </c>
      <c r="U18" s="269">
        <f t="shared" si="1"/>
        <v>0</v>
      </c>
      <c r="V18" s="269">
        <f t="shared" si="1"/>
        <v>0</v>
      </c>
      <c r="W18" s="269">
        <f t="shared" si="1"/>
        <v>0</v>
      </c>
      <c r="X18" s="269">
        <f t="shared" si="1"/>
        <v>0</v>
      </c>
      <c r="Y18" s="269">
        <f t="shared" si="1"/>
        <v>0</v>
      </c>
      <c r="Z18" s="269">
        <f t="shared" si="1"/>
        <v>0</v>
      </c>
      <c r="AA18" s="269">
        <f t="shared" si="1"/>
        <v>0</v>
      </c>
      <c r="AB18" s="269">
        <f t="shared" si="1"/>
        <v>0</v>
      </c>
      <c r="AC18" s="269">
        <f t="shared" si="1"/>
        <v>0</v>
      </c>
      <c r="AD18" s="269">
        <f t="shared" si="1"/>
        <v>0</v>
      </c>
      <c r="AE18" s="269">
        <f t="shared" si="1"/>
        <v>0</v>
      </c>
      <c r="AF18" s="269">
        <f t="shared" si="1"/>
        <v>0</v>
      </c>
      <c r="AG18" s="269">
        <f t="shared" si="1"/>
        <v>0</v>
      </c>
      <c r="AH18" s="588">
        <f t="shared" si="1"/>
        <v>1500</v>
      </c>
      <c r="AI18" s="598"/>
    </row>
    <row r="19" spans="1:35" ht="15" thickBot="1" x14ac:dyDescent="0.35">
      <c r="A19" s="253" t="s">
        <v>198</v>
      </c>
      <c r="B19" s="276">
        <f xml:space="preserve">
IF($A$4&lt;=12,SUMIFS('ON Data'!F:F,'ON Data'!$D:$D,$A$4,'ON Data'!$E:$E,9),SUMIFS('ON Data'!F:F,'ON Data'!$E:$E,9))</f>
        <v>57056</v>
      </c>
      <c r="C19" s="277">
        <f xml:space="preserve">
IF($A$4&lt;=12,SUMIFS('ON Data'!G:G,'ON Data'!$D:$D,$A$4,'ON Data'!$E:$E,9),SUMIFS('ON Data'!G:G,'ON Data'!$E:$E,9))</f>
        <v>0</v>
      </c>
      <c r="D19" s="278">
        <f xml:space="preserve">
IF($A$4&lt;=12,SUMIFS('ON Data'!H:H,'ON Data'!$D:$D,$A$4,'ON Data'!$E:$E,9),SUMIFS('ON Data'!H:H,'ON Data'!$E:$E,9))</f>
        <v>47756</v>
      </c>
      <c r="E19" s="278">
        <f xml:space="preserve">
IF($A$4&lt;=12,SUMIFS('ON Data'!I:I,'ON Data'!$D:$D,$A$4,'ON Data'!$E:$E,9),SUMIFS('ON Data'!I:I,'ON Data'!$E:$E,9))</f>
        <v>0</v>
      </c>
      <c r="F19" s="278">
        <f xml:space="preserve">
IF($A$4&lt;=12,SUMIFS('ON Data'!K:K,'ON Data'!$D:$D,$A$4,'ON Data'!$E:$E,9),SUMIFS('ON Data'!K:K,'ON Data'!$E:$E,9))</f>
        <v>7800</v>
      </c>
      <c r="G19" s="278">
        <f xml:space="preserve">
IF($A$4&lt;=12,SUMIFS('ON Data'!L:L,'ON Data'!$D:$D,$A$4,'ON Data'!$E:$E,9),SUMIFS('ON Data'!L:L,'ON Data'!$E:$E,9))</f>
        <v>0</v>
      </c>
      <c r="H19" s="278">
        <f xml:space="preserve">
IF($A$4&lt;=12,SUMIFS('ON Data'!M:M,'ON Data'!$D:$D,$A$4,'ON Data'!$E:$E,9),SUMIFS('ON Data'!M:M,'ON Data'!$E:$E,9))</f>
        <v>0</v>
      </c>
      <c r="I19" s="278">
        <f xml:space="preserve">
IF($A$4&lt;=12,SUMIFS('ON Data'!N:N,'ON Data'!$D:$D,$A$4,'ON Data'!$E:$E,9),SUMIFS('ON Data'!N:N,'ON Data'!$E:$E,9))</f>
        <v>0</v>
      </c>
      <c r="J19" s="278">
        <f xml:space="preserve">
IF($A$4&lt;=12,SUMIFS('ON Data'!O:O,'ON Data'!$D:$D,$A$4,'ON Data'!$E:$E,9),SUMIFS('ON Data'!O:O,'ON Data'!$E:$E,9))</f>
        <v>0</v>
      </c>
      <c r="K19" s="278">
        <f xml:space="preserve">
IF($A$4&lt;=12,SUMIFS('ON Data'!P:P,'ON Data'!$D:$D,$A$4,'ON Data'!$E:$E,9),SUMIFS('ON Data'!P:P,'ON Data'!$E:$E,9))</f>
        <v>0</v>
      </c>
      <c r="L19" s="278">
        <f xml:space="preserve">
IF($A$4&lt;=12,SUMIFS('ON Data'!Q:Q,'ON Data'!$D:$D,$A$4,'ON Data'!$E:$E,9),SUMIFS('ON Data'!Q:Q,'ON Data'!$E:$E,9))</f>
        <v>0</v>
      </c>
      <c r="M19" s="278">
        <f xml:space="preserve">
IF($A$4&lt;=12,SUMIFS('ON Data'!R:R,'ON Data'!$D:$D,$A$4,'ON Data'!$E:$E,9),SUMIFS('ON Data'!R:R,'ON Data'!$E:$E,9))</f>
        <v>0</v>
      </c>
      <c r="N19" s="278">
        <f xml:space="preserve">
IF($A$4&lt;=12,SUMIFS('ON Data'!S:S,'ON Data'!$D:$D,$A$4,'ON Data'!$E:$E,9),SUMIFS('ON Data'!S:S,'ON Data'!$E:$E,9))</f>
        <v>0</v>
      </c>
      <c r="O19" s="278">
        <f xml:space="preserve">
IF($A$4&lt;=12,SUMIFS('ON Data'!T:T,'ON Data'!$D:$D,$A$4,'ON Data'!$E:$E,9),SUMIFS('ON Data'!T:T,'ON Data'!$E:$E,9))</f>
        <v>0</v>
      </c>
      <c r="P19" s="278">
        <f xml:space="preserve">
IF($A$4&lt;=12,SUMIFS('ON Data'!U:U,'ON Data'!$D:$D,$A$4,'ON Data'!$E:$E,9),SUMIFS('ON Data'!U:U,'ON Data'!$E:$E,9))</f>
        <v>0</v>
      </c>
      <c r="Q19" s="278">
        <f xml:space="preserve">
IF($A$4&lt;=12,SUMIFS('ON Data'!V:V,'ON Data'!$D:$D,$A$4,'ON Data'!$E:$E,9),SUMIFS('ON Data'!V:V,'ON Data'!$E:$E,9))</f>
        <v>0</v>
      </c>
      <c r="R19" s="278">
        <f xml:space="preserve">
IF($A$4&lt;=12,SUMIFS('ON Data'!W:W,'ON Data'!$D:$D,$A$4,'ON Data'!$E:$E,9),SUMIFS('ON Data'!W:W,'ON Data'!$E:$E,9))</f>
        <v>0</v>
      </c>
      <c r="S19" s="278">
        <f xml:space="preserve">
IF($A$4&lt;=12,SUMIFS('ON Data'!X:X,'ON Data'!$D:$D,$A$4,'ON Data'!$E:$E,9),SUMIFS('ON Data'!X:X,'ON Data'!$E:$E,9))</f>
        <v>0</v>
      </c>
      <c r="T19" s="278">
        <f xml:space="preserve">
IF($A$4&lt;=12,SUMIFS('ON Data'!Y:Y,'ON Data'!$D:$D,$A$4,'ON Data'!$E:$E,9),SUMIFS('ON Data'!Y:Y,'ON Data'!$E:$E,9))</f>
        <v>0</v>
      </c>
      <c r="U19" s="278">
        <f xml:space="preserve">
IF($A$4&lt;=12,SUMIFS('ON Data'!Z:Z,'ON Data'!$D:$D,$A$4,'ON Data'!$E:$E,9),SUMIFS('ON Data'!Z:Z,'ON Data'!$E:$E,9))</f>
        <v>0</v>
      </c>
      <c r="V19" s="278">
        <f xml:space="preserve">
IF($A$4&lt;=12,SUMIFS('ON Data'!AA:AA,'ON Data'!$D:$D,$A$4,'ON Data'!$E:$E,9),SUMIFS('ON Data'!AA:AA,'ON Data'!$E:$E,9))</f>
        <v>0</v>
      </c>
      <c r="W19" s="278">
        <f xml:space="preserve">
IF($A$4&lt;=12,SUMIFS('ON Data'!AB:AB,'ON Data'!$D:$D,$A$4,'ON Data'!$E:$E,9),SUMIFS('ON Data'!AB:AB,'ON Data'!$E:$E,9))</f>
        <v>0</v>
      </c>
      <c r="X19" s="278">
        <f xml:space="preserve">
IF($A$4&lt;=12,SUMIFS('ON Data'!AC:AC,'ON Data'!$D:$D,$A$4,'ON Data'!$E:$E,9),SUMIFS('ON Data'!AC:AC,'ON Data'!$E:$E,9))</f>
        <v>0</v>
      </c>
      <c r="Y19" s="278">
        <f xml:space="preserve">
IF($A$4&lt;=12,SUMIFS('ON Data'!AD:AD,'ON Data'!$D:$D,$A$4,'ON Data'!$E:$E,9),SUMIFS('ON Data'!AD:AD,'ON Data'!$E:$E,9))</f>
        <v>0</v>
      </c>
      <c r="Z19" s="278">
        <f xml:space="preserve">
IF($A$4&lt;=12,SUMIFS('ON Data'!AE:AE,'ON Data'!$D:$D,$A$4,'ON Data'!$E:$E,9),SUMIFS('ON Data'!AE:AE,'ON Data'!$E:$E,9))</f>
        <v>0</v>
      </c>
      <c r="AA19" s="278">
        <f xml:space="preserve">
IF($A$4&lt;=12,SUMIFS('ON Data'!AF:AF,'ON Data'!$D:$D,$A$4,'ON Data'!$E:$E,9),SUMIFS('ON Data'!AF:AF,'ON Data'!$E:$E,9))</f>
        <v>0</v>
      </c>
      <c r="AB19" s="278">
        <f xml:space="preserve">
IF($A$4&lt;=12,SUMIFS('ON Data'!AG:AG,'ON Data'!$D:$D,$A$4,'ON Data'!$E:$E,9),SUMIFS('ON Data'!AG:AG,'ON Data'!$E:$E,9))</f>
        <v>0</v>
      </c>
      <c r="AC19" s="278">
        <f xml:space="preserve">
IF($A$4&lt;=12,SUMIFS('ON Data'!AH:AH,'ON Data'!$D:$D,$A$4,'ON Data'!$E:$E,9),SUMIFS('ON Data'!AH:AH,'ON Data'!$E:$E,9))</f>
        <v>0</v>
      </c>
      <c r="AD19" s="278">
        <f xml:space="preserve">
IF($A$4&lt;=12,SUMIFS('ON Data'!AI:AI,'ON Data'!$D:$D,$A$4,'ON Data'!$E:$E,9),SUMIFS('ON Data'!AI:AI,'ON Data'!$E:$E,9))</f>
        <v>0</v>
      </c>
      <c r="AE19" s="278">
        <f xml:space="preserve">
IF($A$4&lt;=12,SUMIFS('ON Data'!AJ:AJ,'ON Data'!$D:$D,$A$4,'ON Data'!$E:$E,9),SUMIFS('ON Data'!AJ:AJ,'ON Data'!$E:$E,9))</f>
        <v>0</v>
      </c>
      <c r="AF19" s="278">
        <f xml:space="preserve">
IF($A$4&lt;=12,SUMIFS('ON Data'!AK:AK,'ON Data'!$D:$D,$A$4,'ON Data'!$E:$E,9),SUMIFS('ON Data'!AK:AK,'ON Data'!$E:$E,9))</f>
        <v>0</v>
      </c>
      <c r="AG19" s="278">
        <f xml:space="preserve">
IF($A$4&lt;=12,SUMIFS('ON Data'!AL:AL,'ON Data'!$D:$D,$A$4,'ON Data'!$E:$E,9),SUMIFS('ON Data'!AL:AL,'ON Data'!$E:$E,9))</f>
        <v>0</v>
      </c>
      <c r="AH19" s="591">
        <f xml:space="preserve">
IF($A$4&lt;=12,SUMIFS('ON Data'!AN:AN,'ON Data'!$D:$D,$A$4,'ON Data'!$E:$E,9),SUMIFS('ON Data'!AN:AN,'ON Data'!$E:$E,9))</f>
        <v>1500</v>
      </c>
      <c r="AI19" s="598"/>
    </row>
    <row r="20" spans="1:35" ht="15" collapsed="1" thickBot="1" x14ac:dyDescent="0.35">
      <c r="A20" s="254" t="s">
        <v>73</v>
      </c>
      <c r="B20" s="279">
        <f xml:space="preserve">
IF($A$4&lt;=12,SUMIFS('ON Data'!F:F,'ON Data'!$D:$D,$A$4,'ON Data'!$E:$E,6),SUMIFS('ON Data'!F:F,'ON Data'!$E:$E,6))</f>
        <v>1833038</v>
      </c>
      <c r="C20" s="280">
        <f xml:space="preserve">
IF($A$4&lt;=12,SUMIFS('ON Data'!G:G,'ON Data'!$D:$D,$A$4,'ON Data'!$E:$E,6),SUMIFS('ON Data'!G:G,'ON Data'!$E:$E,6))</f>
        <v>0</v>
      </c>
      <c r="D20" s="281">
        <f xml:space="preserve">
IF($A$4&lt;=12,SUMIFS('ON Data'!H:H,'ON Data'!$D:$D,$A$4,'ON Data'!$E:$E,6),SUMIFS('ON Data'!H:H,'ON Data'!$E:$E,6))</f>
        <v>1316117</v>
      </c>
      <c r="E20" s="281">
        <f xml:space="preserve">
IF($A$4&lt;=12,SUMIFS('ON Data'!I:I,'ON Data'!$D:$D,$A$4,'ON Data'!$E:$E,6),SUMIFS('ON Data'!I:I,'ON Data'!$E:$E,6))</f>
        <v>0</v>
      </c>
      <c r="F20" s="281">
        <f xml:space="preserve">
IF($A$4&lt;=12,SUMIFS('ON Data'!K:K,'ON Data'!$D:$D,$A$4,'ON Data'!$E:$E,6),SUMIFS('ON Data'!K:K,'ON Data'!$E:$E,6))</f>
        <v>418147</v>
      </c>
      <c r="G20" s="281">
        <f xml:space="preserve">
IF($A$4&lt;=12,SUMIFS('ON Data'!L:L,'ON Data'!$D:$D,$A$4,'ON Data'!$E:$E,6),SUMIFS('ON Data'!L:L,'ON Data'!$E:$E,6))</f>
        <v>0</v>
      </c>
      <c r="H20" s="281">
        <f xml:space="preserve">
IF($A$4&lt;=12,SUMIFS('ON Data'!M:M,'ON Data'!$D:$D,$A$4,'ON Data'!$E:$E,6),SUMIFS('ON Data'!M:M,'ON Data'!$E:$E,6))</f>
        <v>0</v>
      </c>
      <c r="I20" s="281">
        <f xml:space="preserve">
IF($A$4&lt;=12,SUMIFS('ON Data'!N:N,'ON Data'!$D:$D,$A$4,'ON Data'!$E:$E,6),SUMIFS('ON Data'!N:N,'ON Data'!$E:$E,6))</f>
        <v>0</v>
      </c>
      <c r="J20" s="281">
        <f xml:space="preserve">
IF($A$4&lt;=12,SUMIFS('ON Data'!O:O,'ON Data'!$D:$D,$A$4,'ON Data'!$E:$E,6),SUMIFS('ON Data'!O:O,'ON Data'!$E:$E,6))</f>
        <v>0</v>
      </c>
      <c r="K20" s="281">
        <f xml:space="preserve">
IF($A$4&lt;=12,SUMIFS('ON Data'!P:P,'ON Data'!$D:$D,$A$4,'ON Data'!$E:$E,6),SUMIFS('ON Data'!P:P,'ON Data'!$E:$E,6))</f>
        <v>0</v>
      </c>
      <c r="L20" s="281">
        <f xml:space="preserve">
IF($A$4&lt;=12,SUMIFS('ON Data'!Q:Q,'ON Data'!$D:$D,$A$4,'ON Data'!$E:$E,6),SUMIFS('ON Data'!Q:Q,'ON Data'!$E:$E,6))</f>
        <v>0</v>
      </c>
      <c r="M20" s="281">
        <f xml:space="preserve">
IF($A$4&lt;=12,SUMIFS('ON Data'!R:R,'ON Data'!$D:$D,$A$4,'ON Data'!$E:$E,6),SUMIFS('ON Data'!R:R,'ON Data'!$E:$E,6))</f>
        <v>0</v>
      </c>
      <c r="N20" s="281">
        <f xml:space="preserve">
IF($A$4&lt;=12,SUMIFS('ON Data'!S:S,'ON Data'!$D:$D,$A$4,'ON Data'!$E:$E,6),SUMIFS('ON Data'!S:S,'ON Data'!$E:$E,6))</f>
        <v>0</v>
      </c>
      <c r="O20" s="281">
        <f xml:space="preserve">
IF($A$4&lt;=12,SUMIFS('ON Data'!T:T,'ON Data'!$D:$D,$A$4,'ON Data'!$E:$E,6),SUMIFS('ON Data'!T:T,'ON Data'!$E:$E,6))</f>
        <v>0</v>
      </c>
      <c r="P20" s="281">
        <f xml:space="preserve">
IF($A$4&lt;=12,SUMIFS('ON Data'!U:U,'ON Data'!$D:$D,$A$4,'ON Data'!$E:$E,6),SUMIFS('ON Data'!U:U,'ON Data'!$E:$E,6))</f>
        <v>0</v>
      </c>
      <c r="Q20" s="281">
        <f xml:space="preserve">
IF($A$4&lt;=12,SUMIFS('ON Data'!V:V,'ON Data'!$D:$D,$A$4,'ON Data'!$E:$E,6),SUMIFS('ON Data'!V:V,'ON Data'!$E:$E,6))</f>
        <v>0</v>
      </c>
      <c r="R20" s="281">
        <f xml:space="preserve">
IF($A$4&lt;=12,SUMIFS('ON Data'!W:W,'ON Data'!$D:$D,$A$4,'ON Data'!$E:$E,6),SUMIFS('ON Data'!W:W,'ON Data'!$E:$E,6))</f>
        <v>0</v>
      </c>
      <c r="S20" s="281">
        <f xml:space="preserve">
IF($A$4&lt;=12,SUMIFS('ON Data'!X:X,'ON Data'!$D:$D,$A$4,'ON Data'!$E:$E,6),SUMIFS('ON Data'!X:X,'ON Data'!$E:$E,6))</f>
        <v>0</v>
      </c>
      <c r="T20" s="281">
        <f xml:space="preserve">
IF($A$4&lt;=12,SUMIFS('ON Data'!Y:Y,'ON Data'!$D:$D,$A$4,'ON Data'!$E:$E,6),SUMIFS('ON Data'!Y:Y,'ON Data'!$E:$E,6))</f>
        <v>0</v>
      </c>
      <c r="U20" s="281">
        <f xml:space="preserve">
IF($A$4&lt;=12,SUMIFS('ON Data'!Z:Z,'ON Data'!$D:$D,$A$4,'ON Data'!$E:$E,6),SUMIFS('ON Data'!Z:Z,'ON Data'!$E:$E,6))</f>
        <v>0</v>
      </c>
      <c r="V20" s="281">
        <f xml:space="preserve">
IF($A$4&lt;=12,SUMIFS('ON Data'!AA:AA,'ON Data'!$D:$D,$A$4,'ON Data'!$E:$E,6),SUMIFS('ON Data'!AA:AA,'ON Data'!$E:$E,6))</f>
        <v>0</v>
      </c>
      <c r="W20" s="281">
        <f xml:space="preserve">
IF($A$4&lt;=12,SUMIFS('ON Data'!AB:AB,'ON Data'!$D:$D,$A$4,'ON Data'!$E:$E,6),SUMIFS('ON Data'!AB:AB,'ON Data'!$E:$E,6))</f>
        <v>0</v>
      </c>
      <c r="X20" s="281">
        <f xml:space="preserve">
IF($A$4&lt;=12,SUMIFS('ON Data'!AC:AC,'ON Data'!$D:$D,$A$4,'ON Data'!$E:$E,6),SUMIFS('ON Data'!AC:AC,'ON Data'!$E:$E,6))</f>
        <v>0</v>
      </c>
      <c r="Y20" s="281">
        <f xml:space="preserve">
IF($A$4&lt;=12,SUMIFS('ON Data'!AD:AD,'ON Data'!$D:$D,$A$4,'ON Data'!$E:$E,6),SUMIFS('ON Data'!AD:AD,'ON Data'!$E:$E,6))</f>
        <v>0</v>
      </c>
      <c r="Z20" s="281">
        <f xml:space="preserve">
IF($A$4&lt;=12,SUMIFS('ON Data'!AE:AE,'ON Data'!$D:$D,$A$4,'ON Data'!$E:$E,6),SUMIFS('ON Data'!AE:AE,'ON Data'!$E:$E,6))</f>
        <v>0</v>
      </c>
      <c r="AA20" s="281">
        <f xml:space="preserve">
IF($A$4&lt;=12,SUMIFS('ON Data'!AF:AF,'ON Data'!$D:$D,$A$4,'ON Data'!$E:$E,6),SUMIFS('ON Data'!AF:AF,'ON Data'!$E:$E,6))</f>
        <v>0</v>
      </c>
      <c r="AB20" s="281">
        <f xml:space="preserve">
IF($A$4&lt;=12,SUMIFS('ON Data'!AG:AG,'ON Data'!$D:$D,$A$4,'ON Data'!$E:$E,6),SUMIFS('ON Data'!AG:AG,'ON Data'!$E:$E,6))</f>
        <v>0</v>
      </c>
      <c r="AC20" s="281">
        <f xml:space="preserve">
IF($A$4&lt;=12,SUMIFS('ON Data'!AH:AH,'ON Data'!$D:$D,$A$4,'ON Data'!$E:$E,6),SUMIFS('ON Data'!AH:AH,'ON Data'!$E:$E,6))</f>
        <v>0</v>
      </c>
      <c r="AD20" s="281">
        <f xml:space="preserve">
IF($A$4&lt;=12,SUMIFS('ON Data'!AI:AI,'ON Data'!$D:$D,$A$4,'ON Data'!$E:$E,6),SUMIFS('ON Data'!AI:AI,'ON Data'!$E:$E,6))</f>
        <v>0</v>
      </c>
      <c r="AE20" s="281">
        <f xml:space="preserve">
IF($A$4&lt;=12,SUMIFS('ON Data'!AJ:AJ,'ON Data'!$D:$D,$A$4,'ON Data'!$E:$E,6),SUMIFS('ON Data'!AJ:AJ,'ON Data'!$E:$E,6))</f>
        <v>0</v>
      </c>
      <c r="AF20" s="281">
        <f xml:space="preserve">
IF($A$4&lt;=12,SUMIFS('ON Data'!AK:AK,'ON Data'!$D:$D,$A$4,'ON Data'!$E:$E,6),SUMIFS('ON Data'!AK:AK,'ON Data'!$E:$E,6))</f>
        <v>0</v>
      </c>
      <c r="AG20" s="281">
        <f xml:space="preserve">
IF($A$4&lt;=12,SUMIFS('ON Data'!AL:AL,'ON Data'!$D:$D,$A$4,'ON Data'!$E:$E,6),SUMIFS('ON Data'!AL:AL,'ON Data'!$E:$E,6))</f>
        <v>0</v>
      </c>
      <c r="AH20" s="592">
        <f xml:space="preserve">
IF($A$4&lt;=12,SUMIFS('ON Data'!AN:AN,'ON Data'!$D:$D,$A$4,'ON Data'!$E:$E,6),SUMIFS('ON Data'!AN:AN,'ON Data'!$E:$E,6))</f>
        <v>98774</v>
      </c>
      <c r="AI20" s="598"/>
    </row>
    <row r="21" spans="1:35" ht="15" hidden="1" outlineLevel="1" thickBot="1" x14ac:dyDescent="0.35">
      <c r="A21" s="247" t="s">
        <v>109</v>
      </c>
      <c r="B21" s="267">
        <f xml:space="preserve">
IF($A$4&lt;=12,SUMIFS('ON Data'!F:F,'ON Data'!$D:$D,$A$4,'ON Data'!$E:$E,12),SUMIFS('ON Data'!F:F,'ON Data'!$E:$E,12))</f>
        <v>0</v>
      </c>
      <c r="C21" s="268">
        <f xml:space="preserve">
IF($A$4&lt;=12,SUMIFS('ON Data'!G:G,'ON Data'!$D:$D,$A$4,'ON Data'!$E:$E,12),SUMIFS('ON Data'!G:G,'ON Data'!$E:$E,12))</f>
        <v>0</v>
      </c>
      <c r="D21" s="269">
        <f xml:space="preserve">
IF($A$4&lt;=12,SUMIFS('ON Data'!H:H,'ON Data'!$D:$D,$A$4,'ON Data'!$E:$E,12),SUMIFS('ON Data'!H:H,'ON Data'!$E:$E,12))</f>
        <v>0</v>
      </c>
      <c r="E21" s="269">
        <f xml:space="preserve">
IF($A$4&lt;=12,SUMIFS('ON Data'!I:I,'ON Data'!$D:$D,$A$4,'ON Data'!$E:$E,12),SUMIFS('ON Data'!I:I,'ON Data'!$E:$E,12))</f>
        <v>0</v>
      </c>
      <c r="F21" s="269">
        <f xml:space="preserve">
IF($A$4&lt;=12,SUMIFS('ON Data'!K:K,'ON Data'!$D:$D,$A$4,'ON Data'!$E:$E,12),SUMIFS('ON Data'!K:K,'ON Data'!$E:$E,12))</f>
        <v>0</v>
      </c>
      <c r="G21" s="269">
        <f xml:space="preserve">
IF($A$4&lt;=12,SUMIFS('ON Data'!L:L,'ON Data'!$D:$D,$A$4,'ON Data'!$E:$E,12),SUMIFS('ON Data'!L:L,'ON Data'!$E:$E,12))</f>
        <v>0</v>
      </c>
      <c r="H21" s="269">
        <f xml:space="preserve">
IF($A$4&lt;=12,SUMIFS('ON Data'!M:M,'ON Data'!$D:$D,$A$4,'ON Data'!$E:$E,12),SUMIFS('ON Data'!M:M,'ON Data'!$E:$E,12))</f>
        <v>0</v>
      </c>
      <c r="I21" s="269">
        <f xml:space="preserve">
IF($A$4&lt;=12,SUMIFS('ON Data'!N:N,'ON Data'!$D:$D,$A$4,'ON Data'!$E:$E,12),SUMIFS('ON Data'!N:N,'ON Data'!$E:$E,12))</f>
        <v>0</v>
      </c>
      <c r="J21" s="269">
        <f xml:space="preserve">
IF($A$4&lt;=12,SUMIFS('ON Data'!O:O,'ON Data'!$D:$D,$A$4,'ON Data'!$E:$E,12),SUMIFS('ON Data'!O:O,'ON Data'!$E:$E,12))</f>
        <v>0</v>
      </c>
      <c r="K21" s="269">
        <f xml:space="preserve">
IF($A$4&lt;=12,SUMIFS('ON Data'!P:P,'ON Data'!$D:$D,$A$4,'ON Data'!$E:$E,12),SUMIFS('ON Data'!P:P,'ON Data'!$E:$E,12))</f>
        <v>0</v>
      </c>
      <c r="L21" s="269">
        <f xml:space="preserve">
IF($A$4&lt;=12,SUMIFS('ON Data'!Q:Q,'ON Data'!$D:$D,$A$4,'ON Data'!$E:$E,12),SUMIFS('ON Data'!Q:Q,'ON Data'!$E:$E,12))</f>
        <v>0</v>
      </c>
      <c r="M21" s="269">
        <f xml:space="preserve">
IF($A$4&lt;=12,SUMIFS('ON Data'!R:R,'ON Data'!$D:$D,$A$4,'ON Data'!$E:$E,12),SUMIFS('ON Data'!R:R,'ON Data'!$E:$E,12))</f>
        <v>0</v>
      </c>
      <c r="N21" s="269">
        <f xml:space="preserve">
IF($A$4&lt;=12,SUMIFS('ON Data'!S:S,'ON Data'!$D:$D,$A$4,'ON Data'!$E:$E,12),SUMIFS('ON Data'!S:S,'ON Data'!$E:$E,12))</f>
        <v>0</v>
      </c>
      <c r="O21" s="269">
        <f xml:space="preserve">
IF($A$4&lt;=12,SUMIFS('ON Data'!T:T,'ON Data'!$D:$D,$A$4,'ON Data'!$E:$E,12),SUMIFS('ON Data'!T:T,'ON Data'!$E:$E,12))</f>
        <v>0</v>
      </c>
      <c r="P21" s="269">
        <f xml:space="preserve">
IF($A$4&lt;=12,SUMIFS('ON Data'!U:U,'ON Data'!$D:$D,$A$4,'ON Data'!$E:$E,12),SUMIFS('ON Data'!U:U,'ON Data'!$E:$E,12))</f>
        <v>0</v>
      </c>
      <c r="Q21" s="269">
        <f xml:space="preserve">
IF($A$4&lt;=12,SUMIFS('ON Data'!V:V,'ON Data'!$D:$D,$A$4,'ON Data'!$E:$E,12),SUMIFS('ON Data'!V:V,'ON Data'!$E:$E,12))</f>
        <v>0</v>
      </c>
      <c r="R21" s="269">
        <f xml:space="preserve">
IF($A$4&lt;=12,SUMIFS('ON Data'!W:W,'ON Data'!$D:$D,$A$4,'ON Data'!$E:$E,12),SUMIFS('ON Data'!W:W,'ON Data'!$E:$E,12))</f>
        <v>0</v>
      </c>
      <c r="S21" s="269">
        <f xml:space="preserve">
IF($A$4&lt;=12,SUMIFS('ON Data'!X:X,'ON Data'!$D:$D,$A$4,'ON Data'!$E:$E,12),SUMIFS('ON Data'!X:X,'ON Data'!$E:$E,12))</f>
        <v>0</v>
      </c>
      <c r="T21" s="269">
        <f xml:space="preserve">
IF($A$4&lt;=12,SUMIFS('ON Data'!Y:Y,'ON Data'!$D:$D,$A$4,'ON Data'!$E:$E,12),SUMIFS('ON Data'!Y:Y,'ON Data'!$E:$E,12))</f>
        <v>0</v>
      </c>
      <c r="U21" s="269">
        <f xml:space="preserve">
IF($A$4&lt;=12,SUMIFS('ON Data'!Z:Z,'ON Data'!$D:$D,$A$4,'ON Data'!$E:$E,12),SUMIFS('ON Data'!Z:Z,'ON Data'!$E:$E,12))</f>
        <v>0</v>
      </c>
      <c r="V21" s="269">
        <f xml:space="preserve">
IF($A$4&lt;=12,SUMIFS('ON Data'!AA:AA,'ON Data'!$D:$D,$A$4,'ON Data'!$E:$E,12),SUMIFS('ON Data'!AA:AA,'ON Data'!$E:$E,12))</f>
        <v>0</v>
      </c>
      <c r="W21" s="269">
        <f xml:space="preserve">
IF($A$4&lt;=12,SUMIFS('ON Data'!AB:AB,'ON Data'!$D:$D,$A$4,'ON Data'!$E:$E,12),SUMIFS('ON Data'!AB:AB,'ON Data'!$E:$E,12))</f>
        <v>0</v>
      </c>
      <c r="X21" s="269">
        <f xml:space="preserve">
IF($A$4&lt;=12,SUMIFS('ON Data'!AC:AC,'ON Data'!$D:$D,$A$4,'ON Data'!$E:$E,12),SUMIFS('ON Data'!AC:AC,'ON Data'!$E:$E,12))</f>
        <v>0</v>
      </c>
      <c r="Y21" s="269">
        <f xml:space="preserve">
IF($A$4&lt;=12,SUMIFS('ON Data'!AD:AD,'ON Data'!$D:$D,$A$4,'ON Data'!$E:$E,12),SUMIFS('ON Data'!AD:AD,'ON Data'!$E:$E,12))</f>
        <v>0</v>
      </c>
      <c r="Z21" s="269">
        <f xml:space="preserve">
IF($A$4&lt;=12,SUMIFS('ON Data'!AE:AE,'ON Data'!$D:$D,$A$4,'ON Data'!$E:$E,12),SUMIFS('ON Data'!AE:AE,'ON Data'!$E:$E,12))</f>
        <v>0</v>
      </c>
      <c r="AA21" s="269">
        <f xml:space="preserve">
IF($A$4&lt;=12,SUMIFS('ON Data'!AF:AF,'ON Data'!$D:$D,$A$4,'ON Data'!$E:$E,12),SUMIFS('ON Data'!AF:AF,'ON Data'!$E:$E,12))</f>
        <v>0</v>
      </c>
      <c r="AB21" s="269">
        <f xml:space="preserve">
IF($A$4&lt;=12,SUMIFS('ON Data'!AG:AG,'ON Data'!$D:$D,$A$4,'ON Data'!$E:$E,12),SUMIFS('ON Data'!AG:AG,'ON Data'!$E:$E,12))</f>
        <v>0</v>
      </c>
      <c r="AC21" s="269">
        <f xml:space="preserve">
IF($A$4&lt;=12,SUMIFS('ON Data'!AH:AH,'ON Data'!$D:$D,$A$4,'ON Data'!$E:$E,12),SUMIFS('ON Data'!AH:AH,'ON Data'!$E:$E,12))</f>
        <v>0</v>
      </c>
      <c r="AD21" s="269">
        <f xml:space="preserve">
IF($A$4&lt;=12,SUMIFS('ON Data'!AI:AI,'ON Data'!$D:$D,$A$4,'ON Data'!$E:$E,12),SUMIFS('ON Data'!AI:AI,'ON Data'!$E:$E,12))</f>
        <v>0</v>
      </c>
      <c r="AE21" s="269">
        <f xml:space="preserve">
IF($A$4&lt;=12,SUMIFS('ON Data'!AJ:AJ,'ON Data'!$D:$D,$A$4,'ON Data'!$E:$E,12),SUMIFS('ON Data'!AJ:AJ,'ON Data'!$E:$E,12))</f>
        <v>0</v>
      </c>
      <c r="AF21" s="269">
        <f xml:space="preserve">
IF($A$4&lt;=12,SUMIFS('ON Data'!AK:AK,'ON Data'!$D:$D,$A$4,'ON Data'!$E:$E,12),SUMIFS('ON Data'!AK:AK,'ON Data'!$E:$E,12))</f>
        <v>0</v>
      </c>
      <c r="AG21" s="269">
        <f xml:space="preserve">
IF($A$4&lt;=12,SUMIFS('ON Data'!AL:AL,'ON Data'!$D:$D,$A$4,'ON Data'!$E:$E,12),SUMIFS('ON Data'!AL:AL,'ON Data'!$E:$E,12))</f>
        <v>0</v>
      </c>
      <c r="AH21" s="588">
        <f xml:space="preserve">
IF($A$4&lt;=12,SUMIFS('ON Data'!AN:AN,'ON Data'!$D:$D,$A$4,'ON Data'!$E:$E,12),SUMIFS('ON Data'!AN:AN,'ON Data'!$E:$E,12))</f>
        <v>0</v>
      </c>
      <c r="AI21" s="598"/>
    </row>
    <row r="22" spans="1:35" ht="15" hidden="1" outlineLevel="1" thickBot="1" x14ac:dyDescent="0.35">
      <c r="A22" s="247" t="s">
        <v>75</v>
      </c>
      <c r="B22" s="323" t="str">
        <f xml:space="preserve">
IF(OR(B21="",B21=0),"",B20/B21)</f>
        <v/>
      </c>
      <c r="C22" s="324" t="str">
        <f t="shared" ref="C22:G22" si="2" xml:space="preserve">
IF(OR(C21="",C21=0),"",C20/C21)</f>
        <v/>
      </c>
      <c r="D22" s="325" t="str">
        <f t="shared" si="2"/>
        <v/>
      </c>
      <c r="E22" s="325" t="str">
        <f t="shared" si="2"/>
        <v/>
      </c>
      <c r="F22" s="325" t="str">
        <f t="shared" si="2"/>
        <v/>
      </c>
      <c r="G22" s="325" t="str">
        <f t="shared" si="2"/>
        <v/>
      </c>
      <c r="H22" s="325" t="str">
        <f t="shared" ref="H22:AH22" si="3" xml:space="preserve">
IF(OR(H21="",H21=0),"",H20/H21)</f>
        <v/>
      </c>
      <c r="I22" s="325" t="str">
        <f t="shared" si="3"/>
        <v/>
      </c>
      <c r="J22" s="325" t="str">
        <f t="shared" si="3"/>
        <v/>
      </c>
      <c r="K22" s="325" t="str">
        <f t="shared" si="3"/>
        <v/>
      </c>
      <c r="L22" s="325" t="str">
        <f t="shared" si="3"/>
        <v/>
      </c>
      <c r="M22" s="325" t="str">
        <f t="shared" si="3"/>
        <v/>
      </c>
      <c r="N22" s="325" t="str">
        <f t="shared" si="3"/>
        <v/>
      </c>
      <c r="O22" s="325" t="str">
        <f t="shared" si="3"/>
        <v/>
      </c>
      <c r="P22" s="325" t="str">
        <f t="shared" si="3"/>
        <v/>
      </c>
      <c r="Q22" s="325" t="str">
        <f t="shared" si="3"/>
        <v/>
      </c>
      <c r="R22" s="325" t="str">
        <f t="shared" si="3"/>
        <v/>
      </c>
      <c r="S22" s="325" t="str">
        <f t="shared" si="3"/>
        <v/>
      </c>
      <c r="T22" s="325" t="str">
        <f t="shared" si="3"/>
        <v/>
      </c>
      <c r="U22" s="325" t="str">
        <f t="shared" si="3"/>
        <v/>
      </c>
      <c r="V22" s="325" t="str">
        <f t="shared" si="3"/>
        <v/>
      </c>
      <c r="W22" s="325" t="str">
        <f t="shared" si="3"/>
        <v/>
      </c>
      <c r="X22" s="325" t="str">
        <f t="shared" si="3"/>
        <v/>
      </c>
      <c r="Y22" s="325" t="str">
        <f t="shared" si="3"/>
        <v/>
      </c>
      <c r="Z22" s="325" t="str">
        <f t="shared" si="3"/>
        <v/>
      </c>
      <c r="AA22" s="325" t="str">
        <f t="shared" si="3"/>
        <v/>
      </c>
      <c r="AB22" s="325" t="str">
        <f t="shared" si="3"/>
        <v/>
      </c>
      <c r="AC22" s="325" t="str">
        <f t="shared" si="3"/>
        <v/>
      </c>
      <c r="AD22" s="325" t="str">
        <f t="shared" si="3"/>
        <v/>
      </c>
      <c r="AE22" s="325" t="str">
        <f t="shared" si="3"/>
        <v/>
      </c>
      <c r="AF22" s="325" t="str">
        <f t="shared" si="3"/>
        <v/>
      </c>
      <c r="AG22" s="325" t="str">
        <f t="shared" si="3"/>
        <v/>
      </c>
      <c r="AH22" s="593" t="str">
        <f t="shared" si="3"/>
        <v/>
      </c>
      <c r="AI22" s="598"/>
    </row>
    <row r="23" spans="1:35" ht="15" hidden="1" outlineLevel="1" thickBot="1" x14ac:dyDescent="0.35">
      <c r="A23" s="255" t="s">
        <v>68</v>
      </c>
      <c r="B23" s="270">
        <f xml:space="preserve">
IF(B21="","",B20-B21)</f>
        <v>1833038</v>
      </c>
      <c r="C23" s="271">
        <f t="shared" ref="C23:G23" si="4" xml:space="preserve">
IF(C21="","",C20-C21)</f>
        <v>0</v>
      </c>
      <c r="D23" s="272">
        <f t="shared" si="4"/>
        <v>1316117</v>
      </c>
      <c r="E23" s="272">
        <f t="shared" si="4"/>
        <v>0</v>
      </c>
      <c r="F23" s="272">
        <f t="shared" si="4"/>
        <v>418147</v>
      </c>
      <c r="G23" s="272">
        <f t="shared" si="4"/>
        <v>0</v>
      </c>
      <c r="H23" s="272">
        <f t="shared" ref="H23:AH23" si="5" xml:space="preserve">
IF(H21="","",H20-H21)</f>
        <v>0</v>
      </c>
      <c r="I23" s="272">
        <f t="shared" si="5"/>
        <v>0</v>
      </c>
      <c r="J23" s="272">
        <f t="shared" si="5"/>
        <v>0</v>
      </c>
      <c r="K23" s="272">
        <f t="shared" si="5"/>
        <v>0</v>
      </c>
      <c r="L23" s="272">
        <f t="shared" si="5"/>
        <v>0</v>
      </c>
      <c r="M23" s="272">
        <f t="shared" si="5"/>
        <v>0</v>
      </c>
      <c r="N23" s="272">
        <f t="shared" si="5"/>
        <v>0</v>
      </c>
      <c r="O23" s="272">
        <f t="shared" si="5"/>
        <v>0</v>
      </c>
      <c r="P23" s="272">
        <f t="shared" si="5"/>
        <v>0</v>
      </c>
      <c r="Q23" s="272">
        <f t="shared" si="5"/>
        <v>0</v>
      </c>
      <c r="R23" s="272">
        <f t="shared" si="5"/>
        <v>0</v>
      </c>
      <c r="S23" s="272">
        <f t="shared" si="5"/>
        <v>0</v>
      </c>
      <c r="T23" s="272">
        <f t="shared" si="5"/>
        <v>0</v>
      </c>
      <c r="U23" s="272">
        <f t="shared" si="5"/>
        <v>0</v>
      </c>
      <c r="V23" s="272">
        <f t="shared" si="5"/>
        <v>0</v>
      </c>
      <c r="W23" s="272">
        <f t="shared" si="5"/>
        <v>0</v>
      </c>
      <c r="X23" s="272">
        <f t="shared" si="5"/>
        <v>0</v>
      </c>
      <c r="Y23" s="272">
        <f t="shared" si="5"/>
        <v>0</v>
      </c>
      <c r="Z23" s="272">
        <f t="shared" si="5"/>
        <v>0</v>
      </c>
      <c r="AA23" s="272">
        <f t="shared" si="5"/>
        <v>0</v>
      </c>
      <c r="AB23" s="272">
        <f t="shared" si="5"/>
        <v>0</v>
      </c>
      <c r="AC23" s="272">
        <f t="shared" si="5"/>
        <v>0</v>
      </c>
      <c r="AD23" s="272">
        <f t="shared" si="5"/>
        <v>0</v>
      </c>
      <c r="AE23" s="272">
        <f t="shared" si="5"/>
        <v>0</v>
      </c>
      <c r="AF23" s="272">
        <f t="shared" si="5"/>
        <v>0</v>
      </c>
      <c r="AG23" s="272">
        <f t="shared" si="5"/>
        <v>0</v>
      </c>
      <c r="AH23" s="589">
        <f t="shared" si="5"/>
        <v>98774</v>
      </c>
      <c r="AI23" s="598"/>
    </row>
    <row r="24" spans="1:35" x14ac:dyDescent="0.3">
      <c r="A24" s="249" t="s">
        <v>199</v>
      </c>
      <c r="B24" s="296" t="s">
        <v>3</v>
      </c>
      <c r="C24" s="599" t="s">
        <v>210</v>
      </c>
      <c r="D24" s="573"/>
      <c r="E24" s="574"/>
      <c r="F24" s="574" t="s">
        <v>211</v>
      </c>
      <c r="G24" s="574"/>
      <c r="H24" s="574"/>
      <c r="I24" s="574"/>
      <c r="J24" s="574"/>
      <c r="K24" s="574"/>
      <c r="L24" s="574"/>
      <c r="M24" s="574"/>
      <c r="N24" s="574"/>
      <c r="O24" s="574"/>
      <c r="P24" s="574"/>
      <c r="Q24" s="574"/>
      <c r="R24" s="574"/>
      <c r="S24" s="574"/>
      <c r="T24" s="574"/>
      <c r="U24" s="574"/>
      <c r="V24" s="574"/>
      <c r="W24" s="574"/>
      <c r="X24" s="574"/>
      <c r="Y24" s="574"/>
      <c r="Z24" s="574"/>
      <c r="AA24" s="574"/>
      <c r="AB24" s="574"/>
      <c r="AC24" s="574"/>
      <c r="AD24" s="574"/>
      <c r="AE24" s="574"/>
      <c r="AF24" s="574"/>
      <c r="AG24" s="574"/>
      <c r="AH24" s="594" t="s">
        <v>212</v>
      </c>
      <c r="AI24" s="598"/>
    </row>
    <row r="25" spans="1:35" x14ac:dyDescent="0.3">
      <c r="A25" s="250" t="s">
        <v>73</v>
      </c>
      <c r="B25" s="267">
        <f xml:space="preserve">
SUM(C25:AH25)</f>
        <v>20400</v>
      </c>
      <c r="C25" s="600">
        <f xml:space="preserve">
IF($A$4&lt;=12,SUMIFS('ON Data'!H:H,'ON Data'!$D:$D,$A$4,'ON Data'!$E:$E,10),SUMIFS('ON Data'!H:H,'ON Data'!$E:$E,10))</f>
        <v>15000</v>
      </c>
      <c r="D25" s="575"/>
      <c r="E25" s="576"/>
      <c r="F25" s="576">
        <f xml:space="preserve">
IF($A$4&lt;=12,SUMIFS('ON Data'!K:K,'ON Data'!$D:$D,$A$4,'ON Data'!$E:$E,10),SUMIFS('ON Data'!K:K,'ON Data'!$E:$E,10))</f>
        <v>5400</v>
      </c>
      <c r="G25" s="576"/>
      <c r="H25" s="576"/>
      <c r="I25" s="576"/>
      <c r="J25" s="576"/>
      <c r="K25" s="576"/>
      <c r="L25" s="576"/>
      <c r="M25" s="576"/>
      <c r="N25" s="576"/>
      <c r="O25" s="576"/>
      <c r="P25" s="576"/>
      <c r="Q25" s="576"/>
      <c r="R25" s="576"/>
      <c r="S25" s="576"/>
      <c r="T25" s="576"/>
      <c r="U25" s="576"/>
      <c r="V25" s="576"/>
      <c r="W25" s="576"/>
      <c r="X25" s="576"/>
      <c r="Y25" s="576"/>
      <c r="Z25" s="576"/>
      <c r="AA25" s="576"/>
      <c r="AB25" s="576"/>
      <c r="AC25" s="576"/>
      <c r="AD25" s="576"/>
      <c r="AE25" s="576"/>
      <c r="AF25" s="576"/>
      <c r="AG25" s="576"/>
      <c r="AH25" s="595">
        <f xml:space="preserve">
IF($A$4&lt;=12,SUMIFS('ON Data'!AN:AN,'ON Data'!$D:$D,$A$4,'ON Data'!$E:$E,10),SUMIFS('ON Data'!AN:AN,'ON Data'!$E:$E,10))</f>
        <v>0</v>
      </c>
      <c r="AI25" s="598"/>
    </row>
    <row r="26" spans="1:35" x14ac:dyDescent="0.3">
      <c r="A26" s="256" t="s">
        <v>209</v>
      </c>
      <c r="B26" s="276">
        <f xml:space="preserve">
SUM(C26:AH26)</f>
        <v>10938.791880051829</v>
      </c>
      <c r="C26" s="600">
        <f xml:space="preserve">
IF($A$4&lt;=12,SUMIFS('ON Data'!H:H,'ON Data'!$D:$D,$A$4,'ON Data'!$E:$E,11),SUMIFS('ON Data'!H:H,'ON Data'!$E:$E,11))</f>
        <v>5938.7918800518291</v>
      </c>
      <c r="D26" s="575"/>
      <c r="E26" s="576"/>
      <c r="F26" s="577">
        <f xml:space="preserve">
IF($A$4&lt;=12,SUMIFS('ON Data'!K:K,'ON Data'!$D:$D,$A$4,'ON Data'!$E:$E,11),SUMIFS('ON Data'!K:K,'ON Data'!$E:$E,11))</f>
        <v>5000</v>
      </c>
      <c r="G26" s="577"/>
      <c r="H26" s="577"/>
      <c r="I26" s="577"/>
      <c r="J26" s="577"/>
      <c r="K26" s="577"/>
      <c r="L26" s="577"/>
      <c r="M26" s="577"/>
      <c r="N26" s="577"/>
      <c r="O26" s="577"/>
      <c r="P26" s="577"/>
      <c r="Q26" s="577"/>
      <c r="R26" s="577"/>
      <c r="S26" s="577"/>
      <c r="T26" s="577"/>
      <c r="U26" s="577"/>
      <c r="V26" s="577"/>
      <c r="W26" s="577"/>
      <c r="X26" s="577"/>
      <c r="Y26" s="577"/>
      <c r="Z26" s="577"/>
      <c r="AA26" s="577"/>
      <c r="AB26" s="577"/>
      <c r="AC26" s="577"/>
      <c r="AD26" s="577"/>
      <c r="AE26" s="577"/>
      <c r="AF26" s="577"/>
      <c r="AG26" s="577"/>
      <c r="AH26" s="595">
        <f xml:space="preserve">
IF($A$4&lt;=12,SUMIFS('ON Data'!AN:AN,'ON Data'!$D:$D,$A$4,'ON Data'!$E:$E,11),SUMIFS('ON Data'!AN:AN,'ON Data'!$E:$E,11))</f>
        <v>0</v>
      </c>
      <c r="AI26" s="598"/>
    </row>
    <row r="27" spans="1:35" x14ac:dyDescent="0.3">
      <c r="A27" s="256" t="s">
        <v>75</v>
      </c>
      <c r="B27" s="297">
        <f xml:space="preserve">
IF(B26=0,0,B25/B26)</f>
        <v>1.8649225822827651</v>
      </c>
      <c r="C27" s="601">
        <f xml:space="preserve">
IF(C26=0,0,C25/C26)</f>
        <v>2.5257662337662339</v>
      </c>
      <c r="D27" s="578"/>
      <c r="E27" s="579"/>
      <c r="F27" s="579">
        <f xml:space="preserve">
IF(F26=0,0,F25/F26)</f>
        <v>1.08</v>
      </c>
      <c r="G27" s="579"/>
      <c r="H27" s="579"/>
      <c r="I27" s="579"/>
      <c r="J27" s="579"/>
      <c r="K27" s="579"/>
      <c r="L27" s="579"/>
      <c r="M27" s="579"/>
      <c r="N27" s="579"/>
      <c r="O27" s="579"/>
      <c r="P27" s="579"/>
      <c r="Q27" s="579"/>
      <c r="R27" s="579"/>
      <c r="S27" s="579"/>
      <c r="T27" s="579"/>
      <c r="U27" s="579"/>
      <c r="V27" s="579"/>
      <c r="W27" s="579"/>
      <c r="X27" s="579"/>
      <c r="Y27" s="579"/>
      <c r="Z27" s="579"/>
      <c r="AA27" s="579"/>
      <c r="AB27" s="579"/>
      <c r="AC27" s="579"/>
      <c r="AD27" s="579"/>
      <c r="AE27" s="579"/>
      <c r="AF27" s="579"/>
      <c r="AG27" s="579"/>
      <c r="AH27" s="596">
        <f xml:space="preserve">
IF(AH26=0,0,AH25/AH26)</f>
        <v>0</v>
      </c>
      <c r="AI27" s="598"/>
    </row>
    <row r="28" spans="1:35" ht="15" thickBot="1" x14ac:dyDescent="0.35">
      <c r="A28" s="256" t="s">
        <v>208</v>
      </c>
      <c r="B28" s="276">
        <f xml:space="preserve">
SUM(C28:AH28)</f>
        <v>-9461.2081199481709</v>
      </c>
      <c r="C28" s="602">
        <f xml:space="preserve">
C26-C25</f>
        <v>-9061.2081199481709</v>
      </c>
      <c r="D28" s="580"/>
      <c r="E28" s="581"/>
      <c r="F28" s="581">
        <f xml:space="preserve">
F26-F25</f>
        <v>-400</v>
      </c>
      <c r="G28" s="581"/>
      <c r="H28" s="581"/>
      <c r="I28" s="581"/>
      <c r="J28" s="581"/>
      <c r="K28" s="581"/>
      <c r="L28" s="581"/>
      <c r="M28" s="581"/>
      <c r="N28" s="581"/>
      <c r="O28" s="581"/>
      <c r="P28" s="581"/>
      <c r="Q28" s="581"/>
      <c r="R28" s="581"/>
      <c r="S28" s="581"/>
      <c r="T28" s="581"/>
      <c r="U28" s="581"/>
      <c r="V28" s="581"/>
      <c r="W28" s="581"/>
      <c r="X28" s="581"/>
      <c r="Y28" s="581"/>
      <c r="Z28" s="581"/>
      <c r="AA28" s="581"/>
      <c r="AB28" s="581"/>
      <c r="AC28" s="581"/>
      <c r="AD28" s="581"/>
      <c r="AE28" s="581"/>
      <c r="AF28" s="581"/>
      <c r="AG28" s="581"/>
      <c r="AH28" s="597">
        <f xml:space="preserve">
AH26-AH25</f>
        <v>0</v>
      </c>
      <c r="AI28" s="598"/>
    </row>
    <row r="29" spans="1:35" x14ac:dyDescent="0.3">
      <c r="A29" s="257"/>
      <c r="B29" s="257"/>
      <c r="C29" s="258"/>
      <c r="D29" s="257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7"/>
      <c r="AG29" s="257"/>
      <c r="AH29" s="257"/>
    </row>
    <row r="30" spans="1:35" x14ac:dyDescent="0.3">
      <c r="A30" s="116" t="s">
        <v>162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54"/>
    </row>
    <row r="31" spans="1:35" x14ac:dyDescent="0.3">
      <c r="A31" s="117" t="s">
        <v>206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54"/>
    </row>
    <row r="32" spans="1:35" ht="14.4" customHeight="1" x14ac:dyDescent="0.3">
      <c r="A32" s="293" t="s">
        <v>203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</row>
    <row r="33" spans="1:1" x14ac:dyDescent="0.3">
      <c r="A33" s="295" t="s">
        <v>213</v>
      </c>
    </row>
    <row r="34" spans="1:1" x14ac:dyDescent="0.3">
      <c r="A34" s="295" t="s">
        <v>214</v>
      </c>
    </row>
    <row r="35" spans="1:1" x14ac:dyDescent="0.3">
      <c r="A35" s="295" t="s">
        <v>215</v>
      </c>
    </row>
    <row r="36" spans="1:1" x14ac:dyDescent="0.3">
      <c r="A36" s="295" t="s">
        <v>216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5" priority="4" operator="greaterThan">
      <formula>1</formula>
    </cfRule>
  </conditionalFormatting>
  <conditionalFormatting sqref="C28 AH28 F28">
    <cfRule type="cellIs" dxfId="4" priority="3" operator="lessThan">
      <formula>0</formula>
    </cfRule>
  </conditionalFormatting>
  <conditionalFormatting sqref="B22:AH22">
    <cfRule type="cellIs" dxfId="3" priority="2" operator="greaterThan">
      <formula>1</formula>
    </cfRule>
  </conditionalFormatting>
  <conditionalFormatting sqref="B23:AH23">
    <cfRule type="cellIs" dxfId="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6"/>
  <sheetViews>
    <sheetView showGridLines="0" showRowColHeaders="0" workbookViewId="0"/>
  </sheetViews>
  <sheetFormatPr defaultRowHeight="14.4" x14ac:dyDescent="0.3"/>
  <cols>
    <col min="1" max="16384" width="8.88671875" style="236"/>
  </cols>
  <sheetData>
    <row r="1" spans="1:41" x14ac:dyDescent="0.3">
      <c r="A1" s="236" t="s">
        <v>1291</v>
      </c>
    </row>
    <row r="2" spans="1:41" x14ac:dyDescent="0.3">
      <c r="A2" s="240" t="s">
        <v>281</v>
      </c>
    </row>
    <row r="3" spans="1:41" x14ac:dyDescent="0.3">
      <c r="A3" s="236" t="s">
        <v>173</v>
      </c>
      <c r="B3" s="261">
        <v>2015</v>
      </c>
      <c r="D3" s="237">
        <f>MAX(D5:D1048576)</f>
        <v>3</v>
      </c>
      <c r="F3" s="237">
        <f>SUMIF($E5:$E1048576,"&lt;10",F5:F1048576)</f>
        <v>1896519.3499999999</v>
      </c>
      <c r="G3" s="237">
        <f t="shared" ref="G3:AO3" si="0">SUMIF($E5:$E1048576,"&lt;10",G5:G1048576)</f>
        <v>0</v>
      </c>
      <c r="H3" s="237">
        <f t="shared" si="0"/>
        <v>1367122.85</v>
      </c>
      <c r="I3" s="237">
        <f t="shared" si="0"/>
        <v>0</v>
      </c>
      <c r="J3" s="237">
        <f t="shared" si="0"/>
        <v>0</v>
      </c>
      <c r="K3" s="237">
        <f t="shared" si="0"/>
        <v>428358</v>
      </c>
      <c r="L3" s="237">
        <f t="shared" si="0"/>
        <v>0</v>
      </c>
      <c r="M3" s="237">
        <f t="shared" si="0"/>
        <v>0</v>
      </c>
      <c r="N3" s="237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7">
        <f t="shared" si="0"/>
        <v>0</v>
      </c>
      <c r="T3" s="237">
        <f t="shared" si="0"/>
        <v>0</v>
      </c>
      <c r="U3" s="237">
        <f t="shared" si="0"/>
        <v>0</v>
      </c>
      <c r="V3" s="237">
        <f t="shared" si="0"/>
        <v>0</v>
      </c>
      <c r="W3" s="237">
        <f t="shared" si="0"/>
        <v>0</v>
      </c>
      <c r="X3" s="237">
        <f t="shared" si="0"/>
        <v>0</v>
      </c>
      <c r="Y3" s="237">
        <f t="shared" si="0"/>
        <v>0</v>
      </c>
      <c r="Z3" s="237">
        <f t="shared" si="0"/>
        <v>0</v>
      </c>
      <c r="AA3" s="237">
        <f t="shared" si="0"/>
        <v>0</v>
      </c>
      <c r="AB3" s="237">
        <f t="shared" si="0"/>
        <v>0</v>
      </c>
      <c r="AC3" s="237">
        <f t="shared" si="0"/>
        <v>0</v>
      </c>
      <c r="AD3" s="237">
        <f t="shared" si="0"/>
        <v>0</v>
      </c>
      <c r="AE3" s="237">
        <f t="shared" si="0"/>
        <v>0</v>
      </c>
      <c r="AF3" s="237">
        <f t="shared" si="0"/>
        <v>0</v>
      </c>
      <c r="AG3" s="237">
        <f t="shared" si="0"/>
        <v>0</v>
      </c>
      <c r="AH3" s="237">
        <f t="shared" si="0"/>
        <v>0</v>
      </c>
      <c r="AI3" s="237">
        <f t="shared" si="0"/>
        <v>0</v>
      </c>
      <c r="AJ3" s="237">
        <f t="shared" si="0"/>
        <v>0</v>
      </c>
      <c r="AK3" s="237">
        <f t="shared" si="0"/>
        <v>0</v>
      </c>
      <c r="AL3" s="237">
        <f t="shared" si="0"/>
        <v>0</v>
      </c>
      <c r="AM3" s="237">
        <f t="shared" si="0"/>
        <v>0</v>
      </c>
      <c r="AN3" s="237">
        <f t="shared" si="0"/>
        <v>101038.5</v>
      </c>
      <c r="AO3" s="237">
        <f t="shared" si="0"/>
        <v>0</v>
      </c>
    </row>
    <row r="4" spans="1:41" x14ac:dyDescent="0.3">
      <c r="A4" s="236" t="s">
        <v>174</v>
      </c>
      <c r="B4" s="261">
        <v>1</v>
      </c>
      <c r="C4" s="238" t="s">
        <v>5</v>
      </c>
      <c r="D4" s="239" t="s">
        <v>67</v>
      </c>
      <c r="E4" s="239" t="s">
        <v>168</v>
      </c>
      <c r="F4" s="239" t="s">
        <v>3</v>
      </c>
      <c r="G4" s="239" t="s">
        <v>169</v>
      </c>
      <c r="H4" s="239" t="s">
        <v>170</v>
      </c>
      <c r="I4" s="239" t="s">
        <v>171</v>
      </c>
      <c r="J4" s="239" t="s">
        <v>172</v>
      </c>
      <c r="K4" s="239">
        <v>305</v>
      </c>
      <c r="L4" s="239">
        <v>306</v>
      </c>
      <c r="M4" s="239">
        <v>407</v>
      </c>
      <c r="N4" s="239">
        <v>408</v>
      </c>
      <c r="O4" s="239">
        <v>409</v>
      </c>
      <c r="P4" s="239">
        <v>410</v>
      </c>
      <c r="Q4" s="239">
        <v>415</v>
      </c>
      <c r="R4" s="239">
        <v>416</v>
      </c>
      <c r="S4" s="239">
        <v>418</v>
      </c>
      <c r="T4" s="239">
        <v>419</v>
      </c>
      <c r="U4" s="239">
        <v>420</v>
      </c>
      <c r="V4" s="239">
        <v>421</v>
      </c>
      <c r="W4" s="239">
        <v>522</v>
      </c>
      <c r="X4" s="239">
        <v>523</v>
      </c>
      <c r="Y4" s="239">
        <v>524</v>
      </c>
      <c r="Z4" s="239">
        <v>525</v>
      </c>
      <c r="AA4" s="239">
        <v>526</v>
      </c>
      <c r="AB4" s="239">
        <v>527</v>
      </c>
      <c r="AC4" s="239">
        <v>528</v>
      </c>
      <c r="AD4" s="239">
        <v>629</v>
      </c>
      <c r="AE4" s="239">
        <v>630</v>
      </c>
      <c r="AF4" s="239">
        <v>636</v>
      </c>
      <c r="AG4" s="239">
        <v>637</v>
      </c>
      <c r="AH4" s="239">
        <v>640</v>
      </c>
      <c r="AI4" s="239">
        <v>642</v>
      </c>
      <c r="AJ4" s="239">
        <v>743</v>
      </c>
      <c r="AK4" s="239">
        <v>745</v>
      </c>
      <c r="AL4" s="239">
        <v>746</v>
      </c>
      <c r="AM4" s="239">
        <v>747</v>
      </c>
      <c r="AN4" s="239">
        <v>930</v>
      </c>
      <c r="AO4" s="239">
        <v>940</v>
      </c>
    </row>
    <row r="5" spans="1:41" x14ac:dyDescent="0.3">
      <c r="A5" s="236" t="s">
        <v>175</v>
      </c>
      <c r="B5" s="261">
        <v>2</v>
      </c>
      <c r="C5" s="236">
        <v>29</v>
      </c>
      <c r="D5" s="236">
        <v>1</v>
      </c>
      <c r="E5" s="236">
        <v>1</v>
      </c>
      <c r="F5" s="236">
        <v>12.95</v>
      </c>
      <c r="G5" s="236">
        <v>0</v>
      </c>
      <c r="H5" s="236">
        <v>6.45</v>
      </c>
      <c r="I5" s="236">
        <v>0</v>
      </c>
      <c r="J5" s="236">
        <v>0</v>
      </c>
      <c r="K5" s="236">
        <v>5</v>
      </c>
      <c r="L5" s="236">
        <v>0</v>
      </c>
      <c r="M5" s="236">
        <v>0</v>
      </c>
      <c r="N5" s="236">
        <v>0</v>
      </c>
      <c r="O5" s="236">
        <v>0</v>
      </c>
      <c r="P5" s="236">
        <v>0</v>
      </c>
      <c r="Q5" s="236">
        <v>0</v>
      </c>
      <c r="R5" s="236">
        <v>0</v>
      </c>
      <c r="S5" s="236">
        <v>0</v>
      </c>
      <c r="T5" s="236">
        <v>0</v>
      </c>
      <c r="U5" s="236">
        <v>0</v>
      </c>
      <c r="V5" s="236">
        <v>0</v>
      </c>
      <c r="W5" s="236">
        <v>0</v>
      </c>
      <c r="X5" s="236">
        <v>0</v>
      </c>
      <c r="Y5" s="236">
        <v>0</v>
      </c>
      <c r="Z5" s="236">
        <v>0</v>
      </c>
      <c r="AA5" s="236">
        <v>0</v>
      </c>
      <c r="AB5" s="236">
        <v>0</v>
      </c>
      <c r="AC5" s="236">
        <v>0</v>
      </c>
      <c r="AD5" s="236">
        <v>0</v>
      </c>
      <c r="AE5" s="236">
        <v>0</v>
      </c>
      <c r="AF5" s="236">
        <v>0</v>
      </c>
      <c r="AG5" s="236">
        <v>0</v>
      </c>
      <c r="AH5" s="236">
        <v>0</v>
      </c>
      <c r="AI5" s="236">
        <v>0</v>
      </c>
      <c r="AJ5" s="236">
        <v>0</v>
      </c>
      <c r="AK5" s="236">
        <v>0</v>
      </c>
      <c r="AL5" s="236">
        <v>0</v>
      </c>
      <c r="AM5" s="236">
        <v>0</v>
      </c>
      <c r="AN5" s="236">
        <v>1.5</v>
      </c>
      <c r="AO5" s="236">
        <v>0</v>
      </c>
    </row>
    <row r="6" spans="1:41" x14ac:dyDescent="0.3">
      <c r="A6" s="236" t="s">
        <v>176</v>
      </c>
      <c r="B6" s="261">
        <v>3</v>
      </c>
      <c r="C6" s="236">
        <v>29</v>
      </c>
      <c r="D6" s="236">
        <v>1</v>
      </c>
      <c r="E6" s="236">
        <v>2</v>
      </c>
      <c r="F6" s="236">
        <v>2120</v>
      </c>
      <c r="G6" s="236">
        <v>0</v>
      </c>
      <c r="H6" s="236">
        <v>1064</v>
      </c>
      <c r="I6" s="236">
        <v>0</v>
      </c>
      <c r="J6" s="236">
        <v>0</v>
      </c>
      <c r="K6" s="236">
        <v>792</v>
      </c>
      <c r="L6" s="236">
        <v>0</v>
      </c>
      <c r="M6" s="236">
        <v>0</v>
      </c>
      <c r="N6" s="236">
        <v>0</v>
      </c>
      <c r="O6" s="236">
        <v>0</v>
      </c>
      <c r="P6" s="236">
        <v>0</v>
      </c>
      <c r="Q6" s="236">
        <v>0</v>
      </c>
      <c r="R6" s="236">
        <v>0</v>
      </c>
      <c r="S6" s="236">
        <v>0</v>
      </c>
      <c r="T6" s="236">
        <v>0</v>
      </c>
      <c r="U6" s="236">
        <v>0</v>
      </c>
      <c r="V6" s="236">
        <v>0</v>
      </c>
      <c r="W6" s="236">
        <v>0</v>
      </c>
      <c r="X6" s="236">
        <v>0</v>
      </c>
      <c r="Y6" s="236">
        <v>0</v>
      </c>
      <c r="Z6" s="236">
        <v>0</v>
      </c>
      <c r="AA6" s="236">
        <v>0</v>
      </c>
      <c r="AB6" s="236">
        <v>0</v>
      </c>
      <c r="AC6" s="236">
        <v>0</v>
      </c>
      <c r="AD6" s="236">
        <v>0</v>
      </c>
      <c r="AE6" s="236">
        <v>0</v>
      </c>
      <c r="AF6" s="236">
        <v>0</v>
      </c>
      <c r="AG6" s="236">
        <v>0</v>
      </c>
      <c r="AH6" s="236">
        <v>0</v>
      </c>
      <c r="AI6" s="236">
        <v>0</v>
      </c>
      <c r="AJ6" s="236">
        <v>0</v>
      </c>
      <c r="AK6" s="236">
        <v>0</v>
      </c>
      <c r="AL6" s="236">
        <v>0</v>
      </c>
      <c r="AM6" s="236">
        <v>0</v>
      </c>
      <c r="AN6" s="236">
        <v>264</v>
      </c>
      <c r="AO6" s="236">
        <v>0</v>
      </c>
    </row>
    <row r="7" spans="1:41" x14ac:dyDescent="0.3">
      <c r="A7" s="236" t="s">
        <v>177</v>
      </c>
      <c r="B7" s="261">
        <v>4</v>
      </c>
      <c r="C7" s="236">
        <v>29</v>
      </c>
      <c r="D7" s="236">
        <v>1</v>
      </c>
      <c r="E7" s="236">
        <v>3</v>
      </c>
      <c r="F7" s="236">
        <v>4</v>
      </c>
      <c r="G7" s="236">
        <v>0</v>
      </c>
      <c r="H7" s="236">
        <v>4</v>
      </c>
      <c r="I7" s="236">
        <v>0</v>
      </c>
      <c r="J7" s="236">
        <v>0</v>
      </c>
      <c r="K7" s="236">
        <v>0</v>
      </c>
      <c r="L7" s="236">
        <v>0</v>
      </c>
      <c r="M7" s="236">
        <v>0</v>
      </c>
      <c r="N7" s="236">
        <v>0</v>
      </c>
      <c r="O7" s="236">
        <v>0</v>
      </c>
      <c r="P7" s="236">
        <v>0</v>
      </c>
      <c r="Q7" s="236">
        <v>0</v>
      </c>
      <c r="R7" s="236">
        <v>0</v>
      </c>
      <c r="S7" s="236">
        <v>0</v>
      </c>
      <c r="T7" s="236">
        <v>0</v>
      </c>
      <c r="U7" s="236">
        <v>0</v>
      </c>
      <c r="V7" s="236">
        <v>0</v>
      </c>
      <c r="W7" s="236">
        <v>0</v>
      </c>
      <c r="X7" s="236">
        <v>0</v>
      </c>
      <c r="Y7" s="236">
        <v>0</v>
      </c>
      <c r="Z7" s="236">
        <v>0</v>
      </c>
      <c r="AA7" s="236">
        <v>0</v>
      </c>
      <c r="AB7" s="236">
        <v>0</v>
      </c>
      <c r="AC7" s="236">
        <v>0</v>
      </c>
      <c r="AD7" s="236">
        <v>0</v>
      </c>
      <c r="AE7" s="236">
        <v>0</v>
      </c>
      <c r="AF7" s="236">
        <v>0</v>
      </c>
      <c r="AG7" s="236">
        <v>0</v>
      </c>
      <c r="AH7" s="236">
        <v>0</v>
      </c>
      <c r="AI7" s="236">
        <v>0</v>
      </c>
      <c r="AJ7" s="236">
        <v>0</v>
      </c>
      <c r="AK7" s="236">
        <v>0</v>
      </c>
      <c r="AL7" s="236">
        <v>0</v>
      </c>
      <c r="AM7" s="236">
        <v>0</v>
      </c>
      <c r="AN7" s="236">
        <v>0</v>
      </c>
      <c r="AO7" s="236">
        <v>0</v>
      </c>
    </row>
    <row r="8" spans="1:41" x14ac:dyDescent="0.3">
      <c r="A8" s="236" t="s">
        <v>178</v>
      </c>
      <c r="B8" s="261">
        <v>5</v>
      </c>
      <c r="C8" s="236">
        <v>29</v>
      </c>
      <c r="D8" s="236">
        <v>1</v>
      </c>
      <c r="E8" s="236">
        <v>4</v>
      </c>
      <c r="F8" s="236">
        <v>89</v>
      </c>
      <c r="G8" s="236">
        <v>0</v>
      </c>
      <c r="H8" s="236">
        <v>89</v>
      </c>
      <c r="I8" s="236">
        <v>0</v>
      </c>
      <c r="J8" s="236">
        <v>0</v>
      </c>
      <c r="K8" s="236">
        <v>0</v>
      </c>
      <c r="L8" s="236">
        <v>0</v>
      </c>
      <c r="M8" s="236">
        <v>0</v>
      </c>
      <c r="N8" s="236">
        <v>0</v>
      </c>
      <c r="O8" s="236">
        <v>0</v>
      </c>
      <c r="P8" s="236">
        <v>0</v>
      </c>
      <c r="Q8" s="236">
        <v>0</v>
      </c>
      <c r="R8" s="236">
        <v>0</v>
      </c>
      <c r="S8" s="236">
        <v>0</v>
      </c>
      <c r="T8" s="236">
        <v>0</v>
      </c>
      <c r="U8" s="236">
        <v>0</v>
      </c>
      <c r="V8" s="236">
        <v>0</v>
      </c>
      <c r="W8" s="236">
        <v>0</v>
      </c>
      <c r="X8" s="236">
        <v>0</v>
      </c>
      <c r="Y8" s="236">
        <v>0</v>
      </c>
      <c r="Z8" s="236">
        <v>0</v>
      </c>
      <c r="AA8" s="236">
        <v>0</v>
      </c>
      <c r="AB8" s="236">
        <v>0</v>
      </c>
      <c r="AC8" s="236">
        <v>0</v>
      </c>
      <c r="AD8" s="236">
        <v>0</v>
      </c>
      <c r="AE8" s="236">
        <v>0</v>
      </c>
      <c r="AF8" s="236">
        <v>0</v>
      </c>
      <c r="AG8" s="236">
        <v>0</v>
      </c>
      <c r="AH8" s="236">
        <v>0</v>
      </c>
      <c r="AI8" s="236">
        <v>0</v>
      </c>
      <c r="AJ8" s="236">
        <v>0</v>
      </c>
      <c r="AK8" s="236">
        <v>0</v>
      </c>
      <c r="AL8" s="236">
        <v>0</v>
      </c>
      <c r="AM8" s="236">
        <v>0</v>
      </c>
      <c r="AN8" s="236">
        <v>0</v>
      </c>
      <c r="AO8" s="236">
        <v>0</v>
      </c>
    </row>
    <row r="9" spans="1:41" x14ac:dyDescent="0.3">
      <c r="A9" s="236" t="s">
        <v>179</v>
      </c>
      <c r="B9" s="261">
        <v>6</v>
      </c>
      <c r="C9" s="236">
        <v>29</v>
      </c>
      <c r="D9" s="236">
        <v>1</v>
      </c>
      <c r="E9" s="236">
        <v>6</v>
      </c>
      <c r="F9" s="236">
        <v>597855</v>
      </c>
      <c r="G9" s="236">
        <v>0</v>
      </c>
      <c r="H9" s="236">
        <v>429979</v>
      </c>
      <c r="I9" s="236">
        <v>0</v>
      </c>
      <c r="J9" s="236">
        <v>0</v>
      </c>
      <c r="K9" s="236">
        <v>135431</v>
      </c>
      <c r="L9" s="236">
        <v>0</v>
      </c>
      <c r="M9" s="236">
        <v>0</v>
      </c>
      <c r="N9" s="236">
        <v>0</v>
      </c>
      <c r="O9" s="236">
        <v>0</v>
      </c>
      <c r="P9" s="236">
        <v>0</v>
      </c>
      <c r="Q9" s="236">
        <v>0</v>
      </c>
      <c r="R9" s="236">
        <v>0</v>
      </c>
      <c r="S9" s="236">
        <v>0</v>
      </c>
      <c r="T9" s="236">
        <v>0</v>
      </c>
      <c r="U9" s="236">
        <v>0</v>
      </c>
      <c r="V9" s="236">
        <v>0</v>
      </c>
      <c r="W9" s="236">
        <v>0</v>
      </c>
      <c r="X9" s="236">
        <v>0</v>
      </c>
      <c r="Y9" s="236">
        <v>0</v>
      </c>
      <c r="Z9" s="236">
        <v>0</v>
      </c>
      <c r="AA9" s="236">
        <v>0</v>
      </c>
      <c r="AB9" s="236">
        <v>0</v>
      </c>
      <c r="AC9" s="236">
        <v>0</v>
      </c>
      <c r="AD9" s="236">
        <v>0</v>
      </c>
      <c r="AE9" s="236">
        <v>0</v>
      </c>
      <c r="AF9" s="236">
        <v>0</v>
      </c>
      <c r="AG9" s="236">
        <v>0</v>
      </c>
      <c r="AH9" s="236">
        <v>0</v>
      </c>
      <c r="AI9" s="236">
        <v>0</v>
      </c>
      <c r="AJ9" s="236">
        <v>0</v>
      </c>
      <c r="AK9" s="236">
        <v>0</v>
      </c>
      <c r="AL9" s="236">
        <v>0</v>
      </c>
      <c r="AM9" s="236">
        <v>0</v>
      </c>
      <c r="AN9" s="236">
        <v>32445</v>
      </c>
      <c r="AO9" s="236">
        <v>0</v>
      </c>
    </row>
    <row r="10" spans="1:41" x14ac:dyDescent="0.3">
      <c r="A10" s="236" t="s">
        <v>180</v>
      </c>
      <c r="B10" s="261">
        <v>7</v>
      </c>
      <c r="C10" s="236">
        <v>29</v>
      </c>
      <c r="D10" s="236">
        <v>1</v>
      </c>
      <c r="E10" s="236">
        <v>9</v>
      </c>
      <c r="F10" s="236">
        <v>3311</v>
      </c>
      <c r="G10" s="236">
        <v>0</v>
      </c>
      <c r="H10" s="236">
        <v>2811</v>
      </c>
      <c r="I10" s="236">
        <v>0</v>
      </c>
      <c r="J10" s="236">
        <v>0</v>
      </c>
      <c r="K10" s="236">
        <v>500</v>
      </c>
      <c r="L10" s="236">
        <v>0</v>
      </c>
      <c r="M10" s="236">
        <v>0</v>
      </c>
      <c r="N10" s="236">
        <v>0</v>
      </c>
      <c r="O10" s="236">
        <v>0</v>
      </c>
      <c r="P10" s="236">
        <v>0</v>
      </c>
      <c r="Q10" s="236">
        <v>0</v>
      </c>
      <c r="R10" s="236">
        <v>0</v>
      </c>
      <c r="S10" s="236">
        <v>0</v>
      </c>
      <c r="T10" s="236">
        <v>0</v>
      </c>
      <c r="U10" s="236">
        <v>0</v>
      </c>
      <c r="V10" s="236">
        <v>0</v>
      </c>
      <c r="W10" s="236">
        <v>0</v>
      </c>
      <c r="X10" s="236">
        <v>0</v>
      </c>
      <c r="Y10" s="236">
        <v>0</v>
      </c>
      <c r="Z10" s="236">
        <v>0</v>
      </c>
      <c r="AA10" s="236">
        <v>0</v>
      </c>
      <c r="AB10" s="236">
        <v>0</v>
      </c>
      <c r="AC10" s="236">
        <v>0</v>
      </c>
      <c r="AD10" s="236">
        <v>0</v>
      </c>
      <c r="AE10" s="236">
        <v>0</v>
      </c>
      <c r="AF10" s="236">
        <v>0</v>
      </c>
      <c r="AG10" s="236">
        <v>0</v>
      </c>
      <c r="AH10" s="236">
        <v>0</v>
      </c>
      <c r="AI10" s="236">
        <v>0</v>
      </c>
      <c r="AJ10" s="236">
        <v>0</v>
      </c>
      <c r="AK10" s="236">
        <v>0</v>
      </c>
      <c r="AL10" s="236">
        <v>0</v>
      </c>
      <c r="AM10" s="236">
        <v>0</v>
      </c>
      <c r="AN10" s="236">
        <v>0</v>
      </c>
      <c r="AO10" s="236">
        <v>0</v>
      </c>
    </row>
    <row r="11" spans="1:41" x14ac:dyDescent="0.3">
      <c r="A11" s="236" t="s">
        <v>181</v>
      </c>
      <c r="B11" s="261">
        <v>8</v>
      </c>
      <c r="C11" s="236">
        <v>29</v>
      </c>
      <c r="D11" s="236">
        <v>1</v>
      </c>
      <c r="E11" s="236">
        <v>10</v>
      </c>
      <c r="F11" s="236">
        <v>18400</v>
      </c>
      <c r="G11" s="236">
        <v>0</v>
      </c>
      <c r="H11" s="236">
        <v>15000</v>
      </c>
      <c r="I11" s="236">
        <v>0</v>
      </c>
      <c r="J11" s="236">
        <v>0</v>
      </c>
      <c r="K11" s="236">
        <v>3400</v>
      </c>
      <c r="L11" s="236">
        <v>0</v>
      </c>
      <c r="M11" s="236">
        <v>0</v>
      </c>
      <c r="N11" s="236">
        <v>0</v>
      </c>
      <c r="O11" s="236">
        <v>0</v>
      </c>
      <c r="P11" s="236">
        <v>0</v>
      </c>
      <c r="Q11" s="236">
        <v>0</v>
      </c>
      <c r="R11" s="236">
        <v>0</v>
      </c>
      <c r="S11" s="236">
        <v>0</v>
      </c>
      <c r="T11" s="236">
        <v>0</v>
      </c>
      <c r="U11" s="236">
        <v>0</v>
      </c>
      <c r="V11" s="236">
        <v>0</v>
      </c>
      <c r="W11" s="236">
        <v>0</v>
      </c>
      <c r="X11" s="236">
        <v>0</v>
      </c>
      <c r="Y11" s="236">
        <v>0</v>
      </c>
      <c r="Z11" s="236">
        <v>0</v>
      </c>
      <c r="AA11" s="236">
        <v>0</v>
      </c>
      <c r="AB11" s="236">
        <v>0</v>
      </c>
      <c r="AC11" s="236">
        <v>0</v>
      </c>
      <c r="AD11" s="236">
        <v>0</v>
      </c>
      <c r="AE11" s="236">
        <v>0</v>
      </c>
      <c r="AF11" s="236">
        <v>0</v>
      </c>
      <c r="AG11" s="236">
        <v>0</v>
      </c>
      <c r="AH11" s="236">
        <v>0</v>
      </c>
      <c r="AI11" s="236">
        <v>0</v>
      </c>
      <c r="AJ11" s="236">
        <v>0</v>
      </c>
      <c r="AK11" s="236">
        <v>0</v>
      </c>
      <c r="AL11" s="236">
        <v>0</v>
      </c>
      <c r="AM11" s="236">
        <v>0</v>
      </c>
      <c r="AN11" s="236">
        <v>0</v>
      </c>
      <c r="AO11" s="236">
        <v>0</v>
      </c>
    </row>
    <row r="12" spans="1:41" x14ac:dyDescent="0.3">
      <c r="A12" s="236" t="s">
        <v>182</v>
      </c>
      <c r="B12" s="261">
        <v>9</v>
      </c>
      <c r="C12" s="236">
        <v>29</v>
      </c>
      <c r="D12" s="236">
        <v>1</v>
      </c>
      <c r="E12" s="236">
        <v>11</v>
      </c>
      <c r="F12" s="236">
        <v>3646.2639600172765</v>
      </c>
      <c r="G12" s="236">
        <v>0</v>
      </c>
      <c r="H12" s="236">
        <v>1979.5972933506098</v>
      </c>
      <c r="I12" s="236">
        <v>0</v>
      </c>
      <c r="J12" s="236">
        <v>0</v>
      </c>
      <c r="K12" s="236">
        <v>1666.6666666666667</v>
      </c>
      <c r="L12" s="236">
        <v>0</v>
      </c>
      <c r="M12" s="236">
        <v>0</v>
      </c>
      <c r="N12" s="236">
        <v>0</v>
      </c>
      <c r="O12" s="236">
        <v>0</v>
      </c>
      <c r="P12" s="236">
        <v>0</v>
      </c>
      <c r="Q12" s="236">
        <v>0</v>
      </c>
      <c r="R12" s="236">
        <v>0</v>
      </c>
      <c r="S12" s="236">
        <v>0</v>
      </c>
      <c r="T12" s="236">
        <v>0</v>
      </c>
      <c r="U12" s="236">
        <v>0</v>
      </c>
      <c r="V12" s="236">
        <v>0</v>
      </c>
      <c r="W12" s="236">
        <v>0</v>
      </c>
      <c r="X12" s="236">
        <v>0</v>
      </c>
      <c r="Y12" s="236">
        <v>0</v>
      </c>
      <c r="Z12" s="236">
        <v>0</v>
      </c>
      <c r="AA12" s="236">
        <v>0</v>
      </c>
      <c r="AB12" s="236">
        <v>0</v>
      </c>
      <c r="AC12" s="236">
        <v>0</v>
      </c>
      <c r="AD12" s="236">
        <v>0</v>
      </c>
      <c r="AE12" s="236">
        <v>0</v>
      </c>
      <c r="AF12" s="236">
        <v>0</v>
      </c>
      <c r="AG12" s="236">
        <v>0</v>
      </c>
      <c r="AH12" s="236">
        <v>0</v>
      </c>
      <c r="AI12" s="236">
        <v>0</v>
      </c>
      <c r="AJ12" s="236">
        <v>0</v>
      </c>
      <c r="AK12" s="236">
        <v>0</v>
      </c>
      <c r="AL12" s="236">
        <v>0</v>
      </c>
      <c r="AM12" s="236">
        <v>0</v>
      </c>
      <c r="AN12" s="236">
        <v>0</v>
      </c>
      <c r="AO12" s="236">
        <v>0</v>
      </c>
    </row>
    <row r="13" spans="1:41" x14ac:dyDescent="0.3">
      <c r="A13" s="236" t="s">
        <v>183</v>
      </c>
      <c r="B13" s="261">
        <v>10</v>
      </c>
      <c r="C13" s="236">
        <v>29</v>
      </c>
      <c r="D13" s="236">
        <v>2</v>
      </c>
      <c r="E13" s="236">
        <v>1</v>
      </c>
      <c r="F13" s="236">
        <v>12.95</v>
      </c>
      <c r="G13" s="236">
        <v>0</v>
      </c>
      <c r="H13" s="236">
        <v>6.45</v>
      </c>
      <c r="I13" s="236">
        <v>0</v>
      </c>
      <c r="J13" s="236">
        <v>0</v>
      </c>
      <c r="K13" s="236">
        <v>5</v>
      </c>
      <c r="L13" s="236">
        <v>0</v>
      </c>
      <c r="M13" s="236">
        <v>0</v>
      </c>
      <c r="N13" s="236">
        <v>0</v>
      </c>
      <c r="O13" s="236">
        <v>0</v>
      </c>
      <c r="P13" s="236">
        <v>0</v>
      </c>
      <c r="Q13" s="236">
        <v>0</v>
      </c>
      <c r="R13" s="236">
        <v>0</v>
      </c>
      <c r="S13" s="236">
        <v>0</v>
      </c>
      <c r="T13" s="236">
        <v>0</v>
      </c>
      <c r="U13" s="236">
        <v>0</v>
      </c>
      <c r="V13" s="236">
        <v>0</v>
      </c>
      <c r="W13" s="236">
        <v>0</v>
      </c>
      <c r="X13" s="236">
        <v>0</v>
      </c>
      <c r="Y13" s="236">
        <v>0</v>
      </c>
      <c r="Z13" s="236">
        <v>0</v>
      </c>
      <c r="AA13" s="236">
        <v>0</v>
      </c>
      <c r="AB13" s="236">
        <v>0</v>
      </c>
      <c r="AC13" s="236">
        <v>0</v>
      </c>
      <c r="AD13" s="236">
        <v>0</v>
      </c>
      <c r="AE13" s="236">
        <v>0</v>
      </c>
      <c r="AF13" s="236">
        <v>0</v>
      </c>
      <c r="AG13" s="236">
        <v>0</v>
      </c>
      <c r="AH13" s="236">
        <v>0</v>
      </c>
      <c r="AI13" s="236">
        <v>0</v>
      </c>
      <c r="AJ13" s="236">
        <v>0</v>
      </c>
      <c r="AK13" s="236">
        <v>0</v>
      </c>
      <c r="AL13" s="236">
        <v>0</v>
      </c>
      <c r="AM13" s="236">
        <v>0</v>
      </c>
      <c r="AN13" s="236">
        <v>1.5</v>
      </c>
      <c r="AO13" s="236">
        <v>0</v>
      </c>
    </row>
    <row r="14" spans="1:41" x14ac:dyDescent="0.3">
      <c r="A14" s="236" t="s">
        <v>184</v>
      </c>
      <c r="B14" s="261">
        <v>11</v>
      </c>
      <c r="C14" s="236">
        <v>29</v>
      </c>
      <c r="D14" s="236">
        <v>2</v>
      </c>
      <c r="E14" s="236">
        <v>2</v>
      </c>
      <c r="F14" s="236">
        <v>1820</v>
      </c>
      <c r="G14" s="236">
        <v>0</v>
      </c>
      <c r="H14" s="236">
        <v>832</v>
      </c>
      <c r="I14" s="236">
        <v>0</v>
      </c>
      <c r="J14" s="236">
        <v>0</v>
      </c>
      <c r="K14" s="236">
        <v>760</v>
      </c>
      <c r="L14" s="236">
        <v>0</v>
      </c>
      <c r="M14" s="236">
        <v>0</v>
      </c>
      <c r="N14" s="236">
        <v>0</v>
      </c>
      <c r="O14" s="236">
        <v>0</v>
      </c>
      <c r="P14" s="236">
        <v>0</v>
      </c>
      <c r="Q14" s="236">
        <v>0</v>
      </c>
      <c r="R14" s="236">
        <v>0</v>
      </c>
      <c r="S14" s="236">
        <v>0</v>
      </c>
      <c r="T14" s="236">
        <v>0</v>
      </c>
      <c r="U14" s="236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6">
        <v>0</v>
      </c>
      <c r="AD14" s="236">
        <v>0</v>
      </c>
      <c r="AE14" s="236">
        <v>0</v>
      </c>
      <c r="AF14" s="236">
        <v>0</v>
      </c>
      <c r="AG14" s="236">
        <v>0</v>
      </c>
      <c r="AH14" s="236">
        <v>0</v>
      </c>
      <c r="AI14" s="236">
        <v>0</v>
      </c>
      <c r="AJ14" s="236">
        <v>0</v>
      </c>
      <c r="AK14" s="236">
        <v>0</v>
      </c>
      <c r="AL14" s="236">
        <v>0</v>
      </c>
      <c r="AM14" s="236">
        <v>0</v>
      </c>
      <c r="AN14" s="236">
        <v>228</v>
      </c>
      <c r="AO14" s="236">
        <v>0</v>
      </c>
    </row>
    <row r="15" spans="1:41" x14ac:dyDescent="0.3">
      <c r="A15" s="236" t="s">
        <v>185</v>
      </c>
      <c r="B15" s="261">
        <v>12</v>
      </c>
      <c r="C15" s="236">
        <v>29</v>
      </c>
      <c r="D15" s="236">
        <v>2</v>
      </c>
      <c r="E15" s="236">
        <v>3</v>
      </c>
      <c r="F15" s="236">
        <v>4</v>
      </c>
      <c r="G15" s="236">
        <v>0</v>
      </c>
      <c r="H15" s="236">
        <v>4</v>
      </c>
      <c r="I15" s="236">
        <v>0</v>
      </c>
      <c r="J15" s="236">
        <v>0</v>
      </c>
      <c r="K15" s="236">
        <v>0</v>
      </c>
      <c r="L15" s="236">
        <v>0</v>
      </c>
      <c r="M15" s="236">
        <v>0</v>
      </c>
      <c r="N15" s="236">
        <v>0</v>
      </c>
      <c r="O15" s="236">
        <v>0</v>
      </c>
      <c r="P15" s="236">
        <v>0</v>
      </c>
      <c r="Q15" s="236">
        <v>0</v>
      </c>
      <c r="R15" s="236">
        <v>0</v>
      </c>
      <c r="S15" s="236">
        <v>0</v>
      </c>
      <c r="T15" s="236">
        <v>0</v>
      </c>
      <c r="U15" s="236">
        <v>0</v>
      </c>
      <c r="V15" s="236">
        <v>0</v>
      </c>
      <c r="W15" s="236">
        <v>0</v>
      </c>
      <c r="X15" s="236">
        <v>0</v>
      </c>
      <c r="Y15" s="236">
        <v>0</v>
      </c>
      <c r="Z15" s="236">
        <v>0</v>
      </c>
      <c r="AA15" s="236">
        <v>0</v>
      </c>
      <c r="AB15" s="236">
        <v>0</v>
      </c>
      <c r="AC15" s="236">
        <v>0</v>
      </c>
      <c r="AD15" s="236">
        <v>0</v>
      </c>
      <c r="AE15" s="236">
        <v>0</v>
      </c>
      <c r="AF15" s="236">
        <v>0</v>
      </c>
      <c r="AG15" s="236">
        <v>0</v>
      </c>
      <c r="AH15" s="236">
        <v>0</v>
      </c>
      <c r="AI15" s="236">
        <v>0</v>
      </c>
      <c r="AJ15" s="236">
        <v>0</v>
      </c>
      <c r="AK15" s="236">
        <v>0</v>
      </c>
      <c r="AL15" s="236">
        <v>0</v>
      </c>
      <c r="AM15" s="236">
        <v>0</v>
      </c>
      <c r="AN15" s="236">
        <v>0</v>
      </c>
      <c r="AO15" s="236">
        <v>0</v>
      </c>
    </row>
    <row r="16" spans="1:41" x14ac:dyDescent="0.3">
      <c r="A16" s="236" t="s">
        <v>173</v>
      </c>
      <c r="B16" s="261">
        <v>2015</v>
      </c>
      <c r="C16" s="236">
        <v>29</v>
      </c>
      <c r="D16" s="236">
        <v>2</v>
      </c>
      <c r="E16" s="236">
        <v>4</v>
      </c>
      <c r="F16" s="236">
        <v>63.5</v>
      </c>
      <c r="G16" s="236">
        <v>0</v>
      </c>
      <c r="H16" s="236">
        <v>63.5</v>
      </c>
      <c r="I16" s="236">
        <v>0</v>
      </c>
      <c r="J16" s="236">
        <v>0</v>
      </c>
      <c r="K16" s="236">
        <v>0</v>
      </c>
      <c r="L16" s="236">
        <v>0</v>
      </c>
      <c r="M16" s="236">
        <v>0</v>
      </c>
      <c r="N16" s="236">
        <v>0</v>
      </c>
      <c r="O16" s="236">
        <v>0</v>
      </c>
      <c r="P16" s="236">
        <v>0</v>
      </c>
      <c r="Q16" s="236">
        <v>0</v>
      </c>
      <c r="R16" s="236">
        <v>0</v>
      </c>
      <c r="S16" s="236">
        <v>0</v>
      </c>
      <c r="T16" s="236">
        <v>0</v>
      </c>
      <c r="U16" s="236">
        <v>0</v>
      </c>
      <c r="V16" s="236">
        <v>0</v>
      </c>
      <c r="W16" s="236">
        <v>0</v>
      </c>
      <c r="X16" s="236">
        <v>0</v>
      </c>
      <c r="Y16" s="236">
        <v>0</v>
      </c>
      <c r="Z16" s="236">
        <v>0</v>
      </c>
      <c r="AA16" s="236">
        <v>0</v>
      </c>
      <c r="AB16" s="236">
        <v>0</v>
      </c>
      <c r="AC16" s="236">
        <v>0</v>
      </c>
      <c r="AD16" s="236">
        <v>0</v>
      </c>
      <c r="AE16" s="236">
        <v>0</v>
      </c>
      <c r="AF16" s="236">
        <v>0</v>
      </c>
      <c r="AG16" s="236">
        <v>0</v>
      </c>
      <c r="AH16" s="236">
        <v>0</v>
      </c>
      <c r="AI16" s="236">
        <v>0</v>
      </c>
      <c r="AJ16" s="236">
        <v>0</v>
      </c>
      <c r="AK16" s="236">
        <v>0</v>
      </c>
      <c r="AL16" s="236">
        <v>0</v>
      </c>
      <c r="AM16" s="236">
        <v>0</v>
      </c>
      <c r="AN16" s="236">
        <v>0</v>
      </c>
      <c r="AO16" s="236">
        <v>0</v>
      </c>
    </row>
    <row r="17" spans="3:41" x14ac:dyDescent="0.3">
      <c r="C17" s="236">
        <v>29</v>
      </c>
      <c r="D17" s="236">
        <v>2</v>
      </c>
      <c r="E17" s="236">
        <v>6</v>
      </c>
      <c r="F17" s="236">
        <v>610601</v>
      </c>
      <c r="G17" s="236">
        <v>0</v>
      </c>
      <c r="H17" s="236">
        <v>439296</v>
      </c>
      <c r="I17" s="236">
        <v>0</v>
      </c>
      <c r="J17" s="236">
        <v>0</v>
      </c>
      <c r="K17" s="236">
        <v>138321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0</v>
      </c>
      <c r="U17" s="236">
        <v>0</v>
      </c>
      <c r="V17" s="236">
        <v>0</v>
      </c>
      <c r="W17" s="236">
        <v>0</v>
      </c>
      <c r="X17" s="236">
        <v>0</v>
      </c>
      <c r="Y17" s="236">
        <v>0</v>
      </c>
      <c r="Z17" s="236">
        <v>0</v>
      </c>
      <c r="AA17" s="236">
        <v>0</v>
      </c>
      <c r="AB17" s="236">
        <v>0</v>
      </c>
      <c r="AC17" s="236">
        <v>0</v>
      </c>
      <c r="AD17" s="236">
        <v>0</v>
      </c>
      <c r="AE17" s="236">
        <v>0</v>
      </c>
      <c r="AF17" s="236">
        <v>0</v>
      </c>
      <c r="AG17" s="236">
        <v>0</v>
      </c>
      <c r="AH17" s="236">
        <v>0</v>
      </c>
      <c r="AI17" s="236">
        <v>0</v>
      </c>
      <c r="AJ17" s="236">
        <v>0</v>
      </c>
      <c r="AK17" s="236">
        <v>0</v>
      </c>
      <c r="AL17" s="236">
        <v>0</v>
      </c>
      <c r="AM17" s="236">
        <v>0</v>
      </c>
      <c r="AN17" s="236">
        <v>32984</v>
      </c>
      <c r="AO17" s="236">
        <v>0</v>
      </c>
    </row>
    <row r="18" spans="3:41" x14ac:dyDescent="0.3">
      <c r="C18" s="236">
        <v>29</v>
      </c>
      <c r="D18" s="236">
        <v>2</v>
      </c>
      <c r="E18" s="236">
        <v>9</v>
      </c>
      <c r="F18" s="236">
        <v>32471</v>
      </c>
      <c r="G18" s="236">
        <v>0</v>
      </c>
      <c r="H18" s="236">
        <v>27871</v>
      </c>
      <c r="I18" s="236">
        <v>0</v>
      </c>
      <c r="J18" s="236">
        <v>0</v>
      </c>
      <c r="K18" s="236">
        <v>4000</v>
      </c>
      <c r="L18" s="236">
        <v>0</v>
      </c>
      <c r="M18" s="236">
        <v>0</v>
      </c>
      <c r="N18" s="236">
        <v>0</v>
      </c>
      <c r="O18" s="236">
        <v>0</v>
      </c>
      <c r="P18" s="236">
        <v>0</v>
      </c>
      <c r="Q18" s="236">
        <v>0</v>
      </c>
      <c r="R18" s="236">
        <v>0</v>
      </c>
      <c r="S18" s="236">
        <v>0</v>
      </c>
      <c r="T18" s="236">
        <v>0</v>
      </c>
      <c r="U18" s="236">
        <v>0</v>
      </c>
      <c r="V18" s="236">
        <v>0</v>
      </c>
      <c r="W18" s="236">
        <v>0</v>
      </c>
      <c r="X18" s="236">
        <v>0</v>
      </c>
      <c r="Y18" s="236">
        <v>0</v>
      </c>
      <c r="Z18" s="236">
        <v>0</v>
      </c>
      <c r="AA18" s="236">
        <v>0</v>
      </c>
      <c r="AB18" s="236">
        <v>0</v>
      </c>
      <c r="AC18" s="236">
        <v>0</v>
      </c>
      <c r="AD18" s="236">
        <v>0</v>
      </c>
      <c r="AE18" s="236">
        <v>0</v>
      </c>
      <c r="AF18" s="236">
        <v>0</v>
      </c>
      <c r="AG18" s="236">
        <v>0</v>
      </c>
      <c r="AH18" s="236">
        <v>0</v>
      </c>
      <c r="AI18" s="236">
        <v>0</v>
      </c>
      <c r="AJ18" s="236">
        <v>0</v>
      </c>
      <c r="AK18" s="236">
        <v>0</v>
      </c>
      <c r="AL18" s="236">
        <v>0</v>
      </c>
      <c r="AM18" s="236">
        <v>0</v>
      </c>
      <c r="AN18" s="236">
        <v>600</v>
      </c>
      <c r="AO18" s="236">
        <v>0</v>
      </c>
    </row>
    <row r="19" spans="3:41" x14ac:dyDescent="0.3">
      <c r="C19" s="236">
        <v>29</v>
      </c>
      <c r="D19" s="236">
        <v>2</v>
      </c>
      <c r="E19" s="236">
        <v>10</v>
      </c>
      <c r="F19" s="236">
        <v>2000</v>
      </c>
      <c r="G19" s="236">
        <v>0</v>
      </c>
      <c r="H19" s="236">
        <v>0</v>
      </c>
      <c r="I19" s="236">
        <v>0</v>
      </c>
      <c r="J19" s="236">
        <v>0</v>
      </c>
      <c r="K19" s="236">
        <v>2000</v>
      </c>
      <c r="L19" s="236">
        <v>0</v>
      </c>
      <c r="M19" s="236">
        <v>0</v>
      </c>
      <c r="N19" s="236">
        <v>0</v>
      </c>
      <c r="O19" s="236">
        <v>0</v>
      </c>
      <c r="P19" s="236">
        <v>0</v>
      </c>
      <c r="Q19" s="236">
        <v>0</v>
      </c>
      <c r="R19" s="236">
        <v>0</v>
      </c>
      <c r="S19" s="236">
        <v>0</v>
      </c>
      <c r="T19" s="236">
        <v>0</v>
      </c>
      <c r="U19" s="236">
        <v>0</v>
      </c>
      <c r="V19" s="236">
        <v>0</v>
      </c>
      <c r="W19" s="236">
        <v>0</v>
      </c>
      <c r="X19" s="236">
        <v>0</v>
      </c>
      <c r="Y19" s="236">
        <v>0</v>
      </c>
      <c r="Z19" s="236">
        <v>0</v>
      </c>
      <c r="AA19" s="236">
        <v>0</v>
      </c>
      <c r="AB19" s="236">
        <v>0</v>
      </c>
      <c r="AC19" s="236">
        <v>0</v>
      </c>
      <c r="AD19" s="236">
        <v>0</v>
      </c>
      <c r="AE19" s="236">
        <v>0</v>
      </c>
      <c r="AF19" s="236">
        <v>0</v>
      </c>
      <c r="AG19" s="236">
        <v>0</v>
      </c>
      <c r="AH19" s="236">
        <v>0</v>
      </c>
      <c r="AI19" s="236">
        <v>0</v>
      </c>
      <c r="AJ19" s="236">
        <v>0</v>
      </c>
      <c r="AK19" s="236">
        <v>0</v>
      </c>
      <c r="AL19" s="236">
        <v>0</v>
      </c>
      <c r="AM19" s="236">
        <v>0</v>
      </c>
      <c r="AN19" s="236">
        <v>0</v>
      </c>
      <c r="AO19" s="236">
        <v>0</v>
      </c>
    </row>
    <row r="20" spans="3:41" x14ac:dyDescent="0.3">
      <c r="C20" s="236">
        <v>29</v>
      </c>
      <c r="D20" s="236">
        <v>2</v>
      </c>
      <c r="E20" s="236">
        <v>11</v>
      </c>
      <c r="F20" s="236">
        <v>3646.2639600172765</v>
      </c>
      <c r="G20" s="236">
        <v>0</v>
      </c>
      <c r="H20" s="236">
        <v>1979.5972933506098</v>
      </c>
      <c r="I20" s="236">
        <v>0</v>
      </c>
      <c r="J20" s="236">
        <v>0</v>
      </c>
      <c r="K20" s="236">
        <v>1666.6666666666667</v>
      </c>
      <c r="L20" s="236">
        <v>0</v>
      </c>
      <c r="M20" s="236">
        <v>0</v>
      </c>
      <c r="N20" s="236">
        <v>0</v>
      </c>
      <c r="O20" s="236">
        <v>0</v>
      </c>
      <c r="P20" s="236">
        <v>0</v>
      </c>
      <c r="Q20" s="236">
        <v>0</v>
      </c>
      <c r="R20" s="236">
        <v>0</v>
      </c>
      <c r="S20" s="236">
        <v>0</v>
      </c>
      <c r="T20" s="236">
        <v>0</v>
      </c>
      <c r="U20" s="236">
        <v>0</v>
      </c>
      <c r="V20" s="236">
        <v>0</v>
      </c>
      <c r="W20" s="236">
        <v>0</v>
      </c>
      <c r="X20" s="236">
        <v>0</v>
      </c>
      <c r="Y20" s="236">
        <v>0</v>
      </c>
      <c r="Z20" s="236">
        <v>0</v>
      </c>
      <c r="AA20" s="236">
        <v>0</v>
      </c>
      <c r="AB20" s="236">
        <v>0</v>
      </c>
      <c r="AC20" s="236">
        <v>0</v>
      </c>
      <c r="AD20" s="236">
        <v>0</v>
      </c>
      <c r="AE20" s="236">
        <v>0</v>
      </c>
      <c r="AF20" s="236">
        <v>0</v>
      </c>
      <c r="AG20" s="236">
        <v>0</v>
      </c>
      <c r="AH20" s="236">
        <v>0</v>
      </c>
      <c r="AI20" s="236">
        <v>0</v>
      </c>
      <c r="AJ20" s="236">
        <v>0</v>
      </c>
      <c r="AK20" s="236">
        <v>0</v>
      </c>
      <c r="AL20" s="236">
        <v>0</v>
      </c>
      <c r="AM20" s="236">
        <v>0</v>
      </c>
      <c r="AN20" s="236">
        <v>0</v>
      </c>
      <c r="AO20" s="236">
        <v>0</v>
      </c>
    </row>
    <row r="21" spans="3:41" x14ac:dyDescent="0.3">
      <c r="C21" s="236">
        <v>29</v>
      </c>
      <c r="D21" s="236">
        <v>3</v>
      </c>
      <c r="E21" s="236">
        <v>1</v>
      </c>
      <c r="F21" s="236">
        <v>12.95</v>
      </c>
      <c r="G21" s="236">
        <v>0</v>
      </c>
      <c r="H21" s="236">
        <v>6.45</v>
      </c>
      <c r="I21" s="236">
        <v>0</v>
      </c>
      <c r="J21" s="236">
        <v>0</v>
      </c>
      <c r="K21" s="236">
        <v>5</v>
      </c>
      <c r="L21" s="236">
        <v>0</v>
      </c>
      <c r="M21" s="236">
        <v>0</v>
      </c>
      <c r="N21" s="236">
        <v>0</v>
      </c>
      <c r="O21" s="236">
        <v>0</v>
      </c>
      <c r="P21" s="236">
        <v>0</v>
      </c>
      <c r="Q21" s="236">
        <v>0</v>
      </c>
      <c r="R21" s="236">
        <v>0</v>
      </c>
      <c r="S21" s="236">
        <v>0</v>
      </c>
      <c r="T21" s="236">
        <v>0</v>
      </c>
      <c r="U21" s="236">
        <v>0</v>
      </c>
      <c r="V21" s="236">
        <v>0</v>
      </c>
      <c r="W21" s="236">
        <v>0</v>
      </c>
      <c r="X21" s="236">
        <v>0</v>
      </c>
      <c r="Y21" s="236">
        <v>0</v>
      </c>
      <c r="Z21" s="236">
        <v>0</v>
      </c>
      <c r="AA21" s="236">
        <v>0</v>
      </c>
      <c r="AB21" s="236">
        <v>0</v>
      </c>
      <c r="AC21" s="236">
        <v>0</v>
      </c>
      <c r="AD21" s="236">
        <v>0</v>
      </c>
      <c r="AE21" s="236">
        <v>0</v>
      </c>
      <c r="AF21" s="236">
        <v>0</v>
      </c>
      <c r="AG21" s="236">
        <v>0</v>
      </c>
      <c r="AH21" s="236">
        <v>0</v>
      </c>
      <c r="AI21" s="236">
        <v>0</v>
      </c>
      <c r="AJ21" s="236">
        <v>0</v>
      </c>
      <c r="AK21" s="236">
        <v>0</v>
      </c>
      <c r="AL21" s="236">
        <v>0</v>
      </c>
      <c r="AM21" s="236">
        <v>0</v>
      </c>
      <c r="AN21" s="236">
        <v>1.5</v>
      </c>
      <c r="AO21" s="236">
        <v>0</v>
      </c>
    </row>
    <row r="22" spans="3:41" x14ac:dyDescent="0.3">
      <c r="C22" s="236">
        <v>29</v>
      </c>
      <c r="D22" s="236">
        <v>3</v>
      </c>
      <c r="E22" s="236">
        <v>2</v>
      </c>
      <c r="F22" s="236">
        <v>2192</v>
      </c>
      <c r="G22" s="236">
        <v>0</v>
      </c>
      <c r="H22" s="236">
        <v>1080</v>
      </c>
      <c r="I22" s="236">
        <v>0</v>
      </c>
      <c r="J22" s="236">
        <v>0</v>
      </c>
      <c r="K22" s="236">
        <v>844</v>
      </c>
      <c r="L22" s="236">
        <v>0</v>
      </c>
      <c r="M22" s="236">
        <v>0</v>
      </c>
      <c r="N22" s="236">
        <v>0</v>
      </c>
      <c r="O22" s="236">
        <v>0</v>
      </c>
      <c r="P22" s="236">
        <v>0</v>
      </c>
      <c r="Q22" s="236">
        <v>0</v>
      </c>
      <c r="R22" s="236">
        <v>0</v>
      </c>
      <c r="S22" s="236">
        <v>0</v>
      </c>
      <c r="T22" s="236">
        <v>0</v>
      </c>
      <c r="U22" s="236">
        <v>0</v>
      </c>
      <c r="V22" s="236">
        <v>0</v>
      </c>
      <c r="W22" s="236">
        <v>0</v>
      </c>
      <c r="X22" s="236">
        <v>0</v>
      </c>
      <c r="Y22" s="236">
        <v>0</v>
      </c>
      <c r="Z22" s="236">
        <v>0</v>
      </c>
      <c r="AA22" s="236">
        <v>0</v>
      </c>
      <c r="AB22" s="236">
        <v>0</v>
      </c>
      <c r="AC22" s="236">
        <v>0</v>
      </c>
      <c r="AD22" s="236">
        <v>0</v>
      </c>
      <c r="AE22" s="236">
        <v>0</v>
      </c>
      <c r="AF22" s="236">
        <v>0</v>
      </c>
      <c r="AG22" s="236">
        <v>0</v>
      </c>
      <c r="AH22" s="236">
        <v>0</v>
      </c>
      <c r="AI22" s="236">
        <v>0</v>
      </c>
      <c r="AJ22" s="236">
        <v>0</v>
      </c>
      <c r="AK22" s="236">
        <v>0</v>
      </c>
      <c r="AL22" s="236">
        <v>0</v>
      </c>
      <c r="AM22" s="236">
        <v>0</v>
      </c>
      <c r="AN22" s="236">
        <v>268</v>
      </c>
      <c r="AO22" s="236">
        <v>0</v>
      </c>
    </row>
    <row r="23" spans="3:41" x14ac:dyDescent="0.3">
      <c r="C23" s="236">
        <v>29</v>
      </c>
      <c r="D23" s="236">
        <v>3</v>
      </c>
      <c r="E23" s="236">
        <v>4</v>
      </c>
      <c r="F23" s="236">
        <v>94</v>
      </c>
      <c r="G23" s="236">
        <v>0</v>
      </c>
      <c r="H23" s="236">
        <v>94</v>
      </c>
      <c r="I23" s="236">
        <v>0</v>
      </c>
      <c r="J23" s="236">
        <v>0</v>
      </c>
      <c r="K23" s="236">
        <v>0</v>
      </c>
      <c r="L23" s="236">
        <v>0</v>
      </c>
      <c r="M23" s="236">
        <v>0</v>
      </c>
      <c r="N23" s="236">
        <v>0</v>
      </c>
      <c r="O23" s="236">
        <v>0</v>
      </c>
      <c r="P23" s="236">
        <v>0</v>
      </c>
      <c r="Q23" s="236">
        <v>0</v>
      </c>
      <c r="R23" s="236">
        <v>0</v>
      </c>
      <c r="S23" s="236">
        <v>0</v>
      </c>
      <c r="T23" s="236">
        <v>0</v>
      </c>
      <c r="U23" s="236">
        <v>0</v>
      </c>
      <c r="V23" s="236">
        <v>0</v>
      </c>
      <c r="W23" s="236">
        <v>0</v>
      </c>
      <c r="X23" s="236">
        <v>0</v>
      </c>
      <c r="Y23" s="236">
        <v>0</v>
      </c>
      <c r="Z23" s="236">
        <v>0</v>
      </c>
      <c r="AA23" s="236">
        <v>0</v>
      </c>
      <c r="AB23" s="236">
        <v>0</v>
      </c>
      <c r="AC23" s="236">
        <v>0</v>
      </c>
      <c r="AD23" s="236">
        <v>0</v>
      </c>
      <c r="AE23" s="236">
        <v>0</v>
      </c>
      <c r="AF23" s="236">
        <v>0</v>
      </c>
      <c r="AG23" s="236">
        <v>0</v>
      </c>
      <c r="AH23" s="236">
        <v>0</v>
      </c>
      <c r="AI23" s="236">
        <v>0</v>
      </c>
      <c r="AJ23" s="236">
        <v>0</v>
      </c>
      <c r="AK23" s="236">
        <v>0</v>
      </c>
      <c r="AL23" s="236">
        <v>0</v>
      </c>
      <c r="AM23" s="236">
        <v>0</v>
      </c>
      <c r="AN23" s="236">
        <v>0</v>
      </c>
      <c r="AO23" s="236">
        <v>0</v>
      </c>
    </row>
    <row r="24" spans="3:41" x14ac:dyDescent="0.3">
      <c r="C24" s="236">
        <v>29</v>
      </c>
      <c r="D24" s="236">
        <v>3</v>
      </c>
      <c r="E24" s="236">
        <v>6</v>
      </c>
      <c r="F24" s="236">
        <v>624582</v>
      </c>
      <c r="G24" s="236">
        <v>0</v>
      </c>
      <c r="H24" s="236">
        <v>446842</v>
      </c>
      <c r="I24" s="236">
        <v>0</v>
      </c>
      <c r="J24" s="236">
        <v>0</v>
      </c>
      <c r="K24" s="236">
        <v>144395</v>
      </c>
      <c r="L24" s="236">
        <v>0</v>
      </c>
      <c r="M24" s="236">
        <v>0</v>
      </c>
      <c r="N24" s="236">
        <v>0</v>
      </c>
      <c r="O24" s="236">
        <v>0</v>
      </c>
      <c r="P24" s="236">
        <v>0</v>
      </c>
      <c r="Q24" s="236">
        <v>0</v>
      </c>
      <c r="R24" s="236">
        <v>0</v>
      </c>
      <c r="S24" s="236">
        <v>0</v>
      </c>
      <c r="T24" s="236">
        <v>0</v>
      </c>
      <c r="U24" s="236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6">
        <v>0</v>
      </c>
      <c r="AD24" s="236">
        <v>0</v>
      </c>
      <c r="AE24" s="236">
        <v>0</v>
      </c>
      <c r="AF24" s="236">
        <v>0</v>
      </c>
      <c r="AG24" s="236">
        <v>0</v>
      </c>
      <c r="AH24" s="236">
        <v>0</v>
      </c>
      <c r="AI24" s="236">
        <v>0</v>
      </c>
      <c r="AJ24" s="236">
        <v>0</v>
      </c>
      <c r="AK24" s="236">
        <v>0</v>
      </c>
      <c r="AL24" s="236">
        <v>0</v>
      </c>
      <c r="AM24" s="236">
        <v>0</v>
      </c>
      <c r="AN24" s="236">
        <v>33345</v>
      </c>
      <c r="AO24" s="236">
        <v>0</v>
      </c>
    </row>
    <row r="25" spans="3:41" x14ac:dyDescent="0.3">
      <c r="C25" s="236">
        <v>29</v>
      </c>
      <c r="D25" s="236">
        <v>3</v>
      </c>
      <c r="E25" s="236">
        <v>9</v>
      </c>
      <c r="F25" s="236">
        <v>21274</v>
      </c>
      <c r="G25" s="236">
        <v>0</v>
      </c>
      <c r="H25" s="236">
        <v>17074</v>
      </c>
      <c r="I25" s="236">
        <v>0</v>
      </c>
      <c r="J25" s="236">
        <v>0</v>
      </c>
      <c r="K25" s="236">
        <v>3300</v>
      </c>
      <c r="L25" s="236">
        <v>0</v>
      </c>
      <c r="M25" s="236">
        <v>0</v>
      </c>
      <c r="N25" s="236">
        <v>0</v>
      </c>
      <c r="O25" s="236">
        <v>0</v>
      </c>
      <c r="P25" s="236">
        <v>0</v>
      </c>
      <c r="Q25" s="236">
        <v>0</v>
      </c>
      <c r="R25" s="236">
        <v>0</v>
      </c>
      <c r="S25" s="236">
        <v>0</v>
      </c>
      <c r="T25" s="236">
        <v>0</v>
      </c>
      <c r="U25" s="236">
        <v>0</v>
      </c>
      <c r="V25" s="236">
        <v>0</v>
      </c>
      <c r="W25" s="236">
        <v>0</v>
      </c>
      <c r="X25" s="236">
        <v>0</v>
      </c>
      <c r="Y25" s="236">
        <v>0</v>
      </c>
      <c r="Z25" s="236">
        <v>0</v>
      </c>
      <c r="AA25" s="236">
        <v>0</v>
      </c>
      <c r="AB25" s="236">
        <v>0</v>
      </c>
      <c r="AC25" s="236">
        <v>0</v>
      </c>
      <c r="AD25" s="236">
        <v>0</v>
      </c>
      <c r="AE25" s="236">
        <v>0</v>
      </c>
      <c r="AF25" s="236">
        <v>0</v>
      </c>
      <c r="AG25" s="236">
        <v>0</v>
      </c>
      <c r="AH25" s="236">
        <v>0</v>
      </c>
      <c r="AI25" s="236">
        <v>0</v>
      </c>
      <c r="AJ25" s="236">
        <v>0</v>
      </c>
      <c r="AK25" s="236">
        <v>0</v>
      </c>
      <c r="AL25" s="236">
        <v>0</v>
      </c>
      <c r="AM25" s="236">
        <v>0</v>
      </c>
      <c r="AN25" s="236">
        <v>900</v>
      </c>
      <c r="AO25" s="236">
        <v>0</v>
      </c>
    </row>
    <row r="26" spans="3:41" x14ac:dyDescent="0.3">
      <c r="C26" s="236">
        <v>29</v>
      </c>
      <c r="D26" s="236">
        <v>3</v>
      </c>
      <c r="E26" s="236">
        <v>11</v>
      </c>
      <c r="F26" s="236">
        <v>3646.2639600172765</v>
      </c>
      <c r="G26" s="236">
        <v>0</v>
      </c>
      <c r="H26" s="236">
        <v>1979.5972933506098</v>
      </c>
      <c r="I26" s="236">
        <v>0</v>
      </c>
      <c r="J26" s="236">
        <v>0</v>
      </c>
      <c r="K26" s="236">
        <v>1666.6666666666667</v>
      </c>
      <c r="L26" s="236">
        <v>0</v>
      </c>
      <c r="M26" s="236">
        <v>0</v>
      </c>
      <c r="N26" s="236">
        <v>0</v>
      </c>
      <c r="O26" s="236">
        <v>0</v>
      </c>
      <c r="P26" s="236">
        <v>0</v>
      </c>
      <c r="Q26" s="236">
        <v>0</v>
      </c>
      <c r="R26" s="236">
        <v>0</v>
      </c>
      <c r="S26" s="236">
        <v>0</v>
      </c>
      <c r="T26" s="236">
        <v>0</v>
      </c>
      <c r="U26" s="236">
        <v>0</v>
      </c>
      <c r="V26" s="236">
        <v>0</v>
      </c>
      <c r="W26" s="236">
        <v>0</v>
      </c>
      <c r="X26" s="236">
        <v>0</v>
      </c>
      <c r="Y26" s="236">
        <v>0</v>
      </c>
      <c r="Z26" s="236">
        <v>0</v>
      </c>
      <c r="AA26" s="236">
        <v>0</v>
      </c>
      <c r="AB26" s="236">
        <v>0</v>
      </c>
      <c r="AC26" s="236">
        <v>0</v>
      </c>
      <c r="AD26" s="236">
        <v>0</v>
      </c>
      <c r="AE26" s="236">
        <v>0</v>
      </c>
      <c r="AF26" s="236">
        <v>0</v>
      </c>
      <c r="AG26" s="236">
        <v>0</v>
      </c>
      <c r="AH26" s="236">
        <v>0</v>
      </c>
      <c r="AI26" s="236">
        <v>0</v>
      </c>
      <c r="AJ26" s="236">
        <v>0</v>
      </c>
      <c r="AK26" s="236">
        <v>0</v>
      </c>
      <c r="AL26" s="236">
        <v>0</v>
      </c>
      <c r="AM26" s="236">
        <v>0</v>
      </c>
      <c r="AN26" s="236">
        <v>0</v>
      </c>
      <c r="AO26" s="23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5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5" customWidth="1"/>
    <col min="20" max="16384" width="8.88671875" style="133"/>
  </cols>
  <sheetData>
    <row r="1" spans="1:19" ht="18.600000000000001" customHeight="1" thickBot="1" x14ac:dyDescent="0.4">
      <c r="A1" s="402" t="s">
        <v>1297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40" t="s">
        <v>281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5" t="s">
        <v>133</v>
      </c>
      <c r="B3" s="226">
        <f>SUBTOTAL(9,B6:B1048576)</f>
        <v>907304</v>
      </c>
      <c r="C3" s="227">
        <f t="shared" ref="C3:R3" si="0">SUBTOTAL(9,C6:C1048576)</f>
        <v>2</v>
      </c>
      <c r="D3" s="227">
        <f t="shared" si="0"/>
        <v>871137</v>
      </c>
      <c r="E3" s="227">
        <f t="shared" si="0"/>
        <v>0.96433837529556587</v>
      </c>
      <c r="F3" s="227">
        <f t="shared" si="0"/>
        <v>1042374</v>
      </c>
      <c r="G3" s="228">
        <f>IF(B3&lt;&gt;0,F3/B3,"")</f>
        <v>1.1488696181213793</v>
      </c>
      <c r="H3" s="229">
        <f t="shared" si="0"/>
        <v>7894.5099999999993</v>
      </c>
      <c r="I3" s="227">
        <f t="shared" si="0"/>
        <v>1</v>
      </c>
      <c r="J3" s="227">
        <f t="shared" si="0"/>
        <v>8230.51</v>
      </c>
      <c r="K3" s="227">
        <f t="shared" si="0"/>
        <v>1.0425612229258054</v>
      </c>
      <c r="L3" s="227">
        <f t="shared" si="0"/>
        <v>11742.309999999994</v>
      </c>
      <c r="M3" s="230">
        <f>IF(H3&lt;&gt;0,L3/H3,"")</f>
        <v>1.4874020046842673</v>
      </c>
      <c r="N3" s="226">
        <f t="shared" si="0"/>
        <v>0</v>
      </c>
      <c r="O3" s="227">
        <f t="shared" si="0"/>
        <v>0</v>
      </c>
      <c r="P3" s="227">
        <f t="shared" si="0"/>
        <v>0</v>
      </c>
      <c r="Q3" s="227">
        <f t="shared" si="0"/>
        <v>0</v>
      </c>
      <c r="R3" s="227">
        <f t="shared" si="0"/>
        <v>0</v>
      </c>
      <c r="S3" s="228" t="str">
        <f>IF(N3&lt;&gt;0,R3/N3,"")</f>
        <v/>
      </c>
    </row>
    <row r="4" spans="1:19" ht="14.4" customHeight="1" x14ac:dyDescent="0.3">
      <c r="A4" s="403" t="s">
        <v>100</v>
      </c>
      <c r="B4" s="404" t="s">
        <v>101</v>
      </c>
      <c r="C4" s="405"/>
      <c r="D4" s="405"/>
      <c r="E4" s="405"/>
      <c r="F4" s="405"/>
      <c r="G4" s="406"/>
      <c r="H4" s="404" t="s">
        <v>102</v>
      </c>
      <c r="I4" s="405"/>
      <c r="J4" s="405"/>
      <c r="K4" s="405"/>
      <c r="L4" s="405"/>
      <c r="M4" s="406"/>
      <c r="N4" s="404" t="s">
        <v>103</v>
      </c>
      <c r="O4" s="405"/>
      <c r="P4" s="405"/>
      <c r="Q4" s="405"/>
      <c r="R4" s="405"/>
      <c r="S4" s="406"/>
    </row>
    <row r="5" spans="1:19" ht="14.4" customHeight="1" thickBot="1" x14ac:dyDescent="0.35">
      <c r="A5" s="603"/>
      <c r="B5" s="604">
        <v>2013</v>
      </c>
      <c r="C5" s="605"/>
      <c r="D5" s="605">
        <v>2014</v>
      </c>
      <c r="E5" s="605"/>
      <c r="F5" s="605">
        <v>2015</v>
      </c>
      <c r="G5" s="606" t="s">
        <v>2</v>
      </c>
      <c r="H5" s="604">
        <v>2013</v>
      </c>
      <c r="I5" s="605"/>
      <c r="J5" s="605">
        <v>2014</v>
      </c>
      <c r="K5" s="605"/>
      <c r="L5" s="605">
        <v>2015</v>
      </c>
      <c r="M5" s="606" t="s">
        <v>2</v>
      </c>
      <c r="N5" s="604">
        <v>2013</v>
      </c>
      <c r="O5" s="605"/>
      <c r="P5" s="605">
        <v>2014</v>
      </c>
      <c r="Q5" s="605"/>
      <c r="R5" s="605">
        <v>2015</v>
      </c>
      <c r="S5" s="606" t="s">
        <v>2</v>
      </c>
    </row>
    <row r="6" spans="1:19" ht="14.4" customHeight="1" x14ac:dyDescent="0.3">
      <c r="A6" s="562" t="s">
        <v>1292</v>
      </c>
      <c r="B6" s="607">
        <v>903352</v>
      </c>
      <c r="C6" s="463">
        <v>1</v>
      </c>
      <c r="D6" s="607">
        <v>871137</v>
      </c>
      <c r="E6" s="463">
        <v>0.96433837529556587</v>
      </c>
      <c r="F6" s="607">
        <v>1042374</v>
      </c>
      <c r="G6" s="486">
        <v>1.153895712856118</v>
      </c>
      <c r="H6" s="607">
        <v>7894.5099999999993</v>
      </c>
      <c r="I6" s="463">
        <v>1</v>
      </c>
      <c r="J6" s="607">
        <v>8230.51</v>
      </c>
      <c r="K6" s="463">
        <v>1.0425612229258054</v>
      </c>
      <c r="L6" s="607">
        <v>11742.309999999994</v>
      </c>
      <c r="M6" s="486">
        <v>1.4874020046842673</v>
      </c>
      <c r="N6" s="607"/>
      <c r="O6" s="463"/>
      <c r="P6" s="607"/>
      <c r="Q6" s="463"/>
      <c r="R6" s="607"/>
      <c r="S6" s="125"/>
    </row>
    <row r="7" spans="1:19" ht="14.4" customHeight="1" thickBot="1" x14ac:dyDescent="0.35">
      <c r="A7" s="609" t="s">
        <v>1293</v>
      </c>
      <c r="B7" s="608">
        <v>3952</v>
      </c>
      <c r="C7" s="531">
        <v>1</v>
      </c>
      <c r="D7" s="608"/>
      <c r="E7" s="531"/>
      <c r="F7" s="608"/>
      <c r="G7" s="536"/>
      <c r="H7" s="608"/>
      <c r="I7" s="531"/>
      <c r="J7" s="608"/>
      <c r="K7" s="531"/>
      <c r="L7" s="608"/>
      <c r="M7" s="536"/>
      <c r="N7" s="608"/>
      <c r="O7" s="531"/>
      <c r="P7" s="608"/>
      <c r="Q7" s="531"/>
      <c r="R7" s="608"/>
      <c r="S7" s="537"/>
    </row>
    <row r="8" spans="1:19" ht="14.4" customHeight="1" x14ac:dyDescent="0.3">
      <c r="A8" s="610" t="s">
        <v>1294</v>
      </c>
    </row>
    <row r="9" spans="1:19" ht="14.4" customHeight="1" x14ac:dyDescent="0.3">
      <c r="A9" s="611" t="s">
        <v>1295</v>
      </c>
    </row>
    <row r="10" spans="1:19" ht="14.4" customHeight="1" x14ac:dyDescent="0.3">
      <c r="A10" s="610" t="s">
        <v>1296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30" t="s">
        <v>125</v>
      </c>
      <c r="B1" s="330"/>
      <c r="C1" s="331"/>
      <c r="D1" s="331"/>
      <c r="E1" s="331"/>
    </row>
    <row r="2" spans="1:5" ht="14.4" customHeight="1" thickBot="1" x14ac:dyDescent="0.35">
      <c r="A2" s="240" t="s">
        <v>281</v>
      </c>
      <c r="B2" s="155"/>
    </row>
    <row r="3" spans="1:5" ht="14.4" customHeight="1" thickBot="1" x14ac:dyDescent="0.35">
      <c r="A3" s="158"/>
      <c r="C3" s="159" t="s">
        <v>109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3589.7807280323095</v>
      </c>
      <c r="D4" s="164">
        <f ca="1">IF(ISERROR(VLOOKUP("Náklady celkem",INDIRECT("HI!$A:$G"),5,0)),0,VLOOKUP("Náklady celkem",INDIRECT("HI!$A:$G"),5,0))</f>
        <v>3288.494390000003</v>
      </c>
      <c r="E4" s="165">
        <f ca="1">IF(C4=0,0,D4/C4)</f>
        <v>0.91607110270563719</v>
      </c>
    </row>
    <row r="5" spans="1:5" ht="14.4" customHeight="1" x14ac:dyDescent="0.3">
      <c r="A5" s="166" t="s">
        <v>154</v>
      </c>
      <c r="B5" s="167"/>
      <c r="C5" s="168"/>
      <c r="D5" s="168"/>
      <c r="E5" s="169"/>
    </row>
    <row r="6" spans="1:5" ht="14.4" customHeight="1" x14ac:dyDescent="0.3">
      <c r="A6" s="170" t="s">
        <v>159</v>
      </c>
      <c r="B6" s="171"/>
      <c r="C6" s="172"/>
      <c r="D6" s="172"/>
      <c r="E6" s="169"/>
    </row>
    <row r="7" spans="1:5" ht="14.4" customHeight="1" x14ac:dyDescent="0.3">
      <c r="A7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113</v>
      </c>
      <c r="C7" s="172">
        <f>IF(ISERROR(HI!F5),"",HI!F5)</f>
        <v>46.911041701721743</v>
      </c>
      <c r="D7" s="172">
        <f>IF(ISERROR(HI!E5),"",HI!E5)</f>
        <v>32.784909999999996</v>
      </c>
      <c r="E7" s="169">
        <f t="shared" ref="E7:E14" si="0">IF(C7=0,0,D7/C7)</f>
        <v>0.69887405631405353</v>
      </c>
    </row>
    <row r="8" spans="1:5" ht="14.4" customHeight="1" x14ac:dyDescent="0.3">
      <c r="A8" s="317" t="str">
        <f>HYPERLINK("#'LŽ Statim'!A1","% podíl statimových žádanek")</f>
        <v>% podíl statimových žádanek</v>
      </c>
      <c r="B8" s="315" t="s">
        <v>255</v>
      </c>
      <c r="C8" s="316">
        <v>0.3</v>
      </c>
      <c r="D8" s="316">
        <f>IF('LŽ Statim'!G3="",0,'LŽ Statim'!G3)</f>
        <v>3.8834951456310676E-2</v>
      </c>
      <c r="E8" s="169">
        <f>IF(C8=0,0,D8/C8)</f>
        <v>0.12944983818770225</v>
      </c>
    </row>
    <row r="9" spans="1:5" ht="14.4" customHeight="1" x14ac:dyDescent="0.3">
      <c r="A9" s="175" t="s">
        <v>155</v>
      </c>
      <c r="B9" s="171"/>
      <c r="C9" s="172"/>
      <c r="D9" s="172"/>
      <c r="E9" s="169"/>
    </row>
    <row r="10" spans="1:5" ht="14.4" customHeight="1" x14ac:dyDescent="0.3">
      <c r="A10" s="173" t="str">
        <f>HYPERLINK("#'Léky Recepty'!A1","% záchytu v lékárně (Úhrada Kč)")</f>
        <v>% záchytu v lékárně (Úhrada Kč)</v>
      </c>
      <c r="B10" s="171" t="s">
        <v>118</v>
      </c>
      <c r="C10" s="174">
        <v>0.6</v>
      </c>
      <c r="D10" s="174">
        <f>IF(ISERROR(VLOOKUP("Celkem",'Léky Recepty'!B:H,5,0)),0,VLOOKUP("Celkem",'Léky Recepty'!B:H,5,0))</f>
        <v>0.72893169492900167</v>
      </c>
      <c r="E10" s="169">
        <f t="shared" si="0"/>
        <v>1.2148861582150028</v>
      </c>
    </row>
    <row r="11" spans="1:5" ht="14.4" customHeight="1" x14ac:dyDescent="0.3">
      <c r="A11" s="173" t="str">
        <f>HYPERLINK("#'LRp PL'!A1","% plnění pozitivního listu")</f>
        <v>% plnění pozitivního listu</v>
      </c>
      <c r="B11" s="171" t="s">
        <v>148</v>
      </c>
      <c r="C11" s="174">
        <v>0.8</v>
      </c>
      <c r="D11" s="174">
        <f>IF(ISERROR(VLOOKUP("Celkem",'LRp PL'!A:F,5,0)),0,VLOOKUP("Celkem",'LRp PL'!A:F,5,0))</f>
        <v>0.99171811173561841</v>
      </c>
      <c r="E11" s="169">
        <f t="shared" si="0"/>
        <v>1.2396476396695228</v>
      </c>
    </row>
    <row r="12" spans="1:5" ht="14.4" customHeight="1" x14ac:dyDescent="0.3">
      <c r="A12" s="175" t="s">
        <v>156</v>
      </c>
      <c r="B12" s="171"/>
      <c r="C12" s="172"/>
      <c r="D12" s="172"/>
      <c r="E12" s="169"/>
    </row>
    <row r="13" spans="1:5" ht="14.4" customHeight="1" x14ac:dyDescent="0.3">
      <c r="A13" s="176" t="s">
        <v>160</v>
      </c>
      <c r="B13" s="171"/>
      <c r="C13" s="168"/>
      <c r="D13" s="168"/>
      <c r="E13" s="169"/>
    </row>
    <row r="14" spans="1:5" ht="14.4" customHeight="1" x14ac:dyDescent="0.3">
      <c r="A14" s="17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71" t="s">
        <v>113</v>
      </c>
      <c r="C14" s="172">
        <f>IF(ISERROR(HI!F6),"",HI!F6)</f>
        <v>529.4306919718365</v>
      </c>
      <c r="D14" s="172">
        <f>IF(ISERROR(HI!E6),"",HI!E6)</f>
        <v>320.94428999999997</v>
      </c>
      <c r="E14" s="169">
        <f t="shared" si="0"/>
        <v>0.6062064305427024</v>
      </c>
    </row>
    <row r="15" spans="1:5" ht="14.4" customHeight="1" thickBot="1" x14ac:dyDescent="0.35">
      <c r="A15" s="178" t="str">
        <f>HYPERLINK("#HI!A1","Osobní náklady")</f>
        <v>Osobní náklady</v>
      </c>
      <c r="B15" s="171"/>
      <c r="C15" s="168">
        <f ca="1">IF(ISERROR(VLOOKUP("Osobní náklady (Kč) *",INDIRECT("HI!$A:$G"),6,0)),0,VLOOKUP("Osobní náklady (Kč) *",INDIRECT("HI!$A:$G"),6,0))</f>
        <v>2536.9999200906477</v>
      </c>
      <c r="D15" s="168">
        <f ca="1">IF(ISERROR(VLOOKUP("Osobní náklady (Kč) *",INDIRECT("HI!$A:$G"),5,0)),0,VLOOKUP("Osobní náklady (Kč) *",INDIRECT("HI!$A:$G"),5,0))</f>
        <v>2474.5957400000034</v>
      </c>
      <c r="E15" s="169">
        <f ca="1">IF(C15=0,0,D15/C15)</f>
        <v>0.97540237207086133</v>
      </c>
    </row>
    <row r="16" spans="1:5" ht="14.4" customHeight="1" thickBot="1" x14ac:dyDescent="0.35">
      <c r="A16" s="182"/>
      <c r="B16" s="183"/>
      <c r="C16" s="184"/>
      <c r="D16" s="184"/>
      <c r="E16" s="185"/>
    </row>
    <row r="17" spans="1:5" ht="14.4" customHeight="1" thickBot="1" x14ac:dyDescent="0.35">
      <c r="A17" s="186" t="str">
        <f>HYPERLINK("#HI!A1","VÝNOSY CELKEM (v tisících)")</f>
        <v>VÝNOSY CELKEM (v tisících)</v>
      </c>
      <c r="B17" s="187"/>
      <c r="C17" s="188">
        <f ca="1">IF(ISERROR(VLOOKUP("Výnosy celkem",INDIRECT("HI!$A:$G"),6,0)),0,VLOOKUP("Výnosy celkem",INDIRECT("HI!$A:$G"),6,0))</f>
        <v>907.30399999999997</v>
      </c>
      <c r="D17" s="188">
        <f ca="1">IF(ISERROR(VLOOKUP("Výnosy celkem",INDIRECT("HI!$A:$G"),5,0)),0,VLOOKUP("Výnosy celkem",INDIRECT("HI!$A:$G"),5,0))</f>
        <v>1042.374</v>
      </c>
      <c r="E17" s="189">
        <f t="shared" ref="E17:E22" ca="1" si="1">IF(C17=0,0,D17/C17)</f>
        <v>1.1488696181213793</v>
      </c>
    </row>
    <row r="18" spans="1:5" ht="14.4" customHeight="1" x14ac:dyDescent="0.3">
      <c r="A18" s="190" t="str">
        <f>HYPERLINK("#HI!A1","Ambulance (body za výkony + Kč za ZUM a ZULP)")</f>
        <v>Ambulance (body za výkony + Kč za ZUM a ZULP)</v>
      </c>
      <c r="B18" s="167"/>
      <c r="C18" s="168">
        <f ca="1">IF(ISERROR(VLOOKUP("Ambulance *",INDIRECT("HI!$A:$G"),6,0)),0,VLOOKUP("Ambulance *",INDIRECT("HI!$A:$G"),6,0))</f>
        <v>907.30399999999997</v>
      </c>
      <c r="D18" s="168">
        <f ca="1">IF(ISERROR(VLOOKUP("Ambulance *",INDIRECT("HI!$A:$G"),5,0)),0,VLOOKUP("Ambulance *",INDIRECT("HI!$A:$G"),5,0))</f>
        <v>1042.374</v>
      </c>
      <c r="E18" s="169">
        <f t="shared" ca="1" si="1"/>
        <v>1.1488696181213793</v>
      </c>
    </row>
    <row r="19" spans="1:5" ht="14.4" customHeight="1" x14ac:dyDescent="0.3">
      <c r="A19" s="191" t="str">
        <f>HYPERLINK("#'ZV Vykáz.-A'!A1","Zdravotní výkony vykázané u ambulantních pacientů (min. 100 %)")</f>
        <v>Zdravotní výkony vykázané u ambulantních pacientů (min. 100 %)</v>
      </c>
      <c r="B19" s="154" t="s">
        <v>127</v>
      </c>
      <c r="C19" s="174">
        <v>1</v>
      </c>
      <c r="D19" s="174">
        <f>IF(ISERROR(VLOOKUP("Celkem:",'ZV Vykáz.-A'!$A:$S,7,0)),"",VLOOKUP("Celkem:",'ZV Vykáz.-A'!$A:$S,7,0))</f>
        <v>1.1488696181213793</v>
      </c>
      <c r="E19" s="169">
        <f t="shared" si="1"/>
        <v>1.1488696181213793</v>
      </c>
    </row>
    <row r="20" spans="1:5" ht="14.4" customHeight="1" x14ac:dyDescent="0.3">
      <c r="A20" s="191" t="str">
        <f>HYPERLINK("#'ZV Vykáz.-H'!A1","Zdravotní výkony vykázané u hospitalizovaných pacientů (max. 85 %)")</f>
        <v>Zdravotní výkony vykázané u hospitalizovaných pacientů (max. 85 %)</v>
      </c>
      <c r="B20" s="154" t="s">
        <v>129</v>
      </c>
      <c r="C20" s="174">
        <v>0.85</v>
      </c>
      <c r="D20" s="174">
        <f>IF(ISERROR(VLOOKUP("Celkem:",'ZV Vykáz.-H'!$A:$S,7,0)),"",VLOOKUP("Celkem:",'ZV Vykáz.-H'!$A:$S,7,0))</f>
        <v>2.8951327786490868</v>
      </c>
      <c r="E20" s="169">
        <f t="shared" si="1"/>
        <v>3.4060385631165726</v>
      </c>
    </row>
    <row r="21" spans="1:5" ht="14.4" customHeight="1" x14ac:dyDescent="0.3">
      <c r="A21" s="192" t="str">
        <f>HYPERLINK("#HI!A1","Hospitalizace (casemix * 30000)")</f>
        <v>Hospitalizace (casemix * 30000)</v>
      </c>
      <c r="B21" s="171"/>
      <c r="C21" s="168">
        <f ca="1">IF(ISERROR(VLOOKUP("Hospitalizace *",INDIRECT("HI!$A:$G"),6,0)),0,VLOOKUP("Hospitalizace *",INDIRECT("HI!$A:$G"),6,0))</f>
        <v>0</v>
      </c>
      <c r="D21" s="168">
        <f ca="1">IF(ISERROR(VLOOKUP("Hospitalizace *",INDIRECT("HI!$A:$G"),5,0)),0,VLOOKUP("Hospitalizace *",INDIRECT("HI!$A:$G"),5,0))</f>
        <v>0</v>
      </c>
      <c r="E21" s="169">
        <f ca="1">IF(C21=0,0,D21/C21)</f>
        <v>0</v>
      </c>
    </row>
    <row r="22" spans="1:5" ht="27.6" x14ac:dyDescent="0.3">
      <c r="A22" s="19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2" s="171" t="s">
        <v>124</v>
      </c>
      <c r="C22" s="174" t="e">
        <f>IF(#REF!&gt;1,95%,95%-2*ABS(#REF!-#REF!))</f>
        <v>#REF!</v>
      </c>
      <c r="D22" s="174">
        <f>IF(ISERROR(VLOOKUP("Celkem:",'ZV Vyžád.'!$A:$M,7,0)),"",VLOOKUP("Celkem:",'ZV Vyžád.'!$A:$M,7,0))</f>
        <v>3.5067745577719231E-2</v>
      </c>
      <c r="E22" s="169" t="e">
        <f t="shared" si="1"/>
        <v>#REF!</v>
      </c>
    </row>
    <row r="23" spans="1:5" ht="14.4" customHeight="1" thickBot="1" x14ac:dyDescent="0.35">
      <c r="A23" s="194" t="s">
        <v>157</v>
      </c>
      <c r="B23" s="179"/>
      <c r="C23" s="180"/>
      <c r="D23" s="180"/>
      <c r="E23" s="181"/>
    </row>
    <row r="24" spans="1:5" ht="14.4" customHeight="1" thickBot="1" x14ac:dyDescent="0.35">
      <c r="A24" s="195"/>
      <c r="B24" s="196"/>
      <c r="C24" s="197"/>
      <c r="D24" s="197"/>
      <c r="E24" s="198"/>
    </row>
    <row r="25" spans="1:5" ht="14.4" customHeight="1" thickBot="1" x14ac:dyDescent="0.35">
      <c r="A25" s="199" t="s">
        <v>158</v>
      </c>
      <c r="B25" s="200"/>
      <c r="C25" s="201"/>
      <c r="D25" s="201"/>
      <c r="E25" s="202"/>
    </row>
  </sheetData>
  <mergeCells count="1">
    <mergeCell ref="A1:E1"/>
  </mergeCells>
  <conditionalFormatting sqref="E5">
    <cfRule type="cellIs" dxfId="6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0" priority="20" operator="lessThan">
      <formula>1</formula>
    </cfRule>
  </conditionalFormatting>
  <conditionalFormatting sqref="E8">
    <cfRule type="cellIs" dxfId="5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2 E4 E7 E14 E20">
    <cfRule type="cellIs" dxfId="58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3" bestFit="1" customWidth="1"/>
    <col min="2" max="4" width="7.77734375" style="212" customWidth="1"/>
    <col min="5" max="7" width="7.77734375" style="109" customWidth="1"/>
    <col min="8" max="16384" width="8.88671875" style="133"/>
  </cols>
  <sheetData>
    <row r="1" spans="1:7" ht="18.600000000000001" customHeight="1" thickBot="1" x14ac:dyDescent="0.4">
      <c r="A1" s="402" t="s">
        <v>1301</v>
      </c>
      <c r="B1" s="330"/>
      <c r="C1" s="330"/>
      <c r="D1" s="330"/>
      <c r="E1" s="330"/>
      <c r="F1" s="330"/>
      <c r="G1" s="330"/>
    </row>
    <row r="2" spans="1:7" ht="14.4" customHeight="1" thickBot="1" x14ac:dyDescent="0.35">
      <c r="A2" s="240" t="s">
        <v>281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25" t="s">
        <v>133</v>
      </c>
      <c r="B3" s="320">
        <f t="shared" ref="B3:G3" si="0">SUBTOTAL(9,B6:B1048576)</f>
        <v>5272</v>
      </c>
      <c r="C3" s="321">
        <f t="shared" si="0"/>
        <v>5574</v>
      </c>
      <c r="D3" s="321">
        <f t="shared" si="0"/>
        <v>6389</v>
      </c>
      <c r="E3" s="229">
        <f t="shared" si="0"/>
        <v>907304</v>
      </c>
      <c r="F3" s="227">
        <f t="shared" si="0"/>
        <v>871137</v>
      </c>
      <c r="G3" s="322">
        <f t="shared" si="0"/>
        <v>1042374</v>
      </c>
    </row>
    <row r="4" spans="1:7" ht="14.4" customHeight="1" x14ac:dyDescent="0.3">
      <c r="A4" s="403" t="s">
        <v>140</v>
      </c>
      <c r="B4" s="404" t="s">
        <v>257</v>
      </c>
      <c r="C4" s="405"/>
      <c r="D4" s="405"/>
      <c r="E4" s="407" t="s">
        <v>101</v>
      </c>
      <c r="F4" s="408"/>
      <c r="G4" s="409"/>
    </row>
    <row r="5" spans="1:7" ht="14.4" customHeight="1" thickBot="1" x14ac:dyDescent="0.35">
      <c r="A5" s="603"/>
      <c r="B5" s="604">
        <v>2013</v>
      </c>
      <c r="C5" s="605">
        <v>2014</v>
      </c>
      <c r="D5" s="605">
        <v>2015</v>
      </c>
      <c r="E5" s="604">
        <v>2013</v>
      </c>
      <c r="F5" s="605">
        <v>2014</v>
      </c>
      <c r="G5" s="612">
        <v>2015</v>
      </c>
    </row>
    <row r="6" spans="1:7" ht="14.4" customHeight="1" x14ac:dyDescent="0.3">
      <c r="A6" s="562" t="s">
        <v>1298</v>
      </c>
      <c r="B6" s="466">
        <v>864</v>
      </c>
      <c r="C6" s="466">
        <v>18</v>
      </c>
      <c r="D6" s="466">
        <v>1952</v>
      </c>
      <c r="E6" s="607">
        <v>153248</v>
      </c>
      <c r="F6" s="607">
        <v>1821</v>
      </c>
      <c r="G6" s="613">
        <v>7648</v>
      </c>
    </row>
    <row r="7" spans="1:7" ht="14.4" customHeight="1" x14ac:dyDescent="0.3">
      <c r="A7" s="563" t="s">
        <v>607</v>
      </c>
      <c r="B7" s="551">
        <v>325</v>
      </c>
      <c r="C7" s="551">
        <v>299</v>
      </c>
      <c r="D7" s="551">
        <v>1160</v>
      </c>
      <c r="E7" s="614">
        <v>58920</v>
      </c>
      <c r="F7" s="614">
        <v>45738</v>
      </c>
      <c r="G7" s="615">
        <v>285569</v>
      </c>
    </row>
    <row r="8" spans="1:7" ht="14.4" customHeight="1" x14ac:dyDescent="0.3">
      <c r="A8" s="563" t="s">
        <v>608</v>
      </c>
      <c r="B8" s="551">
        <v>1182</v>
      </c>
      <c r="C8" s="551">
        <v>993</v>
      </c>
      <c r="D8" s="551">
        <v>544</v>
      </c>
      <c r="E8" s="614">
        <v>196863</v>
      </c>
      <c r="F8" s="614">
        <v>128818</v>
      </c>
      <c r="G8" s="615">
        <v>132771</v>
      </c>
    </row>
    <row r="9" spans="1:7" ht="14.4" customHeight="1" x14ac:dyDescent="0.3">
      <c r="A9" s="563" t="s">
        <v>1299</v>
      </c>
      <c r="B9" s="551">
        <v>574</v>
      </c>
      <c r="C9" s="551">
        <v>540</v>
      </c>
      <c r="D9" s="551">
        <v>19</v>
      </c>
      <c r="E9" s="614">
        <v>83609</v>
      </c>
      <c r="F9" s="614">
        <v>76678</v>
      </c>
      <c r="G9" s="615">
        <v>7493</v>
      </c>
    </row>
    <row r="10" spans="1:7" ht="14.4" customHeight="1" x14ac:dyDescent="0.3">
      <c r="A10" s="563" t="s">
        <v>1300</v>
      </c>
      <c r="B10" s="551"/>
      <c r="C10" s="551">
        <v>1041</v>
      </c>
      <c r="D10" s="551">
        <v>75</v>
      </c>
      <c r="E10" s="614"/>
      <c r="F10" s="614">
        <v>190668</v>
      </c>
      <c r="G10" s="615">
        <v>16395</v>
      </c>
    </row>
    <row r="11" spans="1:7" ht="14.4" customHeight="1" x14ac:dyDescent="0.3">
      <c r="A11" s="563" t="s">
        <v>609</v>
      </c>
      <c r="B11" s="551">
        <v>670</v>
      </c>
      <c r="C11" s="551">
        <v>657</v>
      </c>
      <c r="D11" s="551">
        <v>533</v>
      </c>
      <c r="E11" s="614">
        <v>106574</v>
      </c>
      <c r="F11" s="614">
        <v>88944</v>
      </c>
      <c r="G11" s="615">
        <v>116375</v>
      </c>
    </row>
    <row r="12" spans="1:7" ht="14.4" customHeight="1" x14ac:dyDescent="0.3">
      <c r="A12" s="563" t="s">
        <v>610</v>
      </c>
      <c r="B12" s="551">
        <v>912</v>
      </c>
      <c r="C12" s="551">
        <v>526</v>
      </c>
      <c r="D12" s="551">
        <v>334</v>
      </c>
      <c r="E12" s="614">
        <v>156809</v>
      </c>
      <c r="F12" s="614">
        <v>112621</v>
      </c>
      <c r="G12" s="615">
        <v>86377</v>
      </c>
    </row>
    <row r="13" spans="1:7" ht="14.4" customHeight="1" x14ac:dyDescent="0.3">
      <c r="A13" s="563" t="s">
        <v>612</v>
      </c>
      <c r="B13" s="551">
        <v>303</v>
      </c>
      <c r="C13" s="551">
        <v>1019</v>
      </c>
      <c r="D13" s="551">
        <v>1327</v>
      </c>
      <c r="E13" s="614">
        <v>70631</v>
      </c>
      <c r="F13" s="614">
        <v>167462</v>
      </c>
      <c r="G13" s="615">
        <v>278263</v>
      </c>
    </row>
    <row r="14" spans="1:7" ht="14.4" customHeight="1" thickBot="1" x14ac:dyDescent="0.35">
      <c r="A14" s="609" t="s">
        <v>611</v>
      </c>
      <c r="B14" s="553">
        <v>442</v>
      </c>
      <c r="C14" s="553">
        <v>481</v>
      </c>
      <c r="D14" s="553">
        <v>445</v>
      </c>
      <c r="E14" s="608">
        <v>80650</v>
      </c>
      <c r="F14" s="608">
        <v>58387</v>
      </c>
      <c r="G14" s="616">
        <v>111483</v>
      </c>
    </row>
    <row r="15" spans="1:7" ht="14.4" customHeight="1" x14ac:dyDescent="0.3">
      <c r="A15" s="610" t="s">
        <v>1294</v>
      </c>
    </row>
    <row r="16" spans="1:7" ht="14.4" customHeight="1" x14ac:dyDescent="0.3">
      <c r="A16" s="611" t="s">
        <v>1295</v>
      </c>
    </row>
    <row r="17" spans="1:1" ht="14.4" customHeight="1" x14ac:dyDescent="0.3">
      <c r="A17" s="610" t="s">
        <v>1296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99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3" bestFit="1" customWidth="1"/>
    <col min="2" max="2" width="2.109375" style="133" bestFit="1" customWidth="1"/>
    <col min="3" max="3" width="8" style="133" customWidth="1"/>
    <col min="4" max="4" width="50.88671875" style="133" bestFit="1" customWidth="1"/>
    <col min="5" max="6" width="11.109375" style="212" customWidth="1"/>
    <col min="7" max="8" width="9.33203125" style="133" hidden="1" customWidth="1"/>
    <col min="9" max="10" width="11.109375" style="212" customWidth="1"/>
    <col min="11" max="12" width="9.33203125" style="133" hidden="1" customWidth="1"/>
    <col min="13" max="14" width="11.109375" style="212" customWidth="1"/>
    <col min="15" max="15" width="11.109375" style="215" customWidth="1"/>
    <col min="16" max="16" width="11.109375" style="212" customWidth="1"/>
    <col min="17" max="16384" width="8.88671875" style="133"/>
  </cols>
  <sheetData>
    <row r="1" spans="1:16" ht="18.600000000000001" customHeight="1" thickBot="1" x14ac:dyDescent="0.4">
      <c r="A1" s="330" t="s">
        <v>1491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</row>
    <row r="2" spans="1:16" ht="14.4" customHeight="1" thickBot="1" x14ac:dyDescent="0.35">
      <c r="A2" s="240" t="s">
        <v>281</v>
      </c>
      <c r="B2" s="134"/>
      <c r="C2" s="319"/>
      <c r="D2" s="134"/>
      <c r="E2" s="233"/>
      <c r="F2" s="233"/>
      <c r="G2" s="134"/>
      <c r="H2" s="134"/>
      <c r="I2" s="233"/>
      <c r="J2" s="233"/>
      <c r="K2" s="134"/>
      <c r="L2" s="134"/>
      <c r="M2" s="233"/>
      <c r="N2" s="233"/>
      <c r="O2" s="234"/>
      <c r="P2" s="233"/>
    </row>
    <row r="3" spans="1:16" ht="14.4" customHeight="1" thickBot="1" x14ac:dyDescent="0.35">
      <c r="D3" s="87" t="s">
        <v>133</v>
      </c>
      <c r="E3" s="103">
        <f t="shared" ref="E3:N3" si="0">SUBTOTAL(9,E6:E1048576)</f>
        <v>5317.45</v>
      </c>
      <c r="F3" s="104">
        <f t="shared" si="0"/>
        <v>915198.51</v>
      </c>
      <c r="G3" s="74"/>
      <c r="H3" s="74"/>
      <c r="I3" s="104">
        <f t="shared" si="0"/>
        <v>5627.5</v>
      </c>
      <c r="J3" s="104">
        <f t="shared" si="0"/>
        <v>879367.51</v>
      </c>
      <c r="K3" s="74"/>
      <c r="L3" s="74"/>
      <c r="M3" s="104">
        <f t="shared" si="0"/>
        <v>6462.8099999999995</v>
      </c>
      <c r="N3" s="104">
        <f t="shared" si="0"/>
        <v>1054116.31</v>
      </c>
      <c r="O3" s="75">
        <f>IF(F3=0,0,N3/F3)</f>
        <v>1.1517898013186232</v>
      </c>
      <c r="P3" s="105">
        <f>IF(M3=0,0,N3/M3)</f>
        <v>163.10495125185486</v>
      </c>
    </row>
    <row r="4" spans="1:16" ht="14.4" customHeight="1" x14ac:dyDescent="0.3">
      <c r="A4" s="411" t="s">
        <v>96</v>
      </c>
      <c r="B4" s="412" t="s">
        <v>97</v>
      </c>
      <c r="C4" s="417" t="s">
        <v>71</v>
      </c>
      <c r="D4" s="413" t="s">
        <v>70</v>
      </c>
      <c r="E4" s="414">
        <v>2013</v>
      </c>
      <c r="F4" s="415"/>
      <c r="G4" s="102"/>
      <c r="H4" s="102"/>
      <c r="I4" s="414">
        <v>2014</v>
      </c>
      <c r="J4" s="415"/>
      <c r="K4" s="102"/>
      <c r="L4" s="102"/>
      <c r="M4" s="414">
        <v>2015</v>
      </c>
      <c r="N4" s="415"/>
      <c r="O4" s="416" t="s">
        <v>2</v>
      </c>
      <c r="P4" s="410" t="s">
        <v>99</v>
      </c>
    </row>
    <row r="5" spans="1:16" ht="14.4" customHeight="1" thickBot="1" x14ac:dyDescent="0.35">
      <c r="A5" s="617"/>
      <c r="B5" s="618"/>
      <c r="C5" s="619"/>
      <c r="D5" s="620"/>
      <c r="E5" s="621" t="s">
        <v>72</v>
      </c>
      <c r="F5" s="622" t="s">
        <v>14</v>
      </c>
      <c r="G5" s="623"/>
      <c r="H5" s="623"/>
      <c r="I5" s="621" t="s">
        <v>72</v>
      </c>
      <c r="J5" s="622" t="s">
        <v>14</v>
      </c>
      <c r="K5" s="623"/>
      <c r="L5" s="623"/>
      <c r="M5" s="621" t="s">
        <v>72</v>
      </c>
      <c r="N5" s="622" t="s">
        <v>14</v>
      </c>
      <c r="O5" s="624"/>
      <c r="P5" s="625"/>
    </row>
    <row r="6" spans="1:16" ht="14.4" customHeight="1" x14ac:dyDescent="0.3">
      <c r="A6" s="523" t="s">
        <v>1302</v>
      </c>
      <c r="B6" s="463" t="s">
        <v>1303</v>
      </c>
      <c r="C6" s="463" t="s">
        <v>1304</v>
      </c>
      <c r="D6" s="463" t="s">
        <v>1305</v>
      </c>
      <c r="E6" s="466"/>
      <c r="F6" s="466"/>
      <c r="G6" s="463"/>
      <c r="H6" s="463"/>
      <c r="I6" s="466">
        <v>6.2</v>
      </c>
      <c r="J6" s="466">
        <v>699.3599999999999</v>
      </c>
      <c r="K6" s="463"/>
      <c r="L6" s="463">
        <v>112.79999999999998</v>
      </c>
      <c r="M6" s="466">
        <v>17.599999999999998</v>
      </c>
      <c r="N6" s="466">
        <v>2043.3600000000001</v>
      </c>
      <c r="O6" s="486"/>
      <c r="P6" s="550">
        <v>116.10000000000002</v>
      </c>
    </row>
    <row r="7" spans="1:16" ht="14.4" customHeight="1" x14ac:dyDescent="0.3">
      <c r="A7" s="538" t="s">
        <v>1302</v>
      </c>
      <c r="B7" s="539" t="s">
        <v>1303</v>
      </c>
      <c r="C7" s="539" t="s">
        <v>1306</v>
      </c>
      <c r="D7" s="539" t="s">
        <v>1307</v>
      </c>
      <c r="E7" s="551">
        <v>37.70000000000001</v>
      </c>
      <c r="F7" s="551">
        <v>5953.1899999999987</v>
      </c>
      <c r="G7" s="539">
        <v>1</v>
      </c>
      <c r="H7" s="539">
        <v>157.90954907161796</v>
      </c>
      <c r="I7" s="551">
        <v>38.800000000000004</v>
      </c>
      <c r="J7" s="551">
        <v>6126.8100000000013</v>
      </c>
      <c r="K7" s="539">
        <v>1.0291641960024798</v>
      </c>
      <c r="L7" s="539">
        <v>157.90747422680414</v>
      </c>
      <c r="M7" s="551">
        <v>43.009999999999991</v>
      </c>
      <c r="N7" s="551">
        <v>6465.9300000000012</v>
      </c>
      <c r="O7" s="544">
        <v>1.0861286133988672</v>
      </c>
      <c r="P7" s="552">
        <v>150.33550337130904</v>
      </c>
    </row>
    <row r="8" spans="1:16" ht="14.4" customHeight="1" x14ac:dyDescent="0.3">
      <c r="A8" s="538" t="s">
        <v>1302</v>
      </c>
      <c r="B8" s="539" t="s">
        <v>1303</v>
      </c>
      <c r="C8" s="539" t="s">
        <v>1308</v>
      </c>
      <c r="D8" s="539" t="s">
        <v>1309</v>
      </c>
      <c r="E8" s="551">
        <v>5.2500000000000009</v>
      </c>
      <c r="F8" s="551">
        <v>1391.7699999999998</v>
      </c>
      <c r="G8" s="539">
        <v>1</v>
      </c>
      <c r="H8" s="539">
        <v>265.09904761904755</v>
      </c>
      <c r="I8" s="551">
        <v>3.8000000000000007</v>
      </c>
      <c r="J8" s="551">
        <v>1007.3799999999999</v>
      </c>
      <c r="K8" s="539">
        <v>0.72381212412970541</v>
      </c>
      <c r="L8" s="539">
        <v>265.09999999999991</v>
      </c>
      <c r="M8" s="551">
        <v>12.4</v>
      </c>
      <c r="N8" s="551">
        <v>3144.0200000000004</v>
      </c>
      <c r="O8" s="544">
        <v>2.2590083131551917</v>
      </c>
      <c r="P8" s="552">
        <v>253.55000000000004</v>
      </c>
    </row>
    <row r="9" spans="1:16" ht="14.4" customHeight="1" x14ac:dyDescent="0.3">
      <c r="A9" s="538" t="s">
        <v>1302</v>
      </c>
      <c r="B9" s="539" t="s">
        <v>1303</v>
      </c>
      <c r="C9" s="539" t="s">
        <v>1310</v>
      </c>
      <c r="D9" s="539" t="s">
        <v>1311</v>
      </c>
      <c r="E9" s="551"/>
      <c r="F9" s="551"/>
      <c r="G9" s="539"/>
      <c r="H9" s="539"/>
      <c r="I9" s="551">
        <v>0.1</v>
      </c>
      <c r="J9" s="551">
        <v>10.54</v>
      </c>
      <c r="K9" s="539"/>
      <c r="L9" s="539">
        <v>105.39999999999999</v>
      </c>
      <c r="M9" s="551"/>
      <c r="N9" s="551"/>
      <c r="O9" s="544"/>
      <c r="P9" s="552"/>
    </row>
    <row r="10" spans="1:16" ht="14.4" customHeight="1" x14ac:dyDescent="0.3">
      <c r="A10" s="538" t="s">
        <v>1302</v>
      </c>
      <c r="B10" s="539" t="s">
        <v>1303</v>
      </c>
      <c r="C10" s="539" t="s">
        <v>1312</v>
      </c>
      <c r="D10" s="539" t="s">
        <v>1313</v>
      </c>
      <c r="E10" s="551"/>
      <c r="F10" s="551"/>
      <c r="G10" s="539"/>
      <c r="H10" s="539"/>
      <c r="I10" s="551">
        <v>0</v>
      </c>
      <c r="J10" s="551">
        <v>0</v>
      </c>
      <c r="K10" s="539"/>
      <c r="L10" s="539"/>
      <c r="M10" s="551"/>
      <c r="N10" s="551"/>
      <c r="O10" s="544"/>
      <c r="P10" s="552"/>
    </row>
    <row r="11" spans="1:16" ht="14.4" customHeight="1" x14ac:dyDescent="0.3">
      <c r="A11" s="538" t="s">
        <v>1302</v>
      </c>
      <c r="B11" s="539" t="s">
        <v>1303</v>
      </c>
      <c r="C11" s="539" t="s">
        <v>1314</v>
      </c>
      <c r="D11" s="539" t="s">
        <v>1315</v>
      </c>
      <c r="E11" s="551">
        <v>0.1</v>
      </c>
      <c r="F11" s="551">
        <v>7.75</v>
      </c>
      <c r="G11" s="539">
        <v>1</v>
      </c>
      <c r="H11" s="539">
        <v>77.5</v>
      </c>
      <c r="I11" s="551"/>
      <c r="J11" s="551"/>
      <c r="K11" s="539"/>
      <c r="L11" s="539"/>
      <c r="M11" s="551"/>
      <c r="N11" s="551"/>
      <c r="O11" s="544"/>
      <c r="P11" s="552"/>
    </row>
    <row r="12" spans="1:16" ht="14.4" customHeight="1" x14ac:dyDescent="0.3">
      <c r="A12" s="538" t="s">
        <v>1302</v>
      </c>
      <c r="B12" s="539" t="s">
        <v>1303</v>
      </c>
      <c r="C12" s="539" t="s">
        <v>1316</v>
      </c>
      <c r="D12" s="539" t="s">
        <v>1317</v>
      </c>
      <c r="E12" s="551">
        <v>0.2</v>
      </c>
      <c r="F12" s="551">
        <v>139.08000000000001</v>
      </c>
      <c r="G12" s="539">
        <v>1</v>
      </c>
      <c r="H12" s="539">
        <v>695.4</v>
      </c>
      <c r="I12" s="551"/>
      <c r="J12" s="551"/>
      <c r="K12" s="539"/>
      <c r="L12" s="539"/>
      <c r="M12" s="551"/>
      <c r="N12" s="551"/>
      <c r="O12" s="544"/>
      <c r="P12" s="552"/>
    </row>
    <row r="13" spans="1:16" ht="14.4" customHeight="1" x14ac:dyDescent="0.3">
      <c r="A13" s="538" t="s">
        <v>1302</v>
      </c>
      <c r="B13" s="539" t="s">
        <v>1303</v>
      </c>
      <c r="C13" s="539" t="s">
        <v>1318</v>
      </c>
      <c r="D13" s="539" t="s">
        <v>569</v>
      </c>
      <c r="E13" s="551">
        <v>0.2</v>
      </c>
      <c r="F13" s="551">
        <v>20.16</v>
      </c>
      <c r="G13" s="539">
        <v>1</v>
      </c>
      <c r="H13" s="539">
        <v>100.8</v>
      </c>
      <c r="I13" s="551">
        <v>0.6</v>
      </c>
      <c r="J13" s="551">
        <v>60.48</v>
      </c>
      <c r="K13" s="539">
        <v>3</v>
      </c>
      <c r="L13" s="539">
        <v>100.8</v>
      </c>
      <c r="M13" s="551">
        <v>0.5</v>
      </c>
      <c r="N13" s="551">
        <v>67.75</v>
      </c>
      <c r="O13" s="544">
        <v>3.3606150793650795</v>
      </c>
      <c r="P13" s="552">
        <v>135.5</v>
      </c>
    </row>
    <row r="14" spans="1:16" ht="14.4" customHeight="1" x14ac:dyDescent="0.3">
      <c r="A14" s="538" t="s">
        <v>1302</v>
      </c>
      <c r="B14" s="539" t="s">
        <v>1303</v>
      </c>
      <c r="C14" s="539" t="s">
        <v>1319</v>
      </c>
      <c r="D14" s="539" t="s">
        <v>1320</v>
      </c>
      <c r="E14" s="551"/>
      <c r="F14" s="551"/>
      <c r="G14" s="539"/>
      <c r="H14" s="539"/>
      <c r="I14" s="551">
        <v>1</v>
      </c>
      <c r="J14" s="551">
        <v>151.56</v>
      </c>
      <c r="K14" s="539"/>
      <c r="L14" s="539">
        <v>151.56</v>
      </c>
      <c r="M14" s="551">
        <v>0.1</v>
      </c>
      <c r="N14" s="551">
        <v>14.49</v>
      </c>
      <c r="O14" s="544"/>
      <c r="P14" s="552">
        <v>144.9</v>
      </c>
    </row>
    <row r="15" spans="1:16" ht="14.4" customHeight="1" x14ac:dyDescent="0.3">
      <c r="A15" s="538" t="s">
        <v>1302</v>
      </c>
      <c r="B15" s="539" t="s">
        <v>1303</v>
      </c>
      <c r="C15" s="539" t="s">
        <v>1321</v>
      </c>
      <c r="D15" s="539" t="s">
        <v>482</v>
      </c>
      <c r="E15" s="551"/>
      <c r="F15" s="551"/>
      <c r="G15" s="539"/>
      <c r="H15" s="539"/>
      <c r="I15" s="551"/>
      <c r="J15" s="551"/>
      <c r="K15" s="539"/>
      <c r="L15" s="539"/>
      <c r="M15" s="551">
        <v>0.2</v>
      </c>
      <c r="N15" s="551">
        <v>6.76</v>
      </c>
      <c r="O15" s="544"/>
      <c r="P15" s="552">
        <v>33.799999999999997</v>
      </c>
    </row>
    <row r="16" spans="1:16" ht="14.4" customHeight="1" x14ac:dyDescent="0.3">
      <c r="A16" s="538" t="s">
        <v>1302</v>
      </c>
      <c r="B16" s="539" t="s">
        <v>1322</v>
      </c>
      <c r="C16" s="539" t="s">
        <v>1323</v>
      </c>
      <c r="D16" s="539" t="s">
        <v>1324</v>
      </c>
      <c r="E16" s="551"/>
      <c r="F16" s="551"/>
      <c r="G16" s="539"/>
      <c r="H16" s="539"/>
      <c r="I16" s="551">
        <v>0</v>
      </c>
      <c r="J16" s="551">
        <v>0</v>
      </c>
      <c r="K16" s="539"/>
      <c r="L16" s="539"/>
      <c r="M16" s="551"/>
      <c r="N16" s="551"/>
      <c r="O16" s="544"/>
      <c r="P16" s="552"/>
    </row>
    <row r="17" spans="1:16" ht="14.4" customHeight="1" x14ac:dyDescent="0.3">
      <c r="A17" s="538" t="s">
        <v>1302</v>
      </c>
      <c r="B17" s="539" t="s">
        <v>1322</v>
      </c>
      <c r="C17" s="539" t="s">
        <v>1325</v>
      </c>
      <c r="D17" s="539" t="s">
        <v>1326</v>
      </c>
      <c r="E17" s="551"/>
      <c r="F17" s="551"/>
      <c r="G17" s="539"/>
      <c r="H17" s="539"/>
      <c r="I17" s="551">
        <v>1</v>
      </c>
      <c r="J17" s="551">
        <v>58.6</v>
      </c>
      <c r="K17" s="539"/>
      <c r="L17" s="539">
        <v>58.6</v>
      </c>
      <c r="M17" s="551"/>
      <c r="N17" s="551"/>
      <c r="O17" s="544"/>
      <c r="P17" s="552"/>
    </row>
    <row r="18" spans="1:16" ht="14.4" customHeight="1" x14ac:dyDescent="0.3">
      <c r="A18" s="538" t="s">
        <v>1302</v>
      </c>
      <c r="B18" s="539" t="s">
        <v>1322</v>
      </c>
      <c r="C18" s="539" t="s">
        <v>1327</v>
      </c>
      <c r="D18" s="539" t="s">
        <v>1328</v>
      </c>
      <c r="E18" s="551">
        <v>2</v>
      </c>
      <c r="F18" s="551">
        <v>382.56</v>
      </c>
      <c r="G18" s="539">
        <v>1</v>
      </c>
      <c r="H18" s="539">
        <v>191.28</v>
      </c>
      <c r="I18" s="551"/>
      <c r="J18" s="551"/>
      <c r="K18" s="539"/>
      <c r="L18" s="539"/>
      <c r="M18" s="551"/>
      <c r="N18" s="551"/>
      <c r="O18" s="544"/>
      <c r="P18" s="552"/>
    </row>
    <row r="19" spans="1:16" ht="14.4" customHeight="1" x14ac:dyDescent="0.3">
      <c r="A19" s="538" t="s">
        <v>1302</v>
      </c>
      <c r="B19" s="539" t="s">
        <v>1322</v>
      </c>
      <c r="C19" s="539" t="s">
        <v>1329</v>
      </c>
      <c r="D19" s="539" t="s">
        <v>1330</v>
      </c>
      <c r="E19" s="551"/>
      <c r="F19" s="551"/>
      <c r="G19" s="539"/>
      <c r="H19" s="539"/>
      <c r="I19" s="551">
        <v>2</v>
      </c>
      <c r="J19" s="551">
        <v>115.78</v>
      </c>
      <c r="K19" s="539"/>
      <c r="L19" s="539">
        <v>57.89</v>
      </c>
      <c r="M19" s="551"/>
      <c r="N19" s="551"/>
      <c r="O19" s="544"/>
      <c r="P19" s="552"/>
    </row>
    <row r="20" spans="1:16" ht="14.4" customHeight="1" x14ac:dyDescent="0.3">
      <c r="A20" s="538" t="s">
        <v>1302</v>
      </c>
      <c r="B20" s="539" t="s">
        <v>1331</v>
      </c>
      <c r="C20" s="539" t="s">
        <v>1332</v>
      </c>
      <c r="D20" s="539" t="s">
        <v>1333</v>
      </c>
      <c r="E20" s="551">
        <v>1</v>
      </c>
      <c r="F20" s="551">
        <v>128</v>
      </c>
      <c r="G20" s="539">
        <v>1</v>
      </c>
      <c r="H20" s="539">
        <v>128</v>
      </c>
      <c r="I20" s="551">
        <v>1</v>
      </c>
      <c r="J20" s="551">
        <v>128</v>
      </c>
      <c r="K20" s="539">
        <v>1</v>
      </c>
      <c r="L20" s="539">
        <v>128</v>
      </c>
      <c r="M20" s="551"/>
      <c r="N20" s="551"/>
      <c r="O20" s="544"/>
      <c r="P20" s="552"/>
    </row>
    <row r="21" spans="1:16" ht="14.4" customHeight="1" x14ac:dyDescent="0.3">
      <c r="A21" s="538" t="s">
        <v>1302</v>
      </c>
      <c r="B21" s="539" t="s">
        <v>1331</v>
      </c>
      <c r="C21" s="539" t="s">
        <v>1334</v>
      </c>
      <c r="D21" s="539" t="s">
        <v>1335</v>
      </c>
      <c r="E21" s="551">
        <v>1</v>
      </c>
      <c r="F21" s="551">
        <v>73</v>
      </c>
      <c r="G21" s="539">
        <v>1</v>
      </c>
      <c r="H21" s="539">
        <v>73</v>
      </c>
      <c r="I21" s="551">
        <v>2</v>
      </c>
      <c r="J21" s="551">
        <v>146</v>
      </c>
      <c r="K21" s="539">
        <v>2</v>
      </c>
      <c r="L21" s="539">
        <v>73</v>
      </c>
      <c r="M21" s="551">
        <v>2</v>
      </c>
      <c r="N21" s="551">
        <v>148</v>
      </c>
      <c r="O21" s="544">
        <v>2.0273972602739727</v>
      </c>
      <c r="P21" s="552">
        <v>74</v>
      </c>
    </row>
    <row r="22" spans="1:16" ht="14.4" customHeight="1" x14ac:dyDescent="0.3">
      <c r="A22" s="538" t="s">
        <v>1302</v>
      </c>
      <c r="B22" s="539" t="s">
        <v>1331</v>
      </c>
      <c r="C22" s="539" t="s">
        <v>1336</v>
      </c>
      <c r="D22" s="539" t="s">
        <v>1337</v>
      </c>
      <c r="E22" s="551"/>
      <c r="F22" s="551"/>
      <c r="G22" s="539"/>
      <c r="H22" s="539"/>
      <c r="I22" s="551">
        <v>1</v>
      </c>
      <c r="J22" s="551">
        <v>156</v>
      </c>
      <c r="K22" s="539"/>
      <c r="L22" s="539">
        <v>156</v>
      </c>
      <c r="M22" s="551"/>
      <c r="N22" s="551"/>
      <c r="O22" s="544"/>
      <c r="P22" s="552"/>
    </row>
    <row r="23" spans="1:16" ht="14.4" customHeight="1" x14ac:dyDescent="0.3">
      <c r="A23" s="538" t="s">
        <v>1302</v>
      </c>
      <c r="B23" s="539" t="s">
        <v>1331</v>
      </c>
      <c r="C23" s="539" t="s">
        <v>1338</v>
      </c>
      <c r="D23" s="539" t="s">
        <v>1339</v>
      </c>
      <c r="E23" s="551">
        <v>1</v>
      </c>
      <c r="F23" s="551">
        <v>80</v>
      </c>
      <c r="G23" s="539">
        <v>1</v>
      </c>
      <c r="H23" s="539">
        <v>80</v>
      </c>
      <c r="I23" s="551">
        <v>162</v>
      </c>
      <c r="J23" s="551">
        <v>12960</v>
      </c>
      <c r="K23" s="539">
        <v>162</v>
      </c>
      <c r="L23" s="539">
        <v>80</v>
      </c>
      <c r="M23" s="551">
        <v>275</v>
      </c>
      <c r="N23" s="551">
        <v>22275</v>
      </c>
      <c r="O23" s="544">
        <v>278.4375</v>
      </c>
      <c r="P23" s="552">
        <v>81</v>
      </c>
    </row>
    <row r="24" spans="1:16" ht="14.4" customHeight="1" x14ac:dyDescent="0.3">
      <c r="A24" s="538" t="s">
        <v>1302</v>
      </c>
      <c r="B24" s="539" t="s">
        <v>1331</v>
      </c>
      <c r="C24" s="539" t="s">
        <v>1340</v>
      </c>
      <c r="D24" s="539" t="s">
        <v>1341</v>
      </c>
      <c r="E24" s="551">
        <v>469</v>
      </c>
      <c r="F24" s="551">
        <v>48307</v>
      </c>
      <c r="G24" s="539">
        <v>1</v>
      </c>
      <c r="H24" s="539">
        <v>103</v>
      </c>
      <c r="I24" s="551">
        <v>583</v>
      </c>
      <c r="J24" s="551">
        <v>60049</v>
      </c>
      <c r="K24" s="539">
        <v>1.2430703624733475</v>
      </c>
      <c r="L24" s="539">
        <v>103</v>
      </c>
      <c r="M24" s="551">
        <v>488</v>
      </c>
      <c r="N24" s="551">
        <v>50752</v>
      </c>
      <c r="O24" s="544">
        <v>1.0506137826815989</v>
      </c>
      <c r="P24" s="552">
        <v>104</v>
      </c>
    </row>
    <row r="25" spans="1:16" ht="14.4" customHeight="1" x14ac:dyDescent="0.3">
      <c r="A25" s="538" t="s">
        <v>1302</v>
      </c>
      <c r="B25" s="539" t="s">
        <v>1331</v>
      </c>
      <c r="C25" s="539" t="s">
        <v>1342</v>
      </c>
      <c r="D25" s="539" t="s">
        <v>1343</v>
      </c>
      <c r="E25" s="551">
        <v>358</v>
      </c>
      <c r="F25" s="551">
        <v>12172</v>
      </c>
      <c r="G25" s="539">
        <v>1</v>
      </c>
      <c r="H25" s="539">
        <v>34</v>
      </c>
      <c r="I25" s="551">
        <v>664</v>
      </c>
      <c r="J25" s="551">
        <v>22576</v>
      </c>
      <c r="K25" s="539">
        <v>1.8547486033519553</v>
      </c>
      <c r="L25" s="539">
        <v>34</v>
      </c>
      <c r="M25" s="551">
        <v>117</v>
      </c>
      <c r="N25" s="551">
        <v>4095</v>
      </c>
      <c r="O25" s="544">
        <v>0.33642786723627999</v>
      </c>
      <c r="P25" s="552">
        <v>35</v>
      </c>
    </row>
    <row r="26" spans="1:16" ht="14.4" customHeight="1" x14ac:dyDescent="0.3">
      <c r="A26" s="538" t="s">
        <v>1302</v>
      </c>
      <c r="B26" s="539" t="s">
        <v>1331</v>
      </c>
      <c r="C26" s="539" t="s">
        <v>1344</v>
      </c>
      <c r="D26" s="539" t="s">
        <v>1345</v>
      </c>
      <c r="E26" s="551"/>
      <c r="F26" s="551"/>
      <c r="G26" s="539"/>
      <c r="H26" s="539"/>
      <c r="I26" s="551">
        <v>1</v>
      </c>
      <c r="J26" s="551">
        <v>5</v>
      </c>
      <c r="K26" s="539"/>
      <c r="L26" s="539">
        <v>5</v>
      </c>
      <c r="M26" s="551">
        <v>2</v>
      </c>
      <c r="N26" s="551">
        <v>10</v>
      </c>
      <c r="O26" s="544"/>
      <c r="P26" s="552">
        <v>5</v>
      </c>
    </row>
    <row r="27" spans="1:16" ht="14.4" customHeight="1" x14ac:dyDescent="0.3">
      <c r="A27" s="538" t="s">
        <v>1302</v>
      </c>
      <c r="B27" s="539" t="s">
        <v>1331</v>
      </c>
      <c r="C27" s="539" t="s">
        <v>1346</v>
      </c>
      <c r="D27" s="539" t="s">
        <v>1347</v>
      </c>
      <c r="E27" s="551"/>
      <c r="F27" s="551"/>
      <c r="G27" s="539"/>
      <c r="H27" s="539"/>
      <c r="I27" s="551">
        <v>1</v>
      </c>
      <c r="J27" s="551">
        <v>5</v>
      </c>
      <c r="K27" s="539"/>
      <c r="L27" s="539">
        <v>5</v>
      </c>
      <c r="M27" s="551">
        <v>2</v>
      </c>
      <c r="N27" s="551">
        <v>10</v>
      </c>
      <c r="O27" s="544"/>
      <c r="P27" s="552">
        <v>5</v>
      </c>
    </row>
    <row r="28" spans="1:16" ht="14.4" customHeight="1" x14ac:dyDescent="0.3">
      <c r="A28" s="538" t="s">
        <v>1302</v>
      </c>
      <c r="B28" s="539" t="s">
        <v>1331</v>
      </c>
      <c r="C28" s="539" t="s">
        <v>1348</v>
      </c>
      <c r="D28" s="539" t="s">
        <v>1349</v>
      </c>
      <c r="E28" s="551">
        <v>53</v>
      </c>
      <c r="F28" s="551">
        <v>33814</v>
      </c>
      <c r="G28" s="539">
        <v>1</v>
      </c>
      <c r="H28" s="539">
        <v>638</v>
      </c>
      <c r="I28" s="551">
        <v>26</v>
      </c>
      <c r="J28" s="551">
        <v>16588</v>
      </c>
      <c r="K28" s="539">
        <v>0.49056603773584906</v>
      </c>
      <c r="L28" s="539">
        <v>638</v>
      </c>
      <c r="M28" s="551">
        <v>14</v>
      </c>
      <c r="N28" s="551">
        <v>8988</v>
      </c>
      <c r="O28" s="544">
        <v>0.26580706216360089</v>
      </c>
      <c r="P28" s="552">
        <v>642</v>
      </c>
    </row>
    <row r="29" spans="1:16" ht="14.4" customHeight="1" x14ac:dyDescent="0.3">
      <c r="A29" s="538" t="s">
        <v>1302</v>
      </c>
      <c r="B29" s="539" t="s">
        <v>1331</v>
      </c>
      <c r="C29" s="539" t="s">
        <v>1350</v>
      </c>
      <c r="D29" s="539" t="s">
        <v>1351</v>
      </c>
      <c r="E29" s="551"/>
      <c r="F29" s="551"/>
      <c r="G29" s="539"/>
      <c r="H29" s="539"/>
      <c r="I29" s="551">
        <v>1</v>
      </c>
      <c r="J29" s="551">
        <v>164</v>
      </c>
      <c r="K29" s="539"/>
      <c r="L29" s="539">
        <v>164</v>
      </c>
      <c r="M29" s="551"/>
      <c r="N29" s="551"/>
      <c r="O29" s="544"/>
      <c r="P29" s="552"/>
    </row>
    <row r="30" spans="1:16" ht="14.4" customHeight="1" x14ac:dyDescent="0.3">
      <c r="A30" s="538" t="s">
        <v>1302</v>
      </c>
      <c r="B30" s="539" t="s">
        <v>1331</v>
      </c>
      <c r="C30" s="539" t="s">
        <v>1352</v>
      </c>
      <c r="D30" s="539" t="s">
        <v>1353</v>
      </c>
      <c r="E30" s="551"/>
      <c r="F30" s="551"/>
      <c r="G30" s="539"/>
      <c r="H30" s="539"/>
      <c r="I30" s="551">
        <v>11</v>
      </c>
      <c r="J30" s="551">
        <v>1716</v>
      </c>
      <c r="K30" s="539"/>
      <c r="L30" s="539">
        <v>156</v>
      </c>
      <c r="M30" s="551">
        <v>2</v>
      </c>
      <c r="N30" s="551">
        <v>318</v>
      </c>
      <c r="O30" s="544"/>
      <c r="P30" s="552">
        <v>159</v>
      </c>
    </row>
    <row r="31" spans="1:16" ht="14.4" customHeight="1" x14ac:dyDescent="0.3">
      <c r="A31" s="538" t="s">
        <v>1302</v>
      </c>
      <c r="B31" s="539" t="s">
        <v>1331</v>
      </c>
      <c r="C31" s="539" t="s">
        <v>1354</v>
      </c>
      <c r="D31" s="539" t="s">
        <v>1341</v>
      </c>
      <c r="E31" s="551">
        <v>7</v>
      </c>
      <c r="F31" s="551">
        <v>1337</v>
      </c>
      <c r="G31" s="539">
        <v>1</v>
      </c>
      <c r="H31" s="539">
        <v>191</v>
      </c>
      <c r="I31" s="551">
        <v>1</v>
      </c>
      <c r="J31" s="551">
        <v>191</v>
      </c>
      <c r="K31" s="539">
        <v>0.14285714285714285</v>
      </c>
      <c r="L31" s="539">
        <v>191</v>
      </c>
      <c r="M31" s="551"/>
      <c r="N31" s="551"/>
      <c r="O31" s="544"/>
      <c r="P31" s="552"/>
    </row>
    <row r="32" spans="1:16" ht="14.4" customHeight="1" x14ac:dyDescent="0.3">
      <c r="A32" s="538" t="s">
        <v>1302</v>
      </c>
      <c r="B32" s="539" t="s">
        <v>1331</v>
      </c>
      <c r="C32" s="539" t="s">
        <v>1355</v>
      </c>
      <c r="D32" s="539" t="s">
        <v>1356</v>
      </c>
      <c r="E32" s="551">
        <v>433</v>
      </c>
      <c r="F32" s="551">
        <v>100456</v>
      </c>
      <c r="G32" s="539">
        <v>1</v>
      </c>
      <c r="H32" s="539">
        <v>232</v>
      </c>
      <c r="I32" s="551">
        <v>552</v>
      </c>
      <c r="J32" s="551">
        <v>128064</v>
      </c>
      <c r="K32" s="539">
        <v>1.2748267898383372</v>
      </c>
      <c r="L32" s="539">
        <v>232</v>
      </c>
      <c r="M32" s="551">
        <v>454</v>
      </c>
      <c r="N32" s="551">
        <v>106690</v>
      </c>
      <c r="O32" s="544">
        <v>1.0620570199888508</v>
      </c>
      <c r="P32" s="552">
        <v>235</v>
      </c>
    </row>
    <row r="33" spans="1:16" ht="14.4" customHeight="1" x14ac:dyDescent="0.3">
      <c r="A33" s="538" t="s">
        <v>1302</v>
      </c>
      <c r="B33" s="539" t="s">
        <v>1331</v>
      </c>
      <c r="C33" s="539" t="s">
        <v>1357</v>
      </c>
      <c r="D33" s="539" t="s">
        <v>1358</v>
      </c>
      <c r="E33" s="551">
        <v>1459</v>
      </c>
      <c r="F33" s="551">
        <v>169244</v>
      </c>
      <c r="G33" s="539">
        <v>1</v>
      </c>
      <c r="H33" s="539">
        <v>116</v>
      </c>
      <c r="I33" s="551">
        <v>1184</v>
      </c>
      <c r="J33" s="551">
        <v>137344</v>
      </c>
      <c r="K33" s="539">
        <v>0.81151473612063052</v>
      </c>
      <c r="L33" s="539">
        <v>116</v>
      </c>
      <c r="M33" s="551">
        <v>1808</v>
      </c>
      <c r="N33" s="551">
        <v>213344</v>
      </c>
      <c r="O33" s="544">
        <v>1.2605705372125453</v>
      </c>
      <c r="P33" s="552">
        <v>118</v>
      </c>
    </row>
    <row r="34" spans="1:16" ht="14.4" customHeight="1" x14ac:dyDescent="0.3">
      <c r="A34" s="538" t="s">
        <v>1302</v>
      </c>
      <c r="B34" s="539" t="s">
        <v>1331</v>
      </c>
      <c r="C34" s="539" t="s">
        <v>1359</v>
      </c>
      <c r="D34" s="539" t="s">
        <v>1360</v>
      </c>
      <c r="E34" s="551">
        <v>3</v>
      </c>
      <c r="F34" s="551">
        <v>1581</v>
      </c>
      <c r="G34" s="539">
        <v>1</v>
      </c>
      <c r="H34" s="539">
        <v>527</v>
      </c>
      <c r="I34" s="551">
        <v>8</v>
      </c>
      <c r="J34" s="551">
        <v>4216</v>
      </c>
      <c r="K34" s="539">
        <v>2.6666666666666665</v>
      </c>
      <c r="L34" s="539">
        <v>527</v>
      </c>
      <c r="M34" s="551">
        <v>3</v>
      </c>
      <c r="N34" s="551">
        <v>1596</v>
      </c>
      <c r="O34" s="544">
        <v>1.0094876660341556</v>
      </c>
      <c r="P34" s="552">
        <v>532</v>
      </c>
    </row>
    <row r="35" spans="1:16" ht="14.4" customHeight="1" x14ac:dyDescent="0.3">
      <c r="A35" s="538" t="s">
        <v>1302</v>
      </c>
      <c r="B35" s="539" t="s">
        <v>1331</v>
      </c>
      <c r="C35" s="539" t="s">
        <v>1361</v>
      </c>
      <c r="D35" s="539" t="s">
        <v>1362</v>
      </c>
      <c r="E35" s="551"/>
      <c r="F35" s="551"/>
      <c r="G35" s="539"/>
      <c r="H35" s="539"/>
      <c r="I35" s="551">
        <v>0</v>
      </c>
      <c r="J35" s="551">
        <v>0</v>
      </c>
      <c r="K35" s="539"/>
      <c r="L35" s="539"/>
      <c r="M35" s="551">
        <v>3</v>
      </c>
      <c r="N35" s="551">
        <v>4485</v>
      </c>
      <c r="O35" s="544"/>
      <c r="P35" s="552">
        <v>1495</v>
      </c>
    </row>
    <row r="36" spans="1:16" ht="14.4" customHeight="1" x14ac:dyDescent="0.3">
      <c r="A36" s="538" t="s">
        <v>1302</v>
      </c>
      <c r="B36" s="539" t="s">
        <v>1331</v>
      </c>
      <c r="C36" s="539" t="s">
        <v>1363</v>
      </c>
      <c r="D36" s="539" t="s">
        <v>1364</v>
      </c>
      <c r="E36" s="551">
        <v>133</v>
      </c>
      <c r="F36" s="551">
        <v>63973</v>
      </c>
      <c r="G36" s="539">
        <v>1</v>
      </c>
      <c r="H36" s="539">
        <v>481</v>
      </c>
      <c r="I36" s="551">
        <v>126</v>
      </c>
      <c r="J36" s="551">
        <v>60606</v>
      </c>
      <c r="K36" s="539">
        <v>0.94736842105263153</v>
      </c>
      <c r="L36" s="539">
        <v>481</v>
      </c>
      <c r="M36" s="551">
        <v>156</v>
      </c>
      <c r="N36" s="551">
        <v>75816</v>
      </c>
      <c r="O36" s="544">
        <v>1.1851249745986587</v>
      </c>
      <c r="P36" s="552">
        <v>486</v>
      </c>
    </row>
    <row r="37" spans="1:16" ht="14.4" customHeight="1" x14ac:dyDescent="0.3">
      <c r="A37" s="538" t="s">
        <v>1302</v>
      </c>
      <c r="B37" s="539" t="s">
        <v>1331</v>
      </c>
      <c r="C37" s="539" t="s">
        <v>1365</v>
      </c>
      <c r="D37" s="539" t="s">
        <v>1366</v>
      </c>
      <c r="E37" s="551">
        <v>114</v>
      </c>
      <c r="F37" s="551">
        <v>75126</v>
      </c>
      <c r="G37" s="539">
        <v>1</v>
      </c>
      <c r="H37" s="539">
        <v>659</v>
      </c>
      <c r="I37" s="551">
        <v>148</v>
      </c>
      <c r="J37" s="551">
        <v>97532</v>
      </c>
      <c r="K37" s="539">
        <v>1.2982456140350878</v>
      </c>
      <c r="L37" s="539">
        <v>659</v>
      </c>
      <c r="M37" s="551">
        <v>164</v>
      </c>
      <c r="N37" s="551">
        <v>109224</v>
      </c>
      <c r="O37" s="544">
        <v>1.4538774858238159</v>
      </c>
      <c r="P37" s="552">
        <v>666</v>
      </c>
    </row>
    <row r="38" spans="1:16" ht="14.4" customHeight="1" x14ac:dyDescent="0.3">
      <c r="A38" s="538" t="s">
        <v>1302</v>
      </c>
      <c r="B38" s="539" t="s">
        <v>1331</v>
      </c>
      <c r="C38" s="539" t="s">
        <v>1367</v>
      </c>
      <c r="D38" s="539" t="s">
        <v>1368</v>
      </c>
      <c r="E38" s="551">
        <v>121</v>
      </c>
      <c r="F38" s="551">
        <v>121121</v>
      </c>
      <c r="G38" s="539">
        <v>1</v>
      </c>
      <c r="H38" s="539">
        <v>1001</v>
      </c>
      <c r="I38" s="551">
        <v>109</v>
      </c>
      <c r="J38" s="551">
        <v>109109</v>
      </c>
      <c r="K38" s="539">
        <v>0.90082644628099173</v>
      </c>
      <c r="L38" s="539">
        <v>1001</v>
      </c>
      <c r="M38" s="551">
        <v>104</v>
      </c>
      <c r="N38" s="551">
        <v>105248</v>
      </c>
      <c r="O38" s="544">
        <v>0.8689492325855962</v>
      </c>
      <c r="P38" s="552">
        <v>1012</v>
      </c>
    </row>
    <row r="39" spans="1:16" ht="14.4" customHeight="1" x14ac:dyDescent="0.3">
      <c r="A39" s="538" t="s">
        <v>1302</v>
      </c>
      <c r="B39" s="539" t="s">
        <v>1331</v>
      </c>
      <c r="C39" s="539" t="s">
        <v>1369</v>
      </c>
      <c r="D39" s="539" t="s">
        <v>1370</v>
      </c>
      <c r="E39" s="551">
        <v>11</v>
      </c>
      <c r="F39" s="551">
        <v>22000</v>
      </c>
      <c r="G39" s="539">
        <v>1</v>
      </c>
      <c r="H39" s="539">
        <v>2000</v>
      </c>
      <c r="I39" s="551">
        <v>9</v>
      </c>
      <c r="J39" s="551">
        <v>18000</v>
      </c>
      <c r="K39" s="539">
        <v>0.81818181818181823</v>
      </c>
      <c r="L39" s="539">
        <v>2000</v>
      </c>
      <c r="M39" s="551">
        <v>20</v>
      </c>
      <c r="N39" s="551">
        <v>40340</v>
      </c>
      <c r="O39" s="544">
        <v>1.8336363636363637</v>
      </c>
      <c r="P39" s="552">
        <v>2017</v>
      </c>
    </row>
    <row r="40" spans="1:16" ht="14.4" customHeight="1" x14ac:dyDescent="0.3">
      <c r="A40" s="538" t="s">
        <v>1302</v>
      </c>
      <c r="B40" s="539" t="s">
        <v>1331</v>
      </c>
      <c r="C40" s="539" t="s">
        <v>1371</v>
      </c>
      <c r="D40" s="539" t="s">
        <v>1372</v>
      </c>
      <c r="E40" s="551">
        <v>1</v>
      </c>
      <c r="F40" s="551">
        <v>1213</v>
      </c>
      <c r="G40" s="539">
        <v>1</v>
      </c>
      <c r="H40" s="539">
        <v>1213</v>
      </c>
      <c r="I40" s="551">
        <v>4</v>
      </c>
      <c r="J40" s="551">
        <v>4852</v>
      </c>
      <c r="K40" s="539">
        <v>4</v>
      </c>
      <c r="L40" s="539">
        <v>1213</v>
      </c>
      <c r="M40" s="551">
        <v>3</v>
      </c>
      <c r="N40" s="551">
        <v>3705</v>
      </c>
      <c r="O40" s="544">
        <v>3.0544105523495464</v>
      </c>
      <c r="P40" s="552">
        <v>1235</v>
      </c>
    </row>
    <row r="41" spans="1:16" ht="14.4" customHeight="1" x14ac:dyDescent="0.3">
      <c r="A41" s="538" t="s">
        <v>1302</v>
      </c>
      <c r="B41" s="539" t="s">
        <v>1331</v>
      </c>
      <c r="C41" s="539" t="s">
        <v>1373</v>
      </c>
      <c r="D41" s="539" t="s">
        <v>1374</v>
      </c>
      <c r="E41" s="551">
        <v>8</v>
      </c>
      <c r="F41" s="551">
        <v>7456</v>
      </c>
      <c r="G41" s="539">
        <v>1</v>
      </c>
      <c r="H41" s="539">
        <v>932</v>
      </c>
      <c r="I41" s="551">
        <v>6</v>
      </c>
      <c r="J41" s="551">
        <v>5592</v>
      </c>
      <c r="K41" s="539">
        <v>0.75</v>
      </c>
      <c r="L41" s="539">
        <v>932</v>
      </c>
      <c r="M41" s="551">
        <v>4</v>
      </c>
      <c r="N41" s="551">
        <v>3784</v>
      </c>
      <c r="O41" s="544">
        <v>0.50751072961373389</v>
      </c>
      <c r="P41" s="552">
        <v>946</v>
      </c>
    </row>
    <row r="42" spans="1:16" ht="14.4" customHeight="1" x14ac:dyDescent="0.3">
      <c r="A42" s="538" t="s">
        <v>1302</v>
      </c>
      <c r="B42" s="539" t="s">
        <v>1331</v>
      </c>
      <c r="C42" s="539" t="s">
        <v>1375</v>
      </c>
      <c r="D42" s="539" t="s">
        <v>1376</v>
      </c>
      <c r="E42" s="551"/>
      <c r="F42" s="551"/>
      <c r="G42" s="539"/>
      <c r="H42" s="539"/>
      <c r="I42" s="551"/>
      <c r="J42" s="551"/>
      <c r="K42" s="539"/>
      <c r="L42" s="539"/>
      <c r="M42" s="551">
        <v>4</v>
      </c>
      <c r="N42" s="551">
        <v>3300</v>
      </c>
      <c r="O42" s="544"/>
      <c r="P42" s="552">
        <v>825</v>
      </c>
    </row>
    <row r="43" spans="1:16" ht="14.4" customHeight="1" x14ac:dyDescent="0.3">
      <c r="A43" s="538" t="s">
        <v>1302</v>
      </c>
      <c r="B43" s="539" t="s">
        <v>1331</v>
      </c>
      <c r="C43" s="539" t="s">
        <v>1377</v>
      </c>
      <c r="D43" s="539" t="s">
        <v>1378</v>
      </c>
      <c r="E43" s="551">
        <v>3</v>
      </c>
      <c r="F43" s="551">
        <v>4875</v>
      </c>
      <c r="G43" s="539">
        <v>1</v>
      </c>
      <c r="H43" s="539">
        <v>1625</v>
      </c>
      <c r="I43" s="551">
        <v>1</v>
      </c>
      <c r="J43" s="551">
        <v>1625</v>
      </c>
      <c r="K43" s="539">
        <v>0.33333333333333331</v>
      </c>
      <c r="L43" s="539">
        <v>1625</v>
      </c>
      <c r="M43" s="551">
        <v>9</v>
      </c>
      <c r="N43" s="551">
        <v>14733</v>
      </c>
      <c r="O43" s="544">
        <v>3.022153846153846</v>
      </c>
      <c r="P43" s="552">
        <v>1637</v>
      </c>
    </row>
    <row r="44" spans="1:16" ht="14.4" customHeight="1" x14ac:dyDescent="0.3">
      <c r="A44" s="538" t="s">
        <v>1302</v>
      </c>
      <c r="B44" s="539" t="s">
        <v>1331</v>
      </c>
      <c r="C44" s="539" t="s">
        <v>1379</v>
      </c>
      <c r="D44" s="539" t="s">
        <v>1380</v>
      </c>
      <c r="E44" s="551">
        <v>3</v>
      </c>
      <c r="F44" s="551">
        <v>3969</v>
      </c>
      <c r="G44" s="539">
        <v>1</v>
      </c>
      <c r="H44" s="539">
        <v>1323</v>
      </c>
      <c r="I44" s="551">
        <v>3</v>
      </c>
      <c r="J44" s="551">
        <v>3969</v>
      </c>
      <c r="K44" s="539">
        <v>1</v>
      </c>
      <c r="L44" s="539">
        <v>1323</v>
      </c>
      <c r="M44" s="551">
        <v>8</v>
      </c>
      <c r="N44" s="551">
        <v>10720</v>
      </c>
      <c r="O44" s="544">
        <v>2.7009322247417487</v>
      </c>
      <c r="P44" s="552">
        <v>1340</v>
      </c>
    </row>
    <row r="45" spans="1:16" ht="14.4" customHeight="1" x14ac:dyDescent="0.3">
      <c r="A45" s="538" t="s">
        <v>1302</v>
      </c>
      <c r="B45" s="539" t="s">
        <v>1331</v>
      </c>
      <c r="C45" s="539" t="s">
        <v>1381</v>
      </c>
      <c r="D45" s="539" t="s">
        <v>1382</v>
      </c>
      <c r="E45" s="551">
        <v>2</v>
      </c>
      <c r="F45" s="551">
        <v>2998</v>
      </c>
      <c r="G45" s="539">
        <v>1</v>
      </c>
      <c r="H45" s="539">
        <v>1499</v>
      </c>
      <c r="I45" s="551">
        <v>3</v>
      </c>
      <c r="J45" s="551">
        <v>4497</v>
      </c>
      <c r="K45" s="539">
        <v>1.5</v>
      </c>
      <c r="L45" s="539">
        <v>1499</v>
      </c>
      <c r="M45" s="551">
        <v>2</v>
      </c>
      <c r="N45" s="551">
        <v>3022</v>
      </c>
      <c r="O45" s="544">
        <v>1.0080053368912609</v>
      </c>
      <c r="P45" s="552">
        <v>1511</v>
      </c>
    </row>
    <row r="46" spans="1:16" ht="14.4" customHeight="1" x14ac:dyDescent="0.3">
      <c r="A46" s="538" t="s">
        <v>1302</v>
      </c>
      <c r="B46" s="539" t="s">
        <v>1331</v>
      </c>
      <c r="C46" s="539" t="s">
        <v>1383</v>
      </c>
      <c r="D46" s="539" t="s">
        <v>1384</v>
      </c>
      <c r="E46" s="551">
        <v>3</v>
      </c>
      <c r="F46" s="551">
        <v>1236</v>
      </c>
      <c r="G46" s="539">
        <v>1</v>
      </c>
      <c r="H46" s="539">
        <v>412</v>
      </c>
      <c r="I46" s="551"/>
      <c r="J46" s="551"/>
      <c r="K46" s="539"/>
      <c r="L46" s="539"/>
      <c r="M46" s="551"/>
      <c r="N46" s="551"/>
      <c r="O46" s="544"/>
      <c r="P46" s="552"/>
    </row>
    <row r="47" spans="1:16" ht="14.4" customHeight="1" x14ac:dyDescent="0.3">
      <c r="A47" s="538" t="s">
        <v>1302</v>
      </c>
      <c r="B47" s="539" t="s">
        <v>1331</v>
      </c>
      <c r="C47" s="539" t="s">
        <v>1385</v>
      </c>
      <c r="D47" s="539" t="s">
        <v>1386</v>
      </c>
      <c r="E47" s="551">
        <v>1</v>
      </c>
      <c r="F47" s="551">
        <v>932</v>
      </c>
      <c r="G47" s="539">
        <v>1</v>
      </c>
      <c r="H47" s="539">
        <v>932</v>
      </c>
      <c r="I47" s="551">
        <v>0</v>
      </c>
      <c r="J47" s="551">
        <v>0</v>
      </c>
      <c r="K47" s="539">
        <v>0</v>
      </c>
      <c r="L47" s="539"/>
      <c r="M47" s="551"/>
      <c r="N47" s="551"/>
      <c r="O47" s="544"/>
      <c r="P47" s="552"/>
    </row>
    <row r="48" spans="1:16" ht="14.4" customHeight="1" x14ac:dyDescent="0.3">
      <c r="A48" s="538" t="s">
        <v>1302</v>
      </c>
      <c r="B48" s="539" t="s">
        <v>1331</v>
      </c>
      <c r="C48" s="539" t="s">
        <v>1387</v>
      </c>
      <c r="D48" s="539" t="s">
        <v>1388</v>
      </c>
      <c r="E48" s="551">
        <v>1</v>
      </c>
      <c r="F48" s="551">
        <v>155</v>
      </c>
      <c r="G48" s="539">
        <v>1</v>
      </c>
      <c r="H48" s="539">
        <v>155</v>
      </c>
      <c r="I48" s="551">
        <v>0</v>
      </c>
      <c r="J48" s="551">
        <v>0</v>
      </c>
      <c r="K48" s="539">
        <v>0</v>
      </c>
      <c r="L48" s="539"/>
      <c r="M48" s="551"/>
      <c r="N48" s="551"/>
      <c r="O48" s="544"/>
      <c r="P48" s="552"/>
    </row>
    <row r="49" spans="1:16" ht="14.4" customHeight="1" x14ac:dyDescent="0.3">
      <c r="A49" s="538" t="s">
        <v>1302</v>
      </c>
      <c r="B49" s="539" t="s">
        <v>1331</v>
      </c>
      <c r="C49" s="539" t="s">
        <v>1389</v>
      </c>
      <c r="D49" s="539" t="s">
        <v>1390</v>
      </c>
      <c r="E49" s="551">
        <v>6</v>
      </c>
      <c r="F49" s="551">
        <v>0</v>
      </c>
      <c r="G49" s="539"/>
      <c r="H49" s="539">
        <v>0</v>
      </c>
      <c r="I49" s="551">
        <v>2</v>
      </c>
      <c r="J49" s="551">
        <v>0</v>
      </c>
      <c r="K49" s="539"/>
      <c r="L49" s="539">
        <v>0</v>
      </c>
      <c r="M49" s="551"/>
      <c r="N49" s="551"/>
      <c r="O49" s="544"/>
      <c r="P49" s="552"/>
    </row>
    <row r="50" spans="1:16" ht="14.4" customHeight="1" x14ac:dyDescent="0.3">
      <c r="A50" s="538" t="s">
        <v>1302</v>
      </c>
      <c r="B50" s="539" t="s">
        <v>1331</v>
      </c>
      <c r="C50" s="539" t="s">
        <v>1391</v>
      </c>
      <c r="D50" s="539" t="s">
        <v>1392</v>
      </c>
      <c r="E50" s="551">
        <v>1</v>
      </c>
      <c r="F50" s="551">
        <v>344</v>
      </c>
      <c r="G50" s="539">
        <v>1</v>
      </c>
      <c r="H50" s="539">
        <v>344</v>
      </c>
      <c r="I50" s="551">
        <v>1</v>
      </c>
      <c r="J50" s="551">
        <v>344</v>
      </c>
      <c r="K50" s="539">
        <v>1</v>
      </c>
      <c r="L50" s="539">
        <v>344</v>
      </c>
      <c r="M50" s="551"/>
      <c r="N50" s="551"/>
      <c r="O50" s="544"/>
      <c r="P50" s="552"/>
    </row>
    <row r="51" spans="1:16" ht="14.4" customHeight="1" x14ac:dyDescent="0.3">
      <c r="A51" s="538" t="s">
        <v>1302</v>
      </c>
      <c r="B51" s="539" t="s">
        <v>1331</v>
      </c>
      <c r="C51" s="539" t="s">
        <v>1393</v>
      </c>
      <c r="D51" s="539" t="s">
        <v>1394</v>
      </c>
      <c r="E51" s="551">
        <v>1462</v>
      </c>
      <c r="F51" s="551">
        <v>0</v>
      </c>
      <c r="G51" s="539"/>
      <c r="H51" s="539">
        <v>0</v>
      </c>
      <c r="I51" s="551">
        <v>1235</v>
      </c>
      <c r="J51" s="551">
        <v>0</v>
      </c>
      <c r="K51" s="539"/>
      <c r="L51" s="539">
        <v>0</v>
      </c>
      <c r="M51" s="551">
        <v>1924</v>
      </c>
      <c r="N51" s="551">
        <v>0</v>
      </c>
      <c r="O51" s="544"/>
      <c r="P51" s="552">
        <v>0</v>
      </c>
    </row>
    <row r="52" spans="1:16" ht="14.4" customHeight="1" x14ac:dyDescent="0.3">
      <c r="A52" s="538" t="s">
        <v>1302</v>
      </c>
      <c r="B52" s="539" t="s">
        <v>1331</v>
      </c>
      <c r="C52" s="539" t="s">
        <v>1395</v>
      </c>
      <c r="D52" s="539" t="s">
        <v>1396</v>
      </c>
      <c r="E52" s="551"/>
      <c r="F52" s="551"/>
      <c r="G52" s="539"/>
      <c r="H52" s="539"/>
      <c r="I52" s="551">
        <v>1</v>
      </c>
      <c r="J52" s="551">
        <v>0</v>
      </c>
      <c r="K52" s="539"/>
      <c r="L52" s="539">
        <v>0</v>
      </c>
      <c r="M52" s="551"/>
      <c r="N52" s="551"/>
      <c r="O52" s="544"/>
      <c r="P52" s="552"/>
    </row>
    <row r="53" spans="1:16" ht="14.4" customHeight="1" x14ac:dyDescent="0.3">
      <c r="A53" s="538" t="s">
        <v>1302</v>
      </c>
      <c r="B53" s="539" t="s">
        <v>1331</v>
      </c>
      <c r="C53" s="539" t="s">
        <v>1397</v>
      </c>
      <c r="D53" s="539" t="s">
        <v>1398</v>
      </c>
      <c r="E53" s="551"/>
      <c r="F53" s="551"/>
      <c r="G53" s="539"/>
      <c r="H53" s="539"/>
      <c r="I53" s="551">
        <v>123</v>
      </c>
      <c r="J53" s="551">
        <v>13038</v>
      </c>
      <c r="K53" s="539"/>
      <c r="L53" s="539">
        <v>106</v>
      </c>
      <c r="M53" s="551">
        <v>104</v>
      </c>
      <c r="N53" s="551">
        <v>11232</v>
      </c>
      <c r="O53" s="544"/>
      <c r="P53" s="552">
        <v>108</v>
      </c>
    </row>
    <row r="54" spans="1:16" ht="14.4" customHeight="1" x14ac:dyDescent="0.3">
      <c r="A54" s="538" t="s">
        <v>1302</v>
      </c>
      <c r="B54" s="539" t="s">
        <v>1331</v>
      </c>
      <c r="C54" s="539" t="s">
        <v>1399</v>
      </c>
      <c r="D54" s="539" t="s">
        <v>1400</v>
      </c>
      <c r="E54" s="551"/>
      <c r="F54" s="551"/>
      <c r="G54" s="539"/>
      <c r="H54" s="539"/>
      <c r="I54" s="551"/>
      <c r="J54" s="551"/>
      <c r="K54" s="539"/>
      <c r="L54" s="539"/>
      <c r="M54" s="551">
        <v>1</v>
      </c>
      <c r="N54" s="551">
        <v>36</v>
      </c>
      <c r="O54" s="544"/>
      <c r="P54" s="552">
        <v>36</v>
      </c>
    </row>
    <row r="55" spans="1:16" ht="14.4" customHeight="1" x14ac:dyDescent="0.3">
      <c r="A55" s="538" t="s">
        <v>1302</v>
      </c>
      <c r="B55" s="539" t="s">
        <v>1331</v>
      </c>
      <c r="C55" s="539" t="s">
        <v>1401</v>
      </c>
      <c r="D55" s="539" t="s">
        <v>1402</v>
      </c>
      <c r="E55" s="551">
        <v>321</v>
      </c>
      <c r="F55" s="551">
        <v>26001</v>
      </c>
      <c r="G55" s="539">
        <v>1</v>
      </c>
      <c r="H55" s="539">
        <v>81</v>
      </c>
      <c r="I55" s="551">
        <v>328</v>
      </c>
      <c r="J55" s="551">
        <v>26568</v>
      </c>
      <c r="K55" s="539">
        <v>1.0218068535825544</v>
      </c>
      <c r="L55" s="539">
        <v>81</v>
      </c>
      <c r="M55" s="551">
        <v>362</v>
      </c>
      <c r="N55" s="551">
        <v>29684</v>
      </c>
      <c r="O55" s="544">
        <v>1.141648398138533</v>
      </c>
      <c r="P55" s="552">
        <v>82</v>
      </c>
    </row>
    <row r="56" spans="1:16" ht="14.4" customHeight="1" x14ac:dyDescent="0.3">
      <c r="A56" s="538" t="s">
        <v>1302</v>
      </c>
      <c r="B56" s="539" t="s">
        <v>1331</v>
      </c>
      <c r="C56" s="539" t="s">
        <v>1403</v>
      </c>
      <c r="D56" s="539" t="s">
        <v>1404</v>
      </c>
      <c r="E56" s="551">
        <v>3</v>
      </c>
      <c r="F56" s="551">
        <v>90</v>
      </c>
      <c r="G56" s="539">
        <v>1</v>
      </c>
      <c r="H56" s="539">
        <v>30</v>
      </c>
      <c r="I56" s="551">
        <v>1</v>
      </c>
      <c r="J56" s="551">
        <v>30</v>
      </c>
      <c r="K56" s="539">
        <v>0.33333333333333331</v>
      </c>
      <c r="L56" s="539">
        <v>30</v>
      </c>
      <c r="M56" s="551">
        <v>25</v>
      </c>
      <c r="N56" s="551">
        <v>775</v>
      </c>
      <c r="O56" s="544">
        <v>8.6111111111111107</v>
      </c>
      <c r="P56" s="552">
        <v>31</v>
      </c>
    </row>
    <row r="57" spans="1:16" ht="14.4" customHeight="1" x14ac:dyDescent="0.3">
      <c r="A57" s="538" t="s">
        <v>1302</v>
      </c>
      <c r="B57" s="539" t="s">
        <v>1331</v>
      </c>
      <c r="C57" s="539" t="s">
        <v>1405</v>
      </c>
      <c r="D57" s="539" t="s">
        <v>1406</v>
      </c>
      <c r="E57" s="551">
        <v>8</v>
      </c>
      <c r="F57" s="551">
        <v>0</v>
      </c>
      <c r="G57" s="539"/>
      <c r="H57" s="539">
        <v>0</v>
      </c>
      <c r="I57" s="551">
        <v>3</v>
      </c>
      <c r="J57" s="551">
        <v>0</v>
      </c>
      <c r="K57" s="539"/>
      <c r="L57" s="539">
        <v>0</v>
      </c>
      <c r="M57" s="551">
        <v>7</v>
      </c>
      <c r="N57" s="551">
        <v>0</v>
      </c>
      <c r="O57" s="544"/>
      <c r="P57" s="552">
        <v>0</v>
      </c>
    </row>
    <row r="58" spans="1:16" ht="14.4" customHeight="1" x14ac:dyDescent="0.3">
      <c r="A58" s="538" t="s">
        <v>1302</v>
      </c>
      <c r="B58" s="539" t="s">
        <v>1331</v>
      </c>
      <c r="C58" s="539" t="s">
        <v>1407</v>
      </c>
      <c r="D58" s="539" t="s">
        <v>1408</v>
      </c>
      <c r="E58" s="551">
        <v>20</v>
      </c>
      <c r="F58" s="551">
        <v>9700</v>
      </c>
      <c r="G58" s="539">
        <v>1</v>
      </c>
      <c r="H58" s="539">
        <v>485</v>
      </c>
      <c r="I58" s="551">
        <v>38</v>
      </c>
      <c r="J58" s="551">
        <v>18430</v>
      </c>
      <c r="K58" s="539">
        <v>1.9</v>
      </c>
      <c r="L58" s="539">
        <v>485</v>
      </c>
      <c r="M58" s="551">
        <v>27</v>
      </c>
      <c r="N58" s="551">
        <v>13284</v>
      </c>
      <c r="O58" s="544">
        <v>1.3694845360824743</v>
      </c>
      <c r="P58" s="552">
        <v>492</v>
      </c>
    </row>
    <row r="59" spans="1:16" ht="14.4" customHeight="1" x14ac:dyDescent="0.3">
      <c r="A59" s="538" t="s">
        <v>1302</v>
      </c>
      <c r="B59" s="539" t="s">
        <v>1331</v>
      </c>
      <c r="C59" s="539" t="s">
        <v>1409</v>
      </c>
      <c r="D59" s="539" t="s">
        <v>1410</v>
      </c>
      <c r="E59" s="551"/>
      <c r="F59" s="551"/>
      <c r="G59" s="539"/>
      <c r="H59" s="539"/>
      <c r="I59" s="551">
        <v>1</v>
      </c>
      <c r="J59" s="551">
        <v>69</v>
      </c>
      <c r="K59" s="539"/>
      <c r="L59" s="539">
        <v>69</v>
      </c>
      <c r="M59" s="551">
        <v>2</v>
      </c>
      <c r="N59" s="551">
        <v>140</v>
      </c>
      <c r="O59" s="544"/>
      <c r="P59" s="552">
        <v>70</v>
      </c>
    </row>
    <row r="60" spans="1:16" ht="14.4" customHeight="1" x14ac:dyDescent="0.3">
      <c r="A60" s="538" t="s">
        <v>1302</v>
      </c>
      <c r="B60" s="539" t="s">
        <v>1331</v>
      </c>
      <c r="C60" s="539" t="s">
        <v>1411</v>
      </c>
      <c r="D60" s="539" t="s">
        <v>1360</v>
      </c>
      <c r="E60" s="551">
        <v>1</v>
      </c>
      <c r="F60" s="551">
        <v>668</v>
      </c>
      <c r="G60" s="539">
        <v>1</v>
      </c>
      <c r="H60" s="539">
        <v>668</v>
      </c>
      <c r="I60" s="551">
        <v>2</v>
      </c>
      <c r="J60" s="551">
        <v>1336</v>
      </c>
      <c r="K60" s="539">
        <v>2</v>
      </c>
      <c r="L60" s="539">
        <v>668</v>
      </c>
      <c r="M60" s="551">
        <v>2</v>
      </c>
      <c r="N60" s="551">
        <v>1350</v>
      </c>
      <c r="O60" s="544">
        <v>2.0209580838323356</v>
      </c>
      <c r="P60" s="552">
        <v>675</v>
      </c>
    </row>
    <row r="61" spans="1:16" ht="14.4" customHeight="1" x14ac:dyDescent="0.3">
      <c r="A61" s="538" t="s">
        <v>1302</v>
      </c>
      <c r="B61" s="539" t="s">
        <v>1331</v>
      </c>
      <c r="C61" s="539" t="s">
        <v>1412</v>
      </c>
      <c r="D61" s="539" t="s">
        <v>1413</v>
      </c>
      <c r="E61" s="551">
        <v>16</v>
      </c>
      <c r="F61" s="551">
        <v>1376</v>
      </c>
      <c r="G61" s="539">
        <v>1</v>
      </c>
      <c r="H61" s="539">
        <v>86</v>
      </c>
      <c r="I61" s="551">
        <v>7</v>
      </c>
      <c r="J61" s="551">
        <v>602</v>
      </c>
      <c r="K61" s="539">
        <v>0.4375</v>
      </c>
      <c r="L61" s="539">
        <v>86</v>
      </c>
      <c r="M61" s="551">
        <v>10</v>
      </c>
      <c r="N61" s="551">
        <v>1580</v>
      </c>
      <c r="O61" s="544">
        <v>1.1482558139534884</v>
      </c>
      <c r="P61" s="552">
        <v>158</v>
      </c>
    </row>
    <row r="62" spans="1:16" ht="14.4" customHeight="1" x14ac:dyDescent="0.3">
      <c r="A62" s="538" t="s">
        <v>1302</v>
      </c>
      <c r="B62" s="539" t="s">
        <v>1331</v>
      </c>
      <c r="C62" s="539" t="s">
        <v>1414</v>
      </c>
      <c r="D62" s="539" t="s">
        <v>1415</v>
      </c>
      <c r="E62" s="551">
        <v>5</v>
      </c>
      <c r="F62" s="551">
        <v>2155</v>
      </c>
      <c r="G62" s="539">
        <v>1</v>
      </c>
      <c r="H62" s="539">
        <v>431</v>
      </c>
      <c r="I62" s="551"/>
      <c r="J62" s="551"/>
      <c r="K62" s="539"/>
      <c r="L62" s="539"/>
      <c r="M62" s="551">
        <v>1</v>
      </c>
      <c r="N62" s="551">
        <v>436</v>
      </c>
      <c r="O62" s="544">
        <v>0.20232018561484919</v>
      </c>
      <c r="P62" s="552">
        <v>436</v>
      </c>
    </row>
    <row r="63" spans="1:16" ht="14.4" customHeight="1" x14ac:dyDescent="0.3">
      <c r="A63" s="538" t="s">
        <v>1302</v>
      </c>
      <c r="B63" s="539" t="s">
        <v>1331</v>
      </c>
      <c r="C63" s="539" t="s">
        <v>1416</v>
      </c>
      <c r="D63" s="539" t="s">
        <v>1417</v>
      </c>
      <c r="E63" s="551">
        <v>3</v>
      </c>
      <c r="F63" s="551">
        <v>2082</v>
      </c>
      <c r="G63" s="539">
        <v>1</v>
      </c>
      <c r="H63" s="539">
        <v>694</v>
      </c>
      <c r="I63" s="551">
        <v>2</v>
      </c>
      <c r="J63" s="551">
        <v>1388</v>
      </c>
      <c r="K63" s="539">
        <v>0.66666666666666663</v>
      </c>
      <c r="L63" s="539">
        <v>694</v>
      </c>
      <c r="M63" s="551">
        <v>6</v>
      </c>
      <c r="N63" s="551">
        <v>4224</v>
      </c>
      <c r="O63" s="544">
        <v>2.0288184438040346</v>
      </c>
      <c r="P63" s="552">
        <v>704</v>
      </c>
    </row>
    <row r="64" spans="1:16" ht="14.4" customHeight="1" x14ac:dyDescent="0.3">
      <c r="A64" s="538" t="s">
        <v>1302</v>
      </c>
      <c r="B64" s="539" t="s">
        <v>1331</v>
      </c>
      <c r="C64" s="539" t="s">
        <v>1418</v>
      </c>
      <c r="D64" s="539" t="s">
        <v>1419</v>
      </c>
      <c r="E64" s="551">
        <v>33</v>
      </c>
      <c r="F64" s="551">
        <v>34419</v>
      </c>
      <c r="G64" s="539">
        <v>1</v>
      </c>
      <c r="H64" s="539">
        <v>1043</v>
      </c>
      <c r="I64" s="551">
        <v>17</v>
      </c>
      <c r="J64" s="551">
        <v>17731</v>
      </c>
      <c r="K64" s="539">
        <v>0.51515151515151514</v>
      </c>
      <c r="L64" s="539">
        <v>1043</v>
      </c>
      <c r="M64" s="551">
        <v>42</v>
      </c>
      <c r="N64" s="551">
        <v>44100</v>
      </c>
      <c r="O64" s="544">
        <v>1.2812690665039659</v>
      </c>
      <c r="P64" s="552">
        <v>1050</v>
      </c>
    </row>
    <row r="65" spans="1:16" ht="14.4" customHeight="1" x14ac:dyDescent="0.3">
      <c r="A65" s="538" t="s">
        <v>1302</v>
      </c>
      <c r="B65" s="539" t="s">
        <v>1331</v>
      </c>
      <c r="C65" s="539" t="s">
        <v>1420</v>
      </c>
      <c r="D65" s="539" t="s">
        <v>1421</v>
      </c>
      <c r="E65" s="551">
        <v>1</v>
      </c>
      <c r="F65" s="551">
        <v>118</v>
      </c>
      <c r="G65" s="539">
        <v>1</v>
      </c>
      <c r="H65" s="539">
        <v>118</v>
      </c>
      <c r="I65" s="551">
        <v>4</v>
      </c>
      <c r="J65" s="551">
        <v>472</v>
      </c>
      <c r="K65" s="539">
        <v>4</v>
      </c>
      <c r="L65" s="539">
        <v>118</v>
      </c>
      <c r="M65" s="551"/>
      <c r="N65" s="551"/>
      <c r="O65" s="544"/>
      <c r="P65" s="552"/>
    </row>
    <row r="66" spans="1:16" ht="14.4" customHeight="1" x14ac:dyDescent="0.3">
      <c r="A66" s="538" t="s">
        <v>1302</v>
      </c>
      <c r="B66" s="539" t="s">
        <v>1331</v>
      </c>
      <c r="C66" s="539" t="s">
        <v>1422</v>
      </c>
      <c r="D66" s="539" t="s">
        <v>1423</v>
      </c>
      <c r="E66" s="551"/>
      <c r="F66" s="551"/>
      <c r="G66" s="539"/>
      <c r="H66" s="539"/>
      <c r="I66" s="551"/>
      <c r="J66" s="551"/>
      <c r="K66" s="539"/>
      <c r="L66" s="539"/>
      <c r="M66" s="551">
        <v>1</v>
      </c>
      <c r="N66" s="551">
        <v>57</v>
      </c>
      <c r="O66" s="544"/>
      <c r="P66" s="552">
        <v>57</v>
      </c>
    </row>
    <row r="67" spans="1:16" ht="14.4" customHeight="1" x14ac:dyDescent="0.3">
      <c r="A67" s="538" t="s">
        <v>1302</v>
      </c>
      <c r="B67" s="539" t="s">
        <v>1331</v>
      </c>
      <c r="C67" s="539" t="s">
        <v>1424</v>
      </c>
      <c r="D67" s="539" t="s">
        <v>1425</v>
      </c>
      <c r="E67" s="551">
        <v>13</v>
      </c>
      <c r="F67" s="551">
        <v>8892</v>
      </c>
      <c r="G67" s="539">
        <v>1</v>
      </c>
      <c r="H67" s="539">
        <v>684</v>
      </c>
      <c r="I67" s="551">
        <v>8</v>
      </c>
      <c r="J67" s="551">
        <v>5472</v>
      </c>
      <c r="K67" s="539">
        <v>0.61538461538461542</v>
      </c>
      <c r="L67" s="539">
        <v>684</v>
      </c>
      <c r="M67" s="551">
        <v>22</v>
      </c>
      <c r="N67" s="551">
        <v>15202</v>
      </c>
      <c r="O67" s="544">
        <v>1.7096266306792622</v>
      </c>
      <c r="P67" s="552">
        <v>691</v>
      </c>
    </row>
    <row r="68" spans="1:16" ht="14.4" customHeight="1" x14ac:dyDescent="0.3">
      <c r="A68" s="538" t="s">
        <v>1302</v>
      </c>
      <c r="B68" s="539" t="s">
        <v>1331</v>
      </c>
      <c r="C68" s="539" t="s">
        <v>1426</v>
      </c>
      <c r="D68" s="539" t="s">
        <v>1427</v>
      </c>
      <c r="E68" s="551"/>
      <c r="F68" s="551"/>
      <c r="G68" s="539"/>
      <c r="H68" s="539"/>
      <c r="I68" s="551"/>
      <c r="J68" s="551"/>
      <c r="K68" s="539"/>
      <c r="L68" s="539"/>
      <c r="M68" s="551">
        <v>2</v>
      </c>
      <c r="N68" s="551">
        <v>788</v>
      </c>
      <c r="O68" s="544"/>
      <c r="P68" s="552">
        <v>394</v>
      </c>
    </row>
    <row r="69" spans="1:16" ht="14.4" customHeight="1" x14ac:dyDescent="0.3">
      <c r="A69" s="538" t="s">
        <v>1302</v>
      </c>
      <c r="B69" s="539" t="s">
        <v>1331</v>
      </c>
      <c r="C69" s="539" t="s">
        <v>1428</v>
      </c>
      <c r="D69" s="539" t="s">
        <v>1429</v>
      </c>
      <c r="E69" s="551">
        <v>1</v>
      </c>
      <c r="F69" s="551">
        <v>88</v>
      </c>
      <c r="G69" s="539">
        <v>1</v>
      </c>
      <c r="H69" s="539">
        <v>88</v>
      </c>
      <c r="I69" s="551">
        <v>6</v>
      </c>
      <c r="J69" s="551">
        <v>528</v>
      </c>
      <c r="K69" s="539">
        <v>6</v>
      </c>
      <c r="L69" s="539">
        <v>88</v>
      </c>
      <c r="M69" s="551"/>
      <c r="N69" s="551"/>
      <c r="O69" s="544"/>
      <c r="P69" s="552"/>
    </row>
    <row r="70" spans="1:16" ht="14.4" customHeight="1" x14ac:dyDescent="0.3">
      <c r="A70" s="538" t="s">
        <v>1302</v>
      </c>
      <c r="B70" s="539" t="s">
        <v>1331</v>
      </c>
      <c r="C70" s="539" t="s">
        <v>1430</v>
      </c>
      <c r="D70" s="539" t="s">
        <v>1431</v>
      </c>
      <c r="E70" s="551">
        <v>6</v>
      </c>
      <c r="F70" s="551">
        <v>1062</v>
      </c>
      <c r="G70" s="539">
        <v>1</v>
      </c>
      <c r="H70" s="539">
        <v>177</v>
      </c>
      <c r="I70" s="551">
        <v>8</v>
      </c>
      <c r="J70" s="551">
        <v>1416</v>
      </c>
      <c r="K70" s="539">
        <v>1.3333333333333333</v>
      </c>
      <c r="L70" s="539">
        <v>177</v>
      </c>
      <c r="M70" s="551">
        <v>2</v>
      </c>
      <c r="N70" s="551">
        <v>358</v>
      </c>
      <c r="O70" s="544">
        <v>0.33709981167608288</v>
      </c>
      <c r="P70" s="552">
        <v>179</v>
      </c>
    </row>
    <row r="71" spans="1:16" ht="14.4" customHeight="1" x14ac:dyDescent="0.3">
      <c r="A71" s="538" t="s">
        <v>1302</v>
      </c>
      <c r="B71" s="539" t="s">
        <v>1331</v>
      </c>
      <c r="C71" s="539" t="s">
        <v>1432</v>
      </c>
      <c r="D71" s="539" t="s">
        <v>1433</v>
      </c>
      <c r="E71" s="551"/>
      <c r="F71" s="551"/>
      <c r="G71" s="539"/>
      <c r="H71" s="539"/>
      <c r="I71" s="551">
        <v>1</v>
      </c>
      <c r="J71" s="551">
        <v>628</v>
      </c>
      <c r="K71" s="539"/>
      <c r="L71" s="539">
        <v>628</v>
      </c>
      <c r="M71" s="551"/>
      <c r="N71" s="551"/>
      <c r="O71" s="544"/>
      <c r="P71" s="552"/>
    </row>
    <row r="72" spans="1:16" ht="14.4" customHeight="1" x14ac:dyDescent="0.3">
      <c r="A72" s="538" t="s">
        <v>1302</v>
      </c>
      <c r="B72" s="539" t="s">
        <v>1331</v>
      </c>
      <c r="C72" s="539" t="s">
        <v>1434</v>
      </c>
      <c r="D72" s="539" t="s">
        <v>1435</v>
      </c>
      <c r="E72" s="551">
        <v>2</v>
      </c>
      <c r="F72" s="551">
        <v>238</v>
      </c>
      <c r="G72" s="539">
        <v>1</v>
      </c>
      <c r="H72" s="539">
        <v>119</v>
      </c>
      <c r="I72" s="551">
        <v>8</v>
      </c>
      <c r="J72" s="551">
        <v>952</v>
      </c>
      <c r="K72" s="539">
        <v>4</v>
      </c>
      <c r="L72" s="539">
        <v>119</v>
      </c>
      <c r="M72" s="551">
        <v>23</v>
      </c>
      <c r="N72" s="551">
        <v>2783</v>
      </c>
      <c r="O72" s="544">
        <v>11.693277310924369</v>
      </c>
      <c r="P72" s="552">
        <v>121</v>
      </c>
    </row>
    <row r="73" spans="1:16" ht="14.4" customHeight="1" x14ac:dyDescent="0.3">
      <c r="A73" s="538" t="s">
        <v>1302</v>
      </c>
      <c r="B73" s="539" t="s">
        <v>1331</v>
      </c>
      <c r="C73" s="539" t="s">
        <v>1436</v>
      </c>
      <c r="D73" s="539" t="s">
        <v>1437</v>
      </c>
      <c r="E73" s="551">
        <v>6</v>
      </c>
      <c r="F73" s="551">
        <v>2106</v>
      </c>
      <c r="G73" s="539">
        <v>1</v>
      </c>
      <c r="H73" s="539">
        <v>351</v>
      </c>
      <c r="I73" s="551">
        <v>8</v>
      </c>
      <c r="J73" s="551">
        <v>2808</v>
      </c>
      <c r="K73" s="539">
        <v>1.3333333333333333</v>
      </c>
      <c r="L73" s="539">
        <v>351</v>
      </c>
      <c r="M73" s="551">
        <v>25</v>
      </c>
      <c r="N73" s="551">
        <v>8900</v>
      </c>
      <c r="O73" s="544">
        <v>4.2260208926875595</v>
      </c>
      <c r="P73" s="552">
        <v>356</v>
      </c>
    </row>
    <row r="74" spans="1:16" ht="14.4" customHeight="1" x14ac:dyDescent="0.3">
      <c r="A74" s="538" t="s">
        <v>1302</v>
      </c>
      <c r="B74" s="539" t="s">
        <v>1331</v>
      </c>
      <c r="C74" s="539" t="s">
        <v>1438</v>
      </c>
      <c r="D74" s="539" t="s">
        <v>1439</v>
      </c>
      <c r="E74" s="551">
        <v>1</v>
      </c>
      <c r="F74" s="551">
        <v>480</v>
      </c>
      <c r="G74" s="539">
        <v>1</v>
      </c>
      <c r="H74" s="539">
        <v>480</v>
      </c>
      <c r="I74" s="551"/>
      <c r="J74" s="551"/>
      <c r="K74" s="539"/>
      <c r="L74" s="539"/>
      <c r="M74" s="551"/>
      <c r="N74" s="551"/>
      <c r="O74" s="544"/>
      <c r="P74" s="552"/>
    </row>
    <row r="75" spans="1:16" ht="14.4" customHeight="1" x14ac:dyDescent="0.3">
      <c r="A75" s="538" t="s">
        <v>1302</v>
      </c>
      <c r="B75" s="539" t="s">
        <v>1331</v>
      </c>
      <c r="C75" s="539" t="s">
        <v>1440</v>
      </c>
      <c r="D75" s="539" t="s">
        <v>1441</v>
      </c>
      <c r="E75" s="551">
        <v>14</v>
      </c>
      <c r="F75" s="551">
        <v>8722</v>
      </c>
      <c r="G75" s="539">
        <v>1</v>
      </c>
      <c r="H75" s="539">
        <v>623</v>
      </c>
      <c r="I75" s="551">
        <v>10</v>
      </c>
      <c r="J75" s="551">
        <v>6230</v>
      </c>
      <c r="K75" s="539">
        <v>0.7142857142857143</v>
      </c>
      <c r="L75" s="539">
        <v>623</v>
      </c>
      <c r="M75" s="551">
        <v>3</v>
      </c>
      <c r="N75" s="551">
        <v>1884</v>
      </c>
      <c r="O75" s="544">
        <v>0.21600550332492546</v>
      </c>
      <c r="P75" s="552">
        <v>628</v>
      </c>
    </row>
    <row r="76" spans="1:16" ht="14.4" customHeight="1" x14ac:dyDescent="0.3">
      <c r="A76" s="538" t="s">
        <v>1302</v>
      </c>
      <c r="B76" s="539" t="s">
        <v>1331</v>
      </c>
      <c r="C76" s="539" t="s">
        <v>1442</v>
      </c>
      <c r="D76" s="539" t="s">
        <v>1443</v>
      </c>
      <c r="E76" s="551">
        <v>6</v>
      </c>
      <c r="F76" s="551">
        <v>9456</v>
      </c>
      <c r="G76" s="539">
        <v>1</v>
      </c>
      <c r="H76" s="539">
        <v>1576</v>
      </c>
      <c r="I76" s="551">
        <v>2</v>
      </c>
      <c r="J76" s="551">
        <v>3152</v>
      </c>
      <c r="K76" s="539">
        <v>0.33333333333333331</v>
      </c>
      <c r="L76" s="539">
        <v>1576</v>
      </c>
      <c r="M76" s="551">
        <v>8</v>
      </c>
      <c r="N76" s="551">
        <v>12784</v>
      </c>
      <c r="O76" s="544">
        <v>1.3519458544839256</v>
      </c>
      <c r="P76" s="552">
        <v>1598</v>
      </c>
    </row>
    <row r="77" spans="1:16" ht="14.4" customHeight="1" x14ac:dyDescent="0.3">
      <c r="A77" s="538" t="s">
        <v>1302</v>
      </c>
      <c r="B77" s="539" t="s">
        <v>1331</v>
      </c>
      <c r="C77" s="539" t="s">
        <v>1444</v>
      </c>
      <c r="D77" s="539" t="s">
        <v>1445</v>
      </c>
      <c r="E77" s="551">
        <v>6</v>
      </c>
      <c r="F77" s="551">
        <v>684</v>
      </c>
      <c r="G77" s="539">
        <v>1</v>
      </c>
      <c r="H77" s="539">
        <v>114</v>
      </c>
      <c r="I77" s="551">
        <v>15</v>
      </c>
      <c r="J77" s="551">
        <v>1710</v>
      </c>
      <c r="K77" s="539">
        <v>2.5</v>
      </c>
      <c r="L77" s="539">
        <v>114</v>
      </c>
      <c r="M77" s="551">
        <v>2</v>
      </c>
      <c r="N77" s="551">
        <v>232</v>
      </c>
      <c r="O77" s="544">
        <v>0.33918128654970758</v>
      </c>
      <c r="P77" s="552">
        <v>116</v>
      </c>
    </row>
    <row r="78" spans="1:16" ht="14.4" customHeight="1" x14ac:dyDescent="0.3">
      <c r="A78" s="538" t="s">
        <v>1302</v>
      </c>
      <c r="B78" s="539" t="s">
        <v>1331</v>
      </c>
      <c r="C78" s="539" t="s">
        <v>1446</v>
      </c>
      <c r="D78" s="539" t="s">
        <v>1447</v>
      </c>
      <c r="E78" s="551">
        <v>36</v>
      </c>
      <c r="F78" s="551">
        <v>7200</v>
      </c>
      <c r="G78" s="539">
        <v>1</v>
      </c>
      <c r="H78" s="539">
        <v>200</v>
      </c>
      <c r="I78" s="551">
        <v>33</v>
      </c>
      <c r="J78" s="551">
        <v>6600</v>
      </c>
      <c r="K78" s="539">
        <v>0.91666666666666663</v>
      </c>
      <c r="L78" s="539">
        <v>200</v>
      </c>
      <c r="M78" s="551">
        <v>18</v>
      </c>
      <c r="N78" s="551">
        <v>3636</v>
      </c>
      <c r="O78" s="544">
        <v>0.505</v>
      </c>
      <c r="P78" s="552">
        <v>202</v>
      </c>
    </row>
    <row r="79" spans="1:16" ht="14.4" customHeight="1" x14ac:dyDescent="0.3">
      <c r="A79" s="538" t="s">
        <v>1302</v>
      </c>
      <c r="B79" s="539" t="s">
        <v>1331</v>
      </c>
      <c r="C79" s="539" t="s">
        <v>1448</v>
      </c>
      <c r="D79" s="539" t="s">
        <v>1449</v>
      </c>
      <c r="E79" s="551">
        <v>24</v>
      </c>
      <c r="F79" s="551">
        <v>5784</v>
      </c>
      <c r="G79" s="539">
        <v>1</v>
      </c>
      <c r="H79" s="539">
        <v>241</v>
      </c>
      <c r="I79" s="551">
        <v>31</v>
      </c>
      <c r="J79" s="551">
        <v>7471</v>
      </c>
      <c r="K79" s="539">
        <v>1.2916666666666667</v>
      </c>
      <c r="L79" s="539">
        <v>241</v>
      </c>
      <c r="M79" s="551">
        <v>34</v>
      </c>
      <c r="N79" s="551">
        <v>8262</v>
      </c>
      <c r="O79" s="544">
        <v>1.4284232365145229</v>
      </c>
      <c r="P79" s="552">
        <v>243</v>
      </c>
    </row>
    <row r="80" spans="1:16" ht="14.4" customHeight="1" x14ac:dyDescent="0.3">
      <c r="A80" s="538" t="s">
        <v>1302</v>
      </c>
      <c r="B80" s="539" t="s">
        <v>1331</v>
      </c>
      <c r="C80" s="539" t="s">
        <v>1450</v>
      </c>
      <c r="D80" s="539" t="s">
        <v>1451</v>
      </c>
      <c r="E80" s="551">
        <v>14</v>
      </c>
      <c r="F80" s="551">
        <v>48986</v>
      </c>
      <c r="G80" s="539">
        <v>1</v>
      </c>
      <c r="H80" s="539">
        <v>3499</v>
      </c>
      <c r="I80" s="551">
        <v>3</v>
      </c>
      <c r="J80" s="551">
        <v>10497</v>
      </c>
      <c r="K80" s="539">
        <v>0.21428571428571427</v>
      </c>
      <c r="L80" s="539">
        <v>3499</v>
      </c>
      <c r="M80" s="551">
        <v>7</v>
      </c>
      <c r="N80" s="551">
        <v>24745</v>
      </c>
      <c r="O80" s="544">
        <v>0.50514432695055733</v>
      </c>
      <c r="P80" s="552">
        <v>3535</v>
      </c>
    </row>
    <row r="81" spans="1:16" ht="14.4" customHeight="1" x14ac:dyDescent="0.3">
      <c r="A81" s="538" t="s">
        <v>1302</v>
      </c>
      <c r="B81" s="539" t="s">
        <v>1331</v>
      </c>
      <c r="C81" s="539" t="s">
        <v>1452</v>
      </c>
      <c r="D81" s="539" t="s">
        <v>1453</v>
      </c>
      <c r="E81" s="551"/>
      <c r="F81" s="551"/>
      <c r="G81" s="539"/>
      <c r="H81" s="539"/>
      <c r="I81" s="551">
        <v>2</v>
      </c>
      <c r="J81" s="551">
        <v>3306</v>
      </c>
      <c r="K81" s="539"/>
      <c r="L81" s="539">
        <v>1653</v>
      </c>
      <c r="M81" s="551">
        <v>2</v>
      </c>
      <c r="N81" s="551">
        <v>3334</v>
      </c>
      <c r="O81" s="544"/>
      <c r="P81" s="552">
        <v>1667</v>
      </c>
    </row>
    <row r="82" spans="1:16" ht="14.4" customHeight="1" x14ac:dyDescent="0.3">
      <c r="A82" s="538" t="s">
        <v>1302</v>
      </c>
      <c r="B82" s="539" t="s">
        <v>1331</v>
      </c>
      <c r="C82" s="539" t="s">
        <v>1454</v>
      </c>
      <c r="D82" s="539" t="s">
        <v>1455</v>
      </c>
      <c r="E82" s="551"/>
      <c r="F82" s="551"/>
      <c r="G82" s="539"/>
      <c r="H82" s="539"/>
      <c r="I82" s="551">
        <v>1</v>
      </c>
      <c r="J82" s="551">
        <v>851</v>
      </c>
      <c r="K82" s="539"/>
      <c r="L82" s="539">
        <v>851</v>
      </c>
      <c r="M82" s="551">
        <v>2</v>
      </c>
      <c r="N82" s="551">
        <v>1724</v>
      </c>
      <c r="O82" s="544"/>
      <c r="P82" s="552">
        <v>862</v>
      </c>
    </row>
    <row r="83" spans="1:16" ht="14.4" customHeight="1" x14ac:dyDescent="0.3">
      <c r="A83" s="538" t="s">
        <v>1302</v>
      </c>
      <c r="B83" s="539" t="s">
        <v>1331</v>
      </c>
      <c r="C83" s="539" t="s">
        <v>1456</v>
      </c>
      <c r="D83" s="539" t="s">
        <v>1457</v>
      </c>
      <c r="E83" s="551">
        <v>1</v>
      </c>
      <c r="F83" s="551">
        <v>300</v>
      </c>
      <c r="G83" s="539">
        <v>1</v>
      </c>
      <c r="H83" s="539">
        <v>300</v>
      </c>
      <c r="I83" s="551"/>
      <c r="J83" s="551"/>
      <c r="K83" s="539"/>
      <c r="L83" s="539"/>
      <c r="M83" s="551"/>
      <c r="N83" s="551"/>
      <c r="O83" s="544"/>
      <c r="P83" s="552"/>
    </row>
    <row r="84" spans="1:16" ht="14.4" customHeight="1" x14ac:dyDescent="0.3">
      <c r="A84" s="538" t="s">
        <v>1302</v>
      </c>
      <c r="B84" s="539" t="s">
        <v>1331</v>
      </c>
      <c r="C84" s="539" t="s">
        <v>1458</v>
      </c>
      <c r="D84" s="539" t="s">
        <v>1459</v>
      </c>
      <c r="E84" s="551">
        <v>5</v>
      </c>
      <c r="F84" s="551">
        <v>1555</v>
      </c>
      <c r="G84" s="539">
        <v>1</v>
      </c>
      <c r="H84" s="539">
        <v>311</v>
      </c>
      <c r="I84" s="551">
        <v>5</v>
      </c>
      <c r="J84" s="551">
        <v>1555</v>
      </c>
      <c r="K84" s="539">
        <v>1</v>
      </c>
      <c r="L84" s="539">
        <v>311</v>
      </c>
      <c r="M84" s="551"/>
      <c r="N84" s="551"/>
      <c r="O84" s="544"/>
      <c r="P84" s="552"/>
    </row>
    <row r="85" spans="1:16" ht="14.4" customHeight="1" x14ac:dyDescent="0.3">
      <c r="A85" s="538" t="s">
        <v>1302</v>
      </c>
      <c r="B85" s="539" t="s">
        <v>1331</v>
      </c>
      <c r="C85" s="539" t="s">
        <v>1460</v>
      </c>
      <c r="D85" s="539" t="s">
        <v>1461</v>
      </c>
      <c r="E85" s="551">
        <v>3</v>
      </c>
      <c r="F85" s="551">
        <v>2982</v>
      </c>
      <c r="G85" s="539">
        <v>1</v>
      </c>
      <c r="H85" s="539">
        <v>994</v>
      </c>
      <c r="I85" s="551">
        <v>0</v>
      </c>
      <c r="J85" s="551">
        <v>0</v>
      </c>
      <c r="K85" s="539">
        <v>0</v>
      </c>
      <c r="L85" s="539"/>
      <c r="M85" s="551"/>
      <c r="N85" s="551"/>
      <c r="O85" s="544"/>
      <c r="P85" s="552"/>
    </row>
    <row r="86" spans="1:16" ht="14.4" customHeight="1" x14ac:dyDescent="0.3">
      <c r="A86" s="538" t="s">
        <v>1302</v>
      </c>
      <c r="B86" s="539" t="s">
        <v>1331</v>
      </c>
      <c r="C86" s="539" t="s">
        <v>1462</v>
      </c>
      <c r="D86" s="539" t="s">
        <v>1463</v>
      </c>
      <c r="E86" s="551">
        <v>24</v>
      </c>
      <c r="F86" s="551">
        <v>19392</v>
      </c>
      <c r="G86" s="539">
        <v>1</v>
      </c>
      <c r="H86" s="539">
        <v>808</v>
      </c>
      <c r="I86" s="551">
        <v>41</v>
      </c>
      <c r="J86" s="551">
        <v>33128</v>
      </c>
      <c r="K86" s="539">
        <v>1.7083333333333333</v>
      </c>
      <c r="L86" s="539">
        <v>808</v>
      </c>
      <c r="M86" s="551">
        <v>45</v>
      </c>
      <c r="N86" s="551">
        <v>36675</v>
      </c>
      <c r="O86" s="544">
        <v>1.8912438118811881</v>
      </c>
      <c r="P86" s="552">
        <v>815</v>
      </c>
    </row>
    <row r="87" spans="1:16" ht="14.4" customHeight="1" x14ac:dyDescent="0.3">
      <c r="A87" s="538" t="s">
        <v>1302</v>
      </c>
      <c r="B87" s="539" t="s">
        <v>1331</v>
      </c>
      <c r="C87" s="539" t="s">
        <v>1464</v>
      </c>
      <c r="D87" s="539" t="s">
        <v>1465</v>
      </c>
      <c r="E87" s="551">
        <v>8</v>
      </c>
      <c r="F87" s="551">
        <v>6832</v>
      </c>
      <c r="G87" s="539">
        <v>1</v>
      </c>
      <c r="H87" s="539">
        <v>854</v>
      </c>
      <c r="I87" s="551">
        <v>8</v>
      </c>
      <c r="J87" s="551">
        <v>6832</v>
      </c>
      <c r="K87" s="539">
        <v>1</v>
      </c>
      <c r="L87" s="539">
        <v>854</v>
      </c>
      <c r="M87" s="551">
        <v>19</v>
      </c>
      <c r="N87" s="551">
        <v>16378</v>
      </c>
      <c r="O87" s="544">
        <v>2.3972482435597189</v>
      </c>
      <c r="P87" s="552">
        <v>862</v>
      </c>
    </row>
    <row r="88" spans="1:16" ht="14.4" customHeight="1" x14ac:dyDescent="0.3">
      <c r="A88" s="538" t="s">
        <v>1302</v>
      </c>
      <c r="B88" s="539" t="s">
        <v>1331</v>
      </c>
      <c r="C88" s="539" t="s">
        <v>1466</v>
      </c>
      <c r="D88" s="539" t="s">
        <v>1467</v>
      </c>
      <c r="E88" s="551">
        <v>19</v>
      </c>
      <c r="F88" s="551">
        <v>21926</v>
      </c>
      <c r="G88" s="539">
        <v>1</v>
      </c>
      <c r="H88" s="539">
        <v>1154</v>
      </c>
      <c r="I88" s="551">
        <v>3</v>
      </c>
      <c r="J88" s="551">
        <v>3462</v>
      </c>
      <c r="K88" s="539">
        <v>0.15789473684210525</v>
      </c>
      <c r="L88" s="539">
        <v>1154</v>
      </c>
      <c r="M88" s="551">
        <v>2</v>
      </c>
      <c r="N88" s="551">
        <v>2330</v>
      </c>
      <c r="O88" s="544">
        <v>0.10626653288333486</v>
      </c>
      <c r="P88" s="552">
        <v>1165</v>
      </c>
    </row>
    <row r="89" spans="1:16" ht="14.4" customHeight="1" x14ac:dyDescent="0.3">
      <c r="A89" s="538" t="s">
        <v>1302</v>
      </c>
      <c r="B89" s="539" t="s">
        <v>1331</v>
      </c>
      <c r="C89" s="539" t="s">
        <v>1468</v>
      </c>
      <c r="D89" s="539" t="s">
        <v>1469</v>
      </c>
      <c r="E89" s="551"/>
      <c r="F89" s="551"/>
      <c r="G89" s="539"/>
      <c r="H89" s="539"/>
      <c r="I89" s="551">
        <v>1</v>
      </c>
      <c r="J89" s="551">
        <v>1796</v>
      </c>
      <c r="K89" s="539"/>
      <c r="L89" s="539">
        <v>1796</v>
      </c>
      <c r="M89" s="551"/>
      <c r="N89" s="551"/>
      <c r="O89" s="544"/>
      <c r="P89" s="552"/>
    </row>
    <row r="90" spans="1:16" ht="14.4" customHeight="1" x14ac:dyDescent="0.3">
      <c r="A90" s="538" t="s">
        <v>1302</v>
      </c>
      <c r="B90" s="539" t="s">
        <v>1331</v>
      </c>
      <c r="C90" s="539" t="s">
        <v>1470</v>
      </c>
      <c r="D90" s="539" t="s">
        <v>1471</v>
      </c>
      <c r="E90" s="551">
        <v>2</v>
      </c>
      <c r="F90" s="551">
        <v>1454</v>
      </c>
      <c r="G90" s="539">
        <v>1</v>
      </c>
      <c r="H90" s="539">
        <v>727</v>
      </c>
      <c r="I90" s="551"/>
      <c r="J90" s="551"/>
      <c r="K90" s="539"/>
      <c r="L90" s="539"/>
      <c r="M90" s="551"/>
      <c r="N90" s="551"/>
      <c r="O90" s="544"/>
      <c r="P90" s="552"/>
    </row>
    <row r="91" spans="1:16" ht="14.4" customHeight="1" x14ac:dyDescent="0.3">
      <c r="A91" s="538" t="s">
        <v>1302</v>
      </c>
      <c r="B91" s="539" t="s">
        <v>1331</v>
      </c>
      <c r="C91" s="539" t="s">
        <v>1472</v>
      </c>
      <c r="D91" s="539" t="s">
        <v>1473</v>
      </c>
      <c r="E91" s="551">
        <v>4</v>
      </c>
      <c r="F91" s="551">
        <v>256</v>
      </c>
      <c r="G91" s="539">
        <v>1</v>
      </c>
      <c r="H91" s="539">
        <v>64</v>
      </c>
      <c r="I91" s="551">
        <v>5</v>
      </c>
      <c r="J91" s="551">
        <v>320</v>
      </c>
      <c r="K91" s="539">
        <v>1.25</v>
      </c>
      <c r="L91" s="539">
        <v>64</v>
      </c>
      <c r="M91" s="551">
        <v>4</v>
      </c>
      <c r="N91" s="551">
        <v>260</v>
      </c>
      <c r="O91" s="544">
        <v>1.015625</v>
      </c>
      <c r="P91" s="552">
        <v>65</v>
      </c>
    </row>
    <row r="92" spans="1:16" ht="14.4" customHeight="1" x14ac:dyDescent="0.3">
      <c r="A92" s="538" t="s">
        <v>1302</v>
      </c>
      <c r="B92" s="539" t="s">
        <v>1331</v>
      </c>
      <c r="C92" s="539" t="s">
        <v>1474</v>
      </c>
      <c r="D92" s="539" t="s">
        <v>1475</v>
      </c>
      <c r="E92" s="551"/>
      <c r="F92" s="551"/>
      <c r="G92" s="539"/>
      <c r="H92" s="539"/>
      <c r="I92" s="551">
        <v>2</v>
      </c>
      <c r="J92" s="551">
        <v>1756</v>
      </c>
      <c r="K92" s="539"/>
      <c r="L92" s="539">
        <v>878</v>
      </c>
      <c r="M92" s="551">
        <v>1</v>
      </c>
      <c r="N92" s="551">
        <v>885</v>
      </c>
      <c r="O92" s="544"/>
      <c r="P92" s="552">
        <v>885</v>
      </c>
    </row>
    <row r="93" spans="1:16" ht="14.4" customHeight="1" x14ac:dyDescent="0.3">
      <c r="A93" s="538" t="s">
        <v>1302</v>
      </c>
      <c r="B93" s="539" t="s">
        <v>1331</v>
      </c>
      <c r="C93" s="539" t="s">
        <v>1476</v>
      </c>
      <c r="D93" s="539" t="s">
        <v>1477</v>
      </c>
      <c r="E93" s="551">
        <v>4</v>
      </c>
      <c r="F93" s="551">
        <v>4068</v>
      </c>
      <c r="G93" s="539">
        <v>1</v>
      </c>
      <c r="H93" s="539">
        <v>1017</v>
      </c>
      <c r="I93" s="551"/>
      <c r="J93" s="551"/>
      <c r="K93" s="539"/>
      <c r="L93" s="539"/>
      <c r="M93" s="551">
        <v>2</v>
      </c>
      <c r="N93" s="551">
        <v>2054</v>
      </c>
      <c r="O93" s="544">
        <v>0.50491642084562438</v>
      </c>
      <c r="P93" s="552">
        <v>1027</v>
      </c>
    </row>
    <row r="94" spans="1:16" ht="14.4" customHeight="1" x14ac:dyDescent="0.3">
      <c r="A94" s="538" t="s">
        <v>1302</v>
      </c>
      <c r="B94" s="539" t="s">
        <v>1331</v>
      </c>
      <c r="C94" s="539" t="s">
        <v>1478</v>
      </c>
      <c r="D94" s="539" t="s">
        <v>1479</v>
      </c>
      <c r="E94" s="551">
        <v>2</v>
      </c>
      <c r="F94" s="551">
        <v>914</v>
      </c>
      <c r="G94" s="539">
        <v>1</v>
      </c>
      <c r="H94" s="539">
        <v>457</v>
      </c>
      <c r="I94" s="551"/>
      <c r="J94" s="551"/>
      <c r="K94" s="539"/>
      <c r="L94" s="539"/>
      <c r="M94" s="551"/>
      <c r="N94" s="551"/>
      <c r="O94" s="544"/>
      <c r="P94" s="552"/>
    </row>
    <row r="95" spans="1:16" ht="14.4" customHeight="1" x14ac:dyDescent="0.3">
      <c r="A95" s="538" t="s">
        <v>1302</v>
      </c>
      <c r="B95" s="539" t="s">
        <v>1331</v>
      </c>
      <c r="C95" s="539" t="s">
        <v>1480</v>
      </c>
      <c r="D95" s="539" t="s">
        <v>1481</v>
      </c>
      <c r="E95" s="551"/>
      <c r="F95" s="551"/>
      <c r="G95" s="539"/>
      <c r="H95" s="539"/>
      <c r="I95" s="551">
        <v>1</v>
      </c>
      <c r="J95" s="551">
        <v>569</v>
      </c>
      <c r="K95" s="539"/>
      <c r="L95" s="539">
        <v>569</v>
      </c>
      <c r="M95" s="551"/>
      <c r="N95" s="551"/>
      <c r="O95" s="544"/>
      <c r="P95" s="552"/>
    </row>
    <row r="96" spans="1:16" ht="14.4" customHeight="1" x14ac:dyDescent="0.3">
      <c r="A96" s="538" t="s">
        <v>1302</v>
      </c>
      <c r="B96" s="539" t="s">
        <v>1331</v>
      </c>
      <c r="C96" s="539" t="s">
        <v>1482</v>
      </c>
      <c r="D96" s="539" t="s">
        <v>1483</v>
      </c>
      <c r="E96" s="551"/>
      <c r="F96" s="551"/>
      <c r="G96" s="539"/>
      <c r="H96" s="539"/>
      <c r="I96" s="551"/>
      <c r="J96" s="551"/>
      <c r="K96" s="539"/>
      <c r="L96" s="539"/>
      <c r="M96" s="551">
        <v>4</v>
      </c>
      <c r="N96" s="551">
        <v>8548</v>
      </c>
      <c r="O96" s="544"/>
      <c r="P96" s="552">
        <v>2137</v>
      </c>
    </row>
    <row r="97" spans="1:16" ht="14.4" customHeight="1" x14ac:dyDescent="0.3">
      <c r="A97" s="538" t="s">
        <v>1302</v>
      </c>
      <c r="B97" s="539" t="s">
        <v>1331</v>
      </c>
      <c r="C97" s="539" t="s">
        <v>1484</v>
      </c>
      <c r="D97" s="539" t="s">
        <v>1485</v>
      </c>
      <c r="E97" s="551">
        <v>1</v>
      </c>
      <c r="F97" s="551">
        <v>776</v>
      </c>
      <c r="G97" s="539">
        <v>1</v>
      </c>
      <c r="H97" s="539">
        <v>776</v>
      </c>
      <c r="I97" s="551"/>
      <c r="J97" s="551"/>
      <c r="K97" s="539"/>
      <c r="L97" s="539"/>
      <c r="M97" s="551">
        <v>1</v>
      </c>
      <c r="N97" s="551">
        <v>790</v>
      </c>
      <c r="O97" s="544">
        <v>1.018041237113402</v>
      </c>
      <c r="P97" s="552">
        <v>790</v>
      </c>
    </row>
    <row r="98" spans="1:16" ht="14.4" customHeight="1" x14ac:dyDescent="0.3">
      <c r="A98" s="538" t="s">
        <v>1302</v>
      </c>
      <c r="B98" s="539" t="s">
        <v>1331</v>
      </c>
      <c r="C98" s="539" t="s">
        <v>1486</v>
      </c>
      <c r="D98" s="539" t="s">
        <v>1487</v>
      </c>
      <c r="E98" s="551"/>
      <c r="F98" s="551"/>
      <c r="G98" s="539"/>
      <c r="H98" s="539"/>
      <c r="I98" s="551"/>
      <c r="J98" s="551"/>
      <c r="K98" s="539"/>
      <c r="L98" s="539"/>
      <c r="M98" s="551">
        <v>3</v>
      </c>
      <c r="N98" s="551">
        <v>321</v>
      </c>
      <c r="O98" s="544"/>
      <c r="P98" s="552">
        <v>107</v>
      </c>
    </row>
    <row r="99" spans="1:16" ht="14.4" customHeight="1" thickBot="1" x14ac:dyDescent="0.35">
      <c r="A99" s="530" t="s">
        <v>1488</v>
      </c>
      <c r="B99" s="531" t="s">
        <v>1331</v>
      </c>
      <c r="C99" s="531" t="s">
        <v>1489</v>
      </c>
      <c r="D99" s="531" t="s">
        <v>1490</v>
      </c>
      <c r="E99" s="553">
        <v>4</v>
      </c>
      <c r="F99" s="553">
        <v>3952</v>
      </c>
      <c r="G99" s="531">
        <v>1</v>
      </c>
      <c r="H99" s="531">
        <v>988</v>
      </c>
      <c r="I99" s="553"/>
      <c r="J99" s="553"/>
      <c r="K99" s="531"/>
      <c r="L99" s="531"/>
      <c r="M99" s="553"/>
      <c r="N99" s="553"/>
      <c r="O99" s="536"/>
      <c r="P99" s="554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5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5" customWidth="1"/>
    <col min="20" max="16384" width="8.88671875" style="133"/>
  </cols>
  <sheetData>
    <row r="1" spans="1:19" ht="18.600000000000001" customHeight="1" thickBot="1" x14ac:dyDescent="0.4">
      <c r="A1" s="339" t="s">
        <v>131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40" t="s">
        <v>281</v>
      </c>
      <c r="B2" s="231"/>
      <c r="C2" s="114"/>
      <c r="D2" s="231"/>
      <c r="E2" s="114"/>
      <c r="F2" s="231"/>
      <c r="G2" s="232"/>
      <c r="H2" s="231"/>
      <c r="I2" s="114"/>
      <c r="J2" s="231"/>
      <c r="K2" s="114"/>
      <c r="L2" s="231"/>
      <c r="M2" s="232"/>
      <c r="N2" s="231"/>
      <c r="O2" s="114"/>
      <c r="P2" s="231"/>
      <c r="Q2" s="114"/>
      <c r="R2" s="231"/>
      <c r="S2" s="232"/>
    </row>
    <row r="3" spans="1:19" ht="14.4" customHeight="1" thickBot="1" x14ac:dyDescent="0.35">
      <c r="A3" s="225" t="s">
        <v>133</v>
      </c>
      <c r="B3" s="226">
        <f>SUBTOTAL(9,B6:B1048576)</f>
        <v>37619</v>
      </c>
      <c r="C3" s="227">
        <f t="shared" ref="C3:R3" si="0">SUBTOTAL(9,C6:C1048576)</f>
        <v>16</v>
      </c>
      <c r="D3" s="227">
        <f t="shared" si="0"/>
        <v>127217</v>
      </c>
      <c r="E3" s="227">
        <f t="shared" si="0"/>
        <v>23.023105553212943</v>
      </c>
      <c r="F3" s="227">
        <f t="shared" si="0"/>
        <v>108912</v>
      </c>
      <c r="G3" s="230">
        <f>IF(B3&lt;&gt;0,F3/B3,"")</f>
        <v>2.8951327786490868</v>
      </c>
      <c r="H3" s="226">
        <f t="shared" si="0"/>
        <v>0</v>
      </c>
      <c r="I3" s="227">
        <f t="shared" si="0"/>
        <v>0</v>
      </c>
      <c r="J3" s="227">
        <f t="shared" si="0"/>
        <v>227.51</v>
      </c>
      <c r="K3" s="227">
        <f t="shared" si="0"/>
        <v>0</v>
      </c>
      <c r="L3" s="227">
        <f t="shared" si="0"/>
        <v>0</v>
      </c>
      <c r="M3" s="228" t="str">
        <f>IF(H3&lt;&gt;0,L3/H3,"")</f>
        <v/>
      </c>
      <c r="N3" s="229">
        <f t="shared" si="0"/>
        <v>0</v>
      </c>
      <c r="O3" s="227">
        <f t="shared" si="0"/>
        <v>0</v>
      </c>
      <c r="P3" s="227">
        <f t="shared" si="0"/>
        <v>0</v>
      </c>
      <c r="Q3" s="227">
        <f t="shared" si="0"/>
        <v>0</v>
      </c>
      <c r="R3" s="227">
        <f t="shared" si="0"/>
        <v>0</v>
      </c>
      <c r="S3" s="228" t="str">
        <f>IF(N3&lt;&gt;0,R3/N3,"")</f>
        <v/>
      </c>
    </row>
    <row r="4" spans="1:19" ht="14.4" customHeight="1" x14ac:dyDescent="0.3">
      <c r="A4" s="403" t="s">
        <v>107</v>
      </c>
      <c r="B4" s="404" t="s">
        <v>101</v>
      </c>
      <c r="C4" s="405"/>
      <c r="D4" s="405"/>
      <c r="E4" s="405"/>
      <c r="F4" s="405"/>
      <c r="G4" s="406"/>
      <c r="H4" s="404" t="s">
        <v>102</v>
      </c>
      <c r="I4" s="405"/>
      <c r="J4" s="405"/>
      <c r="K4" s="405"/>
      <c r="L4" s="405"/>
      <c r="M4" s="406"/>
      <c r="N4" s="404" t="s">
        <v>103</v>
      </c>
      <c r="O4" s="405"/>
      <c r="P4" s="405"/>
      <c r="Q4" s="405"/>
      <c r="R4" s="405"/>
      <c r="S4" s="406"/>
    </row>
    <row r="5" spans="1:19" ht="14.4" customHeight="1" thickBot="1" x14ac:dyDescent="0.35">
      <c r="A5" s="603"/>
      <c r="B5" s="604">
        <v>2013</v>
      </c>
      <c r="C5" s="605"/>
      <c r="D5" s="605">
        <v>2014</v>
      </c>
      <c r="E5" s="605"/>
      <c r="F5" s="605">
        <v>2015</v>
      </c>
      <c r="G5" s="606" t="s">
        <v>2</v>
      </c>
      <c r="H5" s="604">
        <v>2013</v>
      </c>
      <c r="I5" s="605"/>
      <c r="J5" s="605">
        <v>2014</v>
      </c>
      <c r="K5" s="605"/>
      <c r="L5" s="605">
        <v>2015</v>
      </c>
      <c r="M5" s="606" t="s">
        <v>2</v>
      </c>
      <c r="N5" s="604">
        <v>2013</v>
      </c>
      <c r="O5" s="605"/>
      <c r="P5" s="605">
        <v>2014</v>
      </c>
      <c r="Q5" s="605"/>
      <c r="R5" s="605">
        <v>2015</v>
      </c>
      <c r="S5" s="606" t="s">
        <v>2</v>
      </c>
    </row>
    <row r="6" spans="1:19" ht="14.4" customHeight="1" x14ac:dyDescent="0.3">
      <c r="A6" s="562" t="s">
        <v>1492</v>
      </c>
      <c r="B6" s="607">
        <v>1402</v>
      </c>
      <c r="C6" s="463">
        <v>1</v>
      </c>
      <c r="D6" s="607"/>
      <c r="E6" s="463"/>
      <c r="F6" s="607">
        <v>470</v>
      </c>
      <c r="G6" s="486">
        <v>0.33523537803138376</v>
      </c>
      <c r="H6" s="607"/>
      <c r="I6" s="463"/>
      <c r="J6" s="607"/>
      <c r="K6" s="463"/>
      <c r="L6" s="607"/>
      <c r="M6" s="486"/>
      <c r="N6" s="607"/>
      <c r="O6" s="463"/>
      <c r="P6" s="607"/>
      <c r="Q6" s="463"/>
      <c r="R6" s="607"/>
      <c r="S6" s="125"/>
    </row>
    <row r="7" spans="1:19" ht="14.4" customHeight="1" x14ac:dyDescent="0.3">
      <c r="A7" s="563" t="s">
        <v>1493</v>
      </c>
      <c r="B7" s="614">
        <v>812</v>
      </c>
      <c r="C7" s="539">
        <v>1</v>
      </c>
      <c r="D7" s="614"/>
      <c r="E7" s="539"/>
      <c r="F7" s="614">
        <v>3585</v>
      </c>
      <c r="G7" s="544">
        <v>4.4150246305418719</v>
      </c>
      <c r="H7" s="614"/>
      <c r="I7" s="539"/>
      <c r="J7" s="614"/>
      <c r="K7" s="539"/>
      <c r="L7" s="614"/>
      <c r="M7" s="544"/>
      <c r="N7" s="614"/>
      <c r="O7" s="539"/>
      <c r="P7" s="614"/>
      <c r="Q7" s="539"/>
      <c r="R7" s="614"/>
      <c r="S7" s="545"/>
    </row>
    <row r="8" spans="1:19" ht="14.4" customHeight="1" x14ac:dyDescent="0.3">
      <c r="A8" s="563" t="s">
        <v>1494</v>
      </c>
      <c r="B8" s="614">
        <v>580</v>
      </c>
      <c r="C8" s="539">
        <v>1</v>
      </c>
      <c r="D8" s="614">
        <v>464</v>
      </c>
      <c r="E8" s="539">
        <v>0.8</v>
      </c>
      <c r="F8" s="614">
        <v>118</v>
      </c>
      <c r="G8" s="544">
        <v>0.20344827586206896</v>
      </c>
      <c r="H8" s="614"/>
      <c r="I8" s="539"/>
      <c r="J8" s="614"/>
      <c r="K8" s="539"/>
      <c r="L8" s="614"/>
      <c r="M8" s="544"/>
      <c r="N8" s="614"/>
      <c r="O8" s="539"/>
      <c r="P8" s="614"/>
      <c r="Q8" s="539"/>
      <c r="R8" s="614"/>
      <c r="S8" s="545"/>
    </row>
    <row r="9" spans="1:19" ht="14.4" customHeight="1" x14ac:dyDescent="0.3">
      <c r="A9" s="563" t="s">
        <v>1495</v>
      </c>
      <c r="B9" s="614">
        <v>3214</v>
      </c>
      <c r="C9" s="539">
        <v>1</v>
      </c>
      <c r="D9" s="614">
        <v>7901</v>
      </c>
      <c r="E9" s="539">
        <v>2.4583074051026759</v>
      </c>
      <c r="F9" s="614">
        <v>13884</v>
      </c>
      <c r="G9" s="544">
        <v>4.3198506533914127</v>
      </c>
      <c r="H9" s="614"/>
      <c r="I9" s="539"/>
      <c r="J9" s="614">
        <v>227.51</v>
      </c>
      <c r="K9" s="539"/>
      <c r="L9" s="614"/>
      <c r="M9" s="544"/>
      <c r="N9" s="614"/>
      <c r="O9" s="539"/>
      <c r="P9" s="614"/>
      <c r="Q9" s="539"/>
      <c r="R9" s="614"/>
      <c r="S9" s="545"/>
    </row>
    <row r="10" spans="1:19" ht="14.4" customHeight="1" x14ac:dyDescent="0.3">
      <c r="A10" s="563" t="s">
        <v>1496</v>
      </c>
      <c r="B10" s="614"/>
      <c r="C10" s="539"/>
      <c r="D10" s="614">
        <v>348</v>
      </c>
      <c r="E10" s="539"/>
      <c r="F10" s="614">
        <v>236</v>
      </c>
      <c r="G10" s="544"/>
      <c r="H10" s="614"/>
      <c r="I10" s="539"/>
      <c r="J10" s="614"/>
      <c r="K10" s="539"/>
      <c r="L10" s="614"/>
      <c r="M10" s="544"/>
      <c r="N10" s="614"/>
      <c r="O10" s="539"/>
      <c r="P10" s="614"/>
      <c r="Q10" s="539"/>
      <c r="R10" s="614"/>
      <c r="S10" s="545"/>
    </row>
    <row r="11" spans="1:19" ht="14.4" customHeight="1" x14ac:dyDescent="0.3">
      <c r="A11" s="563" t="s">
        <v>1497</v>
      </c>
      <c r="B11" s="614"/>
      <c r="C11" s="539"/>
      <c r="D11" s="614">
        <v>2438</v>
      </c>
      <c r="E11" s="539"/>
      <c r="F11" s="614">
        <v>236</v>
      </c>
      <c r="G11" s="544"/>
      <c r="H11" s="614"/>
      <c r="I11" s="539"/>
      <c r="J11" s="614"/>
      <c r="K11" s="539"/>
      <c r="L11" s="614"/>
      <c r="M11" s="544"/>
      <c r="N11" s="614"/>
      <c r="O11" s="539"/>
      <c r="P11" s="614"/>
      <c r="Q11" s="539"/>
      <c r="R11" s="614"/>
      <c r="S11" s="545"/>
    </row>
    <row r="12" spans="1:19" ht="14.4" customHeight="1" x14ac:dyDescent="0.3">
      <c r="A12" s="563" t="s">
        <v>1498</v>
      </c>
      <c r="B12" s="614"/>
      <c r="C12" s="539"/>
      <c r="D12" s="614">
        <v>116</v>
      </c>
      <c r="E12" s="539"/>
      <c r="F12" s="614">
        <v>2066</v>
      </c>
      <c r="G12" s="544"/>
      <c r="H12" s="614"/>
      <c r="I12" s="539"/>
      <c r="J12" s="614"/>
      <c r="K12" s="539"/>
      <c r="L12" s="614"/>
      <c r="M12" s="544"/>
      <c r="N12" s="614"/>
      <c r="O12" s="539"/>
      <c r="P12" s="614"/>
      <c r="Q12" s="539"/>
      <c r="R12" s="614"/>
      <c r="S12" s="545"/>
    </row>
    <row r="13" spans="1:19" ht="14.4" customHeight="1" x14ac:dyDescent="0.3">
      <c r="A13" s="563" t="s">
        <v>1499</v>
      </c>
      <c r="B13" s="614">
        <v>232</v>
      </c>
      <c r="C13" s="539">
        <v>1</v>
      </c>
      <c r="D13" s="614"/>
      <c r="E13" s="539"/>
      <c r="F13" s="614">
        <v>235</v>
      </c>
      <c r="G13" s="544">
        <v>1.0129310344827587</v>
      </c>
      <c r="H13" s="614"/>
      <c r="I13" s="539"/>
      <c r="J13" s="614"/>
      <c r="K13" s="539"/>
      <c r="L13" s="614"/>
      <c r="M13" s="544"/>
      <c r="N13" s="614"/>
      <c r="O13" s="539"/>
      <c r="P13" s="614"/>
      <c r="Q13" s="539"/>
      <c r="R13" s="614"/>
      <c r="S13" s="545"/>
    </row>
    <row r="14" spans="1:19" ht="14.4" customHeight="1" x14ac:dyDescent="0.3">
      <c r="A14" s="563" t="s">
        <v>1500</v>
      </c>
      <c r="B14" s="614">
        <v>24417</v>
      </c>
      <c r="C14" s="539">
        <v>1</v>
      </c>
      <c r="D14" s="614">
        <v>106250</v>
      </c>
      <c r="E14" s="539">
        <v>4.3514764303558993</v>
      </c>
      <c r="F14" s="614">
        <v>75747</v>
      </c>
      <c r="G14" s="544">
        <v>3.1022238604251138</v>
      </c>
      <c r="H14" s="614"/>
      <c r="I14" s="539"/>
      <c r="J14" s="614"/>
      <c r="K14" s="539"/>
      <c r="L14" s="614"/>
      <c r="M14" s="544"/>
      <c r="N14" s="614"/>
      <c r="O14" s="539"/>
      <c r="P14" s="614"/>
      <c r="Q14" s="539"/>
      <c r="R14" s="614"/>
      <c r="S14" s="545"/>
    </row>
    <row r="15" spans="1:19" ht="14.4" customHeight="1" x14ac:dyDescent="0.3">
      <c r="A15" s="563" t="s">
        <v>1501</v>
      </c>
      <c r="B15" s="614">
        <v>1409</v>
      </c>
      <c r="C15" s="539">
        <v>1</v>
      </c>
      <c r="D15" s="614">
        <v>2573</v>
      </c>
      <c r="E15" s="539">
        <v>1.8261178140525196</v>
      </c>
      <c r="F15" s="614">
        <v>1613</v>
      </c>
      <c r="G15" s="544">
        <v>1.1447835344215755</v>
      </c>
      <c r="H15" s="614"/>
      <c r="I15" s="539"/>
      <c r="J15" s="614"/>
      <c r="K15" s="539"/>
      <c r="L15" s="614"/>
      <c r="M15" s="544"/>
      <c r="N15" s="614"/>
      <c r="O15" s="539"/>
      <c r="P15" s="614"/>
      <c r="Q15" s="539"/>
      <c r="R15" s="614"/>
      <c r="S15" s="545"/>
    </row>
    <row r="16" spans="1:19" ht="14.4" customHeight="1" x14ac:dyDescent="0.3">
      <c r="A16" s="563" t="s">
        <v>1502</v>
      </c>
      <c r="B16" s="614">
        <v>150</v>
      </c>
      <c r="C16" s="539">
        <v>1</v>
      </c>
      <c r="D16" s="614">
        <v>116</v>
      </c>
      <c r="E16" s="539">
        <v>0.77333333333333332</v>
      </c>
      <c r="F16" s="614">
        <v>118</v>
      </c>
      <c r="G16" s="544">
        <v>0.78666666666666663</v>
      </c>
      <c r="H16" s="614"/>
      <c r="I16" s="539"/>
      <c r="J16" s="614"/>
      <c r="K16" s="539"/>
      <c r="L16" s="614"/>
      <c r="M16" s="544"/>
      <c r="N16" s="614"/>
      <c r="O16" s="539"/>
      <c r="P16" s="614"/>
      <c r="Q16" s="539"/>
      <c r="R16" s="614"/>
      <c r="S16" s="545"/>
    </row>
    <row r="17" spans="1:19" ht="14.4" customHeight="1" x14ac:dyDescent="0.3">
      <c r="A17" s="563" t="s">
        <v>1503</v>
      </c>
      <c r="B17" s="614">
        <v>481</v>
      </c>
      <c r="C17" s="539">
        <v>1</v>
      </c>
      <c r="D17" s="614"/>
      <c r="E17" s="539"/>
      <c r="F17" s="614">
        <v>705</v>
      </c>
      <c r="G17" s="544">
        <v>1.4656964656964657</v>
      </c>
      <c r="H17" s="614"/>
      <c r="I17" s="539"/>
      <c r="J17" s="614"/>
      <c r="K17" s="539"/>
      <c r="L17" s="614"/>
      <c r="M17" s="544"/>
      <c r="N17" s="614"/>
      <c r="O17" s="539"/>
      <c r="P17" s="614"/>
      <c r="Q17" s="539"/>
      <c r="R17" s="614"/>
      <c r="S17" s="545"/>
    </row>
    <row r="18" spans="1:19" ht="14.4" customHeight="1" x14ac:dyDescent="0.3">
      <c r="A18" s="563" t="s">
        <v>1504</v>
      </c>
      <c r="B18" s="614"/>
      <c r="C18" s="539"/>
      <c r="D18" s="614"/>
      <c r="E18" s="539"/>
      <c r="F18" s="614">
        <v>235</v>
      </c>
      <c r="G18" s="544"/>
      <c r="H18" s="614"/>
      <c r="I18" s="539"/>
      <c r="J18" s="614"/>
      <c r="K18" s="539"/>
      <c r="L18" s="614"/>
      <c r="M18" s="544"/>
      <c r="N18" s="614"/>
      <c r="O18" s="539"/>
      <c r="P18" s="614"/>
      <c r="Q18" s="539"/>
      <c r="R18" s="614"/>
      <c r="S18" s="545"/>
    </row>
    <row r="19" spans="1:19" ht="14.4" customHeight="1" x14ac:dyDescent="0.3">
      <c r="A19" s="563" t="s">
        <v>1505</v>
      </c>
      <c r="B19" s="614">
        <v>764</v>
      </c>
      <c r="C19" s="539">
        <v>1</v>
      </c>
      <c r="D19" s="614">
        <v>1065</v>
      </c>
      <c r="E19" s="539">
        <v>1.3939790575916231</v>
      </c>
      <c r="F19" s="614">
        <v>1674</v>
      </c>
      <c r="G19" s="544">
        <v>2.1910994764397906</v>
      </c>
      <c r="H19" s="614"/>
      <c r="I19" s="539"/>
      <c r="J19" s="614"/>
      <c r="K19" s="539"/>
      <c r="L19" s="614"/>
      <c r="M19" s="544"/>
      <c r="N19" s="614"/>
      <c r="O19" s="539"/>
      <c r="P19" s="614"/>
      <c r="Q19" s="539"/>
      <c r="R19" s="614"/>
      <c r="S19" s="545"/>
    </row>
    <row r="20" spans="1:19" ht="14.4" customHeight="1" x14ac:dyDescent="0.3">
      <c r="A20" s="563" t="s">
        <v>1506</v>
      </c>
      <c r="B20" s="614">
        <v>232</v>
      </c>
      <c r="C20" s="539">
        <v>1</v>
      </c>
      <c r="D20" s="614">
        <v>116</v>
      </c>
      <c r="E20" s="539">
        <v>0.5</v>
      </c>
      <c r="F20" s="614">
        <v>1178</v>
      </c>
      <c r="G20" s="544">
        <v>5.0775862068965516</v>
      </c>
      <c r="H20" s="614"/>
      <c r="I20" s="539"/>
      <c r="J20" s="614"/>
      <c r="K20" s="539"/>
      <c r="L20" s="614"/>
      <c r="M20" s="544"/>
      <c r="N20" s="614"/>
      <c r="O20" s="539"/>
      <c r="P20" s="614"/>
      <c r="Q20" s="539"/>
      <c r="R20" s="614"/>
      <c r="S20" s="545"/>
    </row>
    <row r="21" spans="1:19" ht="14.4" customHeight="1" x14ac:dyDescent="0.3">
      <c r="A21" s="563" t="s">
        <v>1507</v>
      </c>
      <c r="B21" s="614"/>
      <c r="C21" s="539"/>
      <c r="D21" s="614">
        <v>484</v>
      </c>
      <c r="E21" s="539"/>
      <c r="F21" s="614"/>
      <c r="G21" s="544"/>
      <c r="H21" s="614"/>
      <c r="I21" s="539"/>
      <c r="J21" s="614"/>
      <c r="K21" s="539"/>
      <c r="L21" s="614"/>
      <c r="M21" s="544"/>
      <c r="N21" s="614"/>
      <c r="O21" s="539"/>
      <c r="P21" s="614"/>
      <c r="Q21" s="539"/>
      <c r="R21" s="614"/>
      <c r="S21" s="545"/>
    </row>
    <row r="22" spans="1:19" ht="14.4" customHeight="1" x14ac:dyDescent="0.3">
      <c r="A22" s="563" t="s">
        <v>1508</v>
      </c>
      <c r="B22" s="614"/>
      <c r="C22" s="539"/>
      <c r="D22" s="614">
        <v>232</v>
      </c>
      <c r="E22" s="539"/>
      <c r="F22" s="614">
        <v>2622</v>
      </c>
      <c r="G22" s="544"/>
      <c r="H22" s="614"/>
      <c r="I22" s="539"/>
      <c r="J22" s="614"/>
      <c r="K22" s="539"/>
      <c r="L22" s="614"/>
      <c r="M22" s="544"/>
      <c r="N22" s="614"/>
      <c r="O22" s="539"/>
      <c r="P22" s="614"/>
      <c r="Q22" s="539"/>
      <c r="R22" s="614"/>
      <c r="S22" s="545"/>
    </row>
    <row r="23" spans="1:19" ht="14.4" customHeight="1" x14ac:dyDescent="0.3">
      <c r="A23" s="563" t="s">
        <v>1509</v>
      </c>
      <c r="B23" s="614">
        <v>102</v>
      </c>
      <c r="C23" s="539">
        <v>1</v>
      </c>
      <c r="D23" s="614">
        <v>116</v>
      </c>
      <c r="E23" s="539">
        <v>1.1372549019607843</v>
      </c>
      <c r="F23" s="614"/>
      <c r="G23" s="544"/>
      <c r="H23" s="614"/>
      <c r="I23" s="539"/>
      <c r="J23" s="614"/>
      <c r="K23" s="539"/>
      <c r="L23" s="614"/>
      <c r="M23" s="544"/>
      <c r="N23" s="614"/>
      <c r="O23" s="539"/>
      <c r="P23" s="614"/>
      <c r="Q23" s="539"/>
      <c r="R23" s="614"/>
      <c r="S23" s="545"/>
    </row>
    <row r="24" spans="1:19" ht="14.4" customHeight="1" x14ac:dyDescent="0.3">
      <c r="A24" s="563" t="s">
        <v>1510</v>
      </c>
      <c r="B24" s="614">
        <v>1354</v>
      </c>
      <c r="C24" s="539">
        <v>1</v>
      </c>
      <c r="D24" s="614">
        <v>232</v>
      </c>
      <c r="E24" s="539">
        <v>0.17134416543574593</v>
      </c>
      <c r="F24" s="614">
        <v>859</v>
      </c>
      <c r="G24" s="544">
        <v>0.63441654357459376</v>
      </c>
      <c r="H24" s="614"/>
      <c r="I24" s="539"/>
      <c r="J24" s="614"/>
      <c r="K24" s="539"/>
      <c r="L24" s="614"/>
      <c r="M24" s="544"/>
      <c r="N24" s="614"/>
      <c r="O24" s="539"/>
      <c r="P24" s="614"/>
      <c r="Q24" s="539"/>
      <c r="R24" s="614"/>
      <c r="S24" s="545"/>
    </row>
    <row r="25" spans="1:19" ht="14.4" customHeight="1" x14ac:dyDescent="0.3">
      <c r="A25" s="563" t="s">
        <v>1511</v>
      </c>
      <c r="B25" s="614">
        <v>232</v>
      </c>
      <c r="C25" s="539">
        <v>1</v>
      </c>
      <c r="D25" s="614">
        <v>1684</v>
      </c>
      <c r="E25" s="539">
        <v>7.2586206896551726</v>
      </c>
      <c r="F25" s="614">
        <v>2506</v>
      </c>
      <c r="G25" s="544">
        <v>10.801724137931034</v>
      </c>
      <c r="H25" s="614"/>
      <c r="I25" s="539"/>
      <c r="J25" s="614"/>
      <c r="K25" s="539"/>
      <c r="L25" s="614"/>
      <c r="M25" s="544"/>
      <c r="N25" s="614"/>
      <c r="O25" s="539"/>
      <c r="P25" s="614"/>
      <c r="Q25" s="539"/>
      <c r="R25" s="614"/>
      <c r="S25" s="545"/>
    </row>
    <row r="26" spans="1:19" ht="14.4" customHeight="1" x14ac:dyDescent="0.3">
      <c r="A26" s="563" t="s">
        <v>1512</v>
      </c>
      <c r="B26" s="614">
        <v>928</v>
      </c>
      <c r="C26" s="539">
        <v>1</v>
      </c>
      <c r="D26" s="614"/>
      <c r="E26" s="539"/>
      <c r="F26" s="614">
        <v>472</v>
      </c>
      <c r="G26" s="544">
        <v>0.50862068965517238</v>
      </c>
      <c r="H26" s="614"/>
      <c r="I26" s="539"/>
      <c r="J26" s="614"/>
      <c r="K26" s="539"/>
      <c r="L26" s="614"/>
      <c r="M26" s="544"/>
      <c r="N26" s="614"/>
      <c r="O26" s="539"/>
      <c r="P26" s="614"/>
      <c r="Q26" s="539"/>
      <c r="R26" s="614"/>
      <c r="S26" s="545"/>
    </row>
    <row r="27" spans="1:19" ht="14.4" customHeight="1" thickBot="1" x14ac:dyDescent="0.35">
      <c r="A27" s="609" t="s">
        <v>1513</v>
      </c>
      <c r="B27" s="608">
        <v>1310</v>
      </c>
      <c r="C27" s="531">
        <v>1</v>
      </c>
      <c r="D27" s="608">
        <v>3082</v>
      </c>
      <c r="E27" s="531">
        <v>2.3526717557251908</v>
      </c>
      <c r="F27" s="608">
        <v>353</v>
      </c>
      <c r="G27" s="536">
        <v>0.26946564885496183</v>
      </c>
      <c r="H27" s="608"/>
      <c r="I27" s="531"/>
      <c r="J27" s="608"/>
      <c r="K27" s="531"/>
      <c r="L27" s="608"/>
      <c r="M27" s="536"/>
      <c r="N27" s="608"/>
      <c r="O27" s="531"/>
      <c r="P27" s="608"/>
      <c r="Q27" s="531"/>
      <c r="R27" s="608"/>
      <c r="S27" s="53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3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2" customWidth="1"/>
    <col min="8" max="9" width="9.33203125" style="212" hidden="1" customWidth="1"/>
    <col min="10" max="11" width="11.109375" style="212" customWidth="1"/>
    <col min="12" max="13" width="9.33203125" style="212" hidden="1" customWidth="1"/>
    <col min="14" max="15" width="11.109375" style="212" customWidth="1"/>
    <col min="16" max="16" width="11.109375" style="215" customWidth="1"/>
    <col min="17" max="17" width="11.109375" style="212" customWidth="1"/>
    <col min="18" max="16384" width="8.88671875" style="133"/>
  </cols>
  <sheetData>
    <row r="1" spans="1:17" ht="18.600000000000001" customHeight="1" thickBot="1" x14ac:dyDescent="0.4">
      <c r="A1" s="330" t="s">
        <v>1543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40" t="s">
        <v>281</v>
      </c>
      <c r="B2" s="134"/>
      <c r="C2" s="134"/>
      <c r="D2" s="134"/>
      <c r="E2" s="134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4"/>
      <c r="Q2" s="233"/>
    </row>
    <row r="3" spans="1:17" ht="14.4" customHeight="1" thickBot="1" x14ac:dyDescent="0.35">
      <c r="E3" s="87" t="s">
        <v>133</v>
      </c>
      <c r="F3" s="103">
        <f t="shared" ref="F3:O3" si="0">SUBTOTAL(9,F6:F1048576)</f>
        <v>192</v>
      </c>
      <c r="G3" s="104">
        <f t="shared" si="0"/>
        <v>37619</v>
      </c>
      <c r="H3" s="104"/>
      <c r="I3" s="104"/>
      <c r="J3" s="104">
        <f t="shared" si="0"/>
        <v>337.2</v>
      </c>
      <c r="K3" s="104">
        <f t="shared" si="0"/>
        <v>127444.51000000001</v>
      </c>
      <c r="L3" s="104"/>
      <c r="M3" s="104"/>
      <c r="N3" s="104">
        <f t="shared" si="0"/>
        <v>362</v>
      </c>
      <c r="O3" s="104">
        <f t="shared" si="0"/>
        <v>108912</v>
      </c>
      <c r="P3" s="75">
        <f>IF(G3=0,0,O3/G3)</f>
        <v>2.8951327786490868</v>
      </c>
      <c r="Q3" s="105">
        <f>IF(N3=0,0,O3/N3)</f>
        <v>300.86187845303868</v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0" t="s">
        <v>98</v>
      </c>
      <c r="E4" s="413" t="s">
        <v>70</v>
      </c>
      <c r="F4" s="418">
        <v>2013</v>
      </c>
      <c r="G4" s="419"/>
      <c r="H4" s="106"/>
      <c r="I4" s="106"/>
      <c r="J4" s="418">
        <v>2014</v>
      </c>
      <c r="K4" s="419"/>
      <c r="L4" s="106"/>
      <c r="M4" s="106"/>
      <c r="N4" s="418">
        <v>2015</v>
      </c>
      <c r="O4" s="419"/>
      <c r="P4" s="421" t="s">
        <v>2</v>
      </c>
      <c r="Q4" s="410" t="s">
        <v>99</v>
      </c>
    </row>
    <row r="5" spans="1:17" ht="14.4" customHeight="1" thickBot="1" x14ac:dyDescent="0.35">
      <c r="A5" s="618"/>
      <c r="B5" s="617"/>
      <c r="C5" s="618"/>
      <c r="D5" s="626"/>
      <c r="E5" s="620"/>
      <c r="F5" s="627" t="s">
        <v>72</v>
      </c>
      <c r="G5" s="628" t="s">
        <v>14</v>
      </c>
      <c r="H5" s="629"/>
      <c r="I5" s="629"/>
      <c r="J5" s="627" t="s">
        <v>72</v>
      </c>
      <c r="K5" s="628" t="s">
        <v>14</v>
      </c>
      <c r="L5" s="629"/>
      <c r="M5" s="629"/>
      <c r="N5" s="627" t="s">
        <v>72</v>
      </c>
      <c r="O5" s="628" t="s">
        <v>14</v>
      </c>
      <c r="P5" s="630"/>
      <c r="Q5" s="625"/>
    </row>
    <row r="6" spans="1:17" ht="14.4" customHeight="1" x14ac:dyDescent="0.3">
      <c r="A6" s="523" t="s">
        <v>1514</v>
      </c>
      <c r="B6" s="463" t="s">
        <v>1302</v>
      </c>
      <c r="C6" s="463" t="s">
        <v>1331</v>
      </c>
      <c r="D6" s="463" t="s">
        <v>1355</v>
      </c>
      <c r="E6" s="463" t="s">
        <v>1356</v>
      </c>
      <c r="F6" s="466">
        <v>1</v>
      </c>
      <c r="G6" s="466">
        <v>232</v>
      </c>
      <c r="H6" s="466">
        <v>1</v>
      </c>
      <c r="I6" s="466">
        <v>232</v>
      </c>
      <c r="J6" s="466"/>
      <c r="K6" s="466"/>
      <c r="L6" s="466"/>
      <c r="M6" s="466"/>
      <c r="N6" s="466">
        <v>2</v>
      </c>
      <c r="O6" s="466">
        <v>470</v>
      </c>
      <c r="P6" s="486">
        <v>2.0258620689655173</v>
      </c>
      <c r="Q6" s="550">
        <v>235</v>
      </c>
    </row>
    <row r="7" spans="1:17" ht="14.4" customHeight="1" x14ac:dyDescent="0.3">
      <c r="A7" s="538" t="s">
        <v>1514</v>
      </c>
      <c r="B7" s="539" t="s">
        <v>1302</v>
      </c>
      <c r="C7" s="539" t="s">
        <v>1331</v>
      </c>
      <c r="D7" s="539" t="s">
        <v>1357</v>
      </c>
      <c r="E7" s="539" t="s">
        <v>1358</v>
      </c>
      <c r="F7" s="551">
        <v>1</v>
      </c>
      <c r="G7" s="551">
        <v>116</v>
      </c>
      <c r="H7" s="551">
        <v>1</v>
      </c>
      <c r="I7" s="551">
        <v>116</v>
      </c>
      <c r="J7" s="551"/>
      <c r="K7" s="551"/>
      <c r="L7" s="551"/>
      <c r="M7" s="551"/>
      <c r="N7" s="551"/>
      <c r="O7" s="551"/>
      <c r="P7" s="544"/>
      <c r="Q7" s="552"/>
    </row>
    <row r="8" spans="1:17" ht="14.4" customHeight="1" x14ac:dyDescent="0.3">
      <c r="A8" s="538" t="s">
        <v>1514</v>
      </c>
      <c r="B8" s="539" t="s">
        <v>1302</v>
      </c>
      <c r="C8" s="539" t="s">
        <v>1331</v>
      </c>
      <c r="D8" s="539" t="s">
        <v>1393</v>
      </c>
      <c r="E8" s="539" t="s">
        <v>1394</v>
      </c>
      <c r="F8" s="551"/>
      <c r="G8" s="551"/>
      <c r="H8" s="551"/>
      <c r="I8" s="551"/>
      <c r="J8" s="551"/>
      <c r="K8" s="551"/>
      <c r="L8" s="551"/>
      <c r="M8" s="551"/>
      <c r="N8" s="551">
        <v>1</v>
      </c>
      <c r="O8" s="551">
        <v>0</v>
      </c>
      <c r="P8" s="544"/>
      <c r="Q8" s="552">
        <v>0</v>
      </c>
    </row>
    <row r="9" spans="1:17" ht="14.4" customHeight="1" x14ac:dyDescent="0.3">
      <c r="A9" s="538" t="s">
        <v>1514</v>
      </c>
      <c r="B9" s="539" t="s">
        <v>1302</v>
      </c>
      <c r="C9" s="539" t="s">
        <v>1331</v>
      </c>
      <c r="D9" s="539" t="s">
        <v>1446</v>
      </c>
      <c r="E9" s="539" t="s">
        <v>1447</v>
      </c>
      <c r="F9" s="551">
        <v>1</v>
      </c>
      <c r="G9" s="551">
        <v>200</v>
      </c>
      <c r="H9" s="551">
        <v>1</v>
      </c>
      <c r="I9" s="551">
        <v>200</v>
      </c>
      <c r="J9" s="551"/>
      <c r="K9" s="551"/>
      <c r="L9" s="551"/>
      <c r="M9" s="551"/>
      <c r="N9" s="551"/>
      <c r="O9" s="551"/>
      <c r="P9" s="544"/>
      <c r="Q9" s="552"/>
    </row>
    <row r="10" spans="1:17" ht="14.4" customHeight="1" x14ac:dyDescent="0.3">
      <c r="A10" s="538" t="s">
        <v>1514</v>
      </c>
      <c r="B10" s="539" t="s">
        <v>1302</v>
      </c>
      <c r="C10" s="539" t="s">
        <v>1331</v>
      </c>
      <c r="D10" s="539" t="s">
        <v>1464</v>
      </c>
      <c r="E10" s="539" t="s">
        <v>1465</v>
      </c>
      <c r="F10" s="551">
        <v>1</v>
      </c>
      <c r="G10" s="551">
        <v>854</v>
      </c>
      <c r="H10" s="551">
        <v>1</v>
      </c>
      <c r="I10" s="551">
        <v>854</v>
      </c>
      <c r="J10" s="551"/>
      <c r="K10" s="551"/>
      <c r="L10" s="551"/>
      <c r="M10" s="551"/>
      <c r="N10" s="551"/>
      <c r="O10" s="551"/>
      <c r="P10" s="544"/>
      <c r="Q10" s="552"/>
    </row>
    <row r="11" spans="1:17" ht="14.4" customHeight="1" x14ac:dyDescent="0.3">
      <c r="A11" s="538" t="s">
        <v>1515</v>
      </c>
      <c r="B11" s="539" t="s">
        <v>1302</v>
      </c>
      <c r="C11" s="539" t="s">
        <v>1331</v>
      </c>
      <c r="D11" s="539" t="s">
        <v>1355</v>
      </c>
      <c r="E11" s="539" t="s">
        <v>1356</v>
      </c>
      <c r="F11" s="551">
        <v>3</v>
      </c>
      <c r="G11" s="551">
        <v>696</v>
      </c>
      <c r="H11" s="551">
        <v>1</v>
      </c>
      <c r="I11" s="551">
        <v>232</v>
      </c>
      <c r="J11" s="551"/>
      <c r="K11" s="551"/>
      <c r="L11" s="551"/>
      <c r="M11" s="551"/>
      <c r="N11" s="551">
        <v>1</v>
      </c>
      <c r="O11" s="551">
        <v>235</v>
      </c>
      <c r="P11" s="544">
        <v>0.33764367816091956</v>
      </c>
      <c r="Q11" s="552">
        <v>235</v>
      </c>
    </row>
    <row r="12" spans="1:17" ht="14.4" customHeight="1" x14ac:dyDescent="0.3">
      <c r="A12" s="538" t="s">
        <v>1515</v>
      </c>
      <c r="B12" s="539" t="s">
        <v>1302</v>
      </c>
      <c r="C12" s="539" t="s">
        <v>1331</v>
      </c>
      <c r="D12" s="539" t="s">
        <v>1357</v>
      </c>
      <c r="E12" s="539" t="s">
        <v>1358</v>
      </c>
      <c r="F12" s="551">
        <v>1</v>
      </c>
      <c r="G12" s="551">
        <v>116</v>
      </c>
      <c r="H12" s="551">
        <v>1</v>
      </c>
      <c r="I12" s="551">
        <v>116</v>
      </c>
      <c r="J12" s="551"/>
      <c r="K12" s="551"/>
      <c r="L12" s="551"/>
      <c r="M12" s="551"/>
      <c r="N12" s="551">
        <v>4</v>
      </c>
      <c r="O12" s="551">
        <v>472</v>
      </c>
      <c r="P12" s="544">
        <v>4.068965517241379</v>
      </c>
      <c r="Q12" s="552">
        <v>118</v>
      </c>
    </row>
    <row r="13" spans="1:17" ht="14.4" customHeight="1" x14ac:dyDescent="0.3">
      <c r="A13" s="538" t="s">
        <v>1515</v>
      </c>
      <c r="B13" s="539" t="s">
        <v>1302</v>
      </c>
      <c r="C13" s="539" t="s">
        <v>1331</v>
      </c>
      <c r="D13" s="539" t="s">
        <v>1407</v>
      </c>
      <c r="E13" s="539" t="s">
        <v>1408</v>
      </c>
      <c r="F13" s="551"/>
      <c r="G13" s="551"/>
      <c r="H13" s="551"/>
      <c r="I13" s="551"/>
      <c r="J13" s="551"/>
      <c r="K13" s="551"/>
      <c r="L13" s="551"/>
      <c r="M13" s="551"/>
      <c r="N13" s="551">
        <v>1</v>
      </c>
      <c r="O13" s="551">
        <v>492</v>
      </c>
      <c r="P13" s="544"/>
      <c r="Q13" s="552">
        <v>492</v>
      </c>
    </row>
    <row r="14" spans="1:17" ht="14.4" customHeight="1" x14ac:dyDescent="0.3">
      <c r="A14" s="538" t="s">
        <v>1515</v>
      </c>
      <c r="B14" s="539" t="s">
        <v>1302</v>
      </c>
      <c r="C14" s="539" t="s">
        <v>1331</v>
      </c>
      <c r="D14" s="539" t="s">
        <v>963</v>
      </c>
      <c r="E14" s="539" t="s">
        <v>1516</v>
      </c>
      <c r="F14" s="551"/>
      <c r="G14" s="551"/>
      <c r="H14" s="551"/>
      <c r="I14" s="551"/>
      <c r="J14" s="551"/>
      <c r="K14" s="551"/>
      <c r="L14" s="551"/>
      <c r="M14" s="551"/>
      <c r="N14" s="551">
        <v>2</v>
      </c>
      <c r="O14" s="551">
        <v>2386</v>
      </c>
      <c r="P14" s="544"/>
      <c r="Q14" s="552">
        <v>1193</v>
      </c>
    </row>
    <row r="15" spans="1:17" ht="14.4" customHeight="1" x14ac:dyDescent="0.3">
      <c r="A15" s="538" t="s">
        <v>1517</v>
      </c>
      <c r="B15" s="539" t="s">
        <v>1302</v>
      </c>
      <c r="C15" s="539" t="s">
        <v>1331</v>
      </c>
      <c r="D15" s="539" t="s">
        <v>1355</v>
      </c>
      <c r="E15" s="539" t="s">
        <v>1356</v>
      </c>
      <c r="F15" s="551">
        <v>2</v>
      </c>
      <c r="G15" s="551">
        <v>464</v>
      </c>
      <c r="H15" s="551">
        <v>1</v>
      </c>
      <c r="I15" s="551">
        <v>232</v>
      </c>
      <c r="J15" s="551">
        <v>1</v>
      </c>
      <c r="K15" s="551">
        <v>232</v>
      </c>
      <c r="L15" s="551">
        <v>0.5</v>
      </c>
      <c r="M15" s="551">
        <v>232</v>
      </c>
      <c r="N15" s="551"/>
      <c r="O15" s="551"/>
      <c r="P15" s="544"/>
      <c r="Q15" s="552"/>
    </row>
    <row r="16" spans="1:17" ht="14.4" customHeight="1" x14ac:dyDescent="0.3">
      <c r="A16" s="538" t="s">
        <v>1517</v>
      </c>
      <c r="B16" s="539" t="s">
        <v>1302</v>
      </c>
      <c r="C16" s="539" t="s">
        <v>1331</v>
      </c>
      <c r="D16" s="539" t="s">
        <v>1357</v>
      </c>
      <c r="E16" s="539" t="s">
        <v>1358</v>
      </c>
      <c r="F16" s="551">
        <v>1</v>
      </c>
      <c r="G16" s="551">
        <v>116</v>
      </c>
      <c r="H16" s="551">
        <v>1</v>
      </c>
      <c r="I16" s="551">
        <v>116</v>
      </c>
      <c r="J16" s="551">
        <v>2</v>
      </c>
      <c r="K16" s="551">
        <v>232</v>
      </c>
      <c r="L16" s="551">
        <v>2</v>
      </c>
      <c r="M16" s="551">
        <v>116</v>
      </c>
      <c r="N16" s="551">
        <v>1</v>
      </c>
      <c r="O16" s="551">
        <v>118</v>
      </c>
      <c r="P16" s="544">
        <v>1.0172413793103448</v>
      </c>
      <c r="Q16" s="552">
        <v>118</v>
      </c>
    </row>
    <row r="17" spans="1:17" ht="14.4" customHeight="1" x14ac:dyDescent="0.3">
      <c r="A17" s="538" t="s">
        <v>1517</v>
      </c>
      <c r="B17" s="539" t="s">
        <v>1302</v>
      </c>
      <c r="C17" s="539" t="s">
        <v>1331</v>
      </c>
      <c r="D17" s="539" t="s">
        <v>1393</v>
      </c>
      <c r="E17" s="539" t="s">
        <v>1394</v>
      </c>
      <c r="F17" s="551"/>
      <c r="G17" s="551"/>
      <c r="H17" s="551"/>
      <c r="I17" s="551"/>
      <c r="J17" s="551"/>
      <c r="K17" s="551"/>
      <c r="L17" s="551"/>
      <c r="M17" s="551"/>
      <c r="N17" s="551">
        <v>1</v>
      </c>
      <c r="O17" s="551">
        <v>0</v>
      </c>
      <c r="P17" s="544"/>
      <c r="Q17" s="552">
        <v>0</v>
      </c>
    </row>
    <row r="18" spans="1:17" ht="14.4" customHeight="1" x14ac:dyDescent="0.3">
      <c r="A18" s="538" t="s">
        <v>1518</v>
      </c>
      <c r="B18" s="539" t="s">
        <v>1302</v>
      </c>
      <c r="C18" s="539" t="s">
        <v>1303</v>
      </c>
      <c r="D18" s="539" t="s">
        <v>1519</v>
      </c>
      <c r="E18" s="539" t="s">
        <v>1294</v>
      </c>
      <c r="F18" s="551"/>
      <c r="G18" s="551"/>
      <c r="H18" s="551"/>
      <c r="I18" s="551"/>
      <c r="J18" s="551">
        <v>0.2</v>
      </c>
      <c r="K18" s="551">
        <v>75.95</v>
      </c>
      <c r="L18" s="551"/>
      <c r="M18" s="551">
        <v>379.75</v>
      </c>
      <c r="N18" s="551"/>
      <c r="O18" s="551"/>
      <c r="P18" s="544"/>
      <c r="Q18" s="552"/>
    </row>
    <row r="19" spans="1:17" ht="14.4" customHeight="1" x14ac:dyDescent="0.3">
      <c r="A19" s="538" t="s">
        <v>1518</v>
      </c>
      <c r="B19" s="539" t="s">
        <v>1302</v>
      </c>
      <c r="C19" s="539" t="s">
        <v>1303</v>
      </c>
      <c r="D19" s="539" t="s">
        <v>1319</v>
      </c>
      <c r="E19" s="539" t="s">
        <v>1320</v>
      </c>
      <c r="F19" s="551"/>
      <c r="G19" s="551"/>
      <c r="H19" s="551"/>
      <c r="I19" s="551"/>
      <c r="J19" s="551">
        <v>1</v>
      </c>
      <c r="K19" s="551">
        <v>151.56</v>
      </c>
      <c r="L19" s="551"/>
      <c r="M19" s="551">
        <v>151.56</v>
      </c>
      <c r="N19" s="551"/>
      <c r="O19" s="551"/>
      <c r="P19" s="544"/>
      <c r="Q19" s="552"/>
    </row>
    <row r="20" spans="1:17" ht="14.4" customHeight="1" x14ac:dyDescent="0.3">
      <c r="A20" s="538" t="s">
        <v>1518</v>
      </c>
      <c r="B20" s="539" t="s">
        <v>1302</v>
      </c>
      <c r="C20" s="539" t="s">
        <v>1331</v>
      </c>
      <c r="D20" s="539" t="s">
        <v>1342</v>
      </c>
      <c r="E20" s="539" t="s">
        <v>1343</v>
      </c>
      <c r="F20" s="551">
        <v>30</v>
      </c>
      <c r="G20" s="551">
        <v>1020</v>
      </c>
      <c r="H20" s="551">
        <v>1</v>
      </c>
      <c r="I20" s="551">
        <v>34</v>
      </c>
      <c r="J20" s="551">
        <v>24</v>
      </c>
      <c r="K20" s="551">
        <v>816</v>
      </c>
      <c r="L20" s="551">
        <v>0.8</v>
      </c>
      <c r="M20" s="551">
        <v>34</v>
      </c>
      <c r="N20" s="551">
        <v>52</v>
      </c>
      <c r="O20" s="551">
        <v>1820</v>
      </c>
      <c r="P20" s="544">
        <v>1.7843137254901962</v>
      </c>
      <c r="Q20" s="552">
        <v>35</v>
      </c>
    </row>
    <row r="21" spans="1:17" ht="14.4" customHeight="1" x14ac:dyDescent="0.3">
      <c r="A21" s="538" t="s">
        <v>1518</v>
      </c>
      <c r="B21" s="539" t="s">
        <v>1302</v>
      </c>
      <c r="C21" s="539" t="s">
        <v>1331</v>
      </c>
      <c r="D21" s="539" t="s">
        <v>1355</v>
      </c>
      <c r="E21" s="539" t="s">
        <v>1356</v>
      </c>
      <c r="F21" s="551">
        <v>1</v>
      </c>
      <c r="G21" s="551">
        <v>232</v>
      </c>
      <c r="H21" s="551">
        <v>1</v>
      </c>
      <c r="I21" s="551">
        <v>232</v>
      </c>
      <c r="J21" s="551">
        <v>1</v>
      </c>
      <c r="K21" s="551">
        <v>232</v>
      </c>
      <c r="L21" s="551">
        <v>1</v>
      </c>
      <c r="M21" s="551">
        <v>232</v>
      </c>
      <c r="N21" s="551">
        <v>1</v>
      </c>
      <c r="O21" s="551">
        <v>235</v>
      </c>
      <c r="P21" s="544">
        <v>1.0129310344827587</v>
      </c>
      <c r="Q21" s="552">
        <v>235</v>
      </c>
    </row>
    <row r="22" spans="1:17" ht="14.4" customHeight="1" x14ac:dyDescent="0.3">
      <c r="A22" s="538" t="s">
        <v>1518</v>
      </c>
      <c r="B22" s="539" t="s">
        <v>1302</v>
      </c>
      <c r="C22" s="539" t="s">
        <v>1331</v>
      </c>
      <c r="D22" s="539" t="s">
        <v>1357</v>
      </c>
      <c r="E22" s="539" t="s">
        <v>1358</v>
      </c>
      <c r="F22" s="551"/>
      <c r="G22" s="551"/>
      <c r="H22" s="551"/>
      <c r="I22" s="551"/>
      <c r="J22" s="551">
        <v>5</v>
      </c>
      <c r="K22" s="551">
        <v>580</v>
      </c>
      <c r="L22" s="551"/>
      <c r="M22" s="551">
        <v>116</v>
      </c>
      <c r="N22" s="551">
        <v>7</v>
      </c>
      <c r="O22" s="551">
        <v>826</v>
      </c>
      <c r="P22" s="544"/>
      <c r="Q22" s="552">
        <v>118</v>
      </c>
    </row>
    <row r="23" spans="1:17" ht="14.4" customHeight="1" x14ac:dyDescent="0.3">
      <c r="A23" s="538" t="s">
        <v>1518</v>
      </c>
      <c r="B23" s="539" t="s">
        <v>1302</v>
      </c>
      <c r="C23" s="539" t="s">
        <v>1331</v>
      </c>
      <c r="D23" s="539" t="s">
        <v>1359</v>
      </c>
      <c r="E23" s="539" t="s">
        <v>1360</v>
      </c>
      <c r="F23" s="551"/>
      <c r="G23" s="551"/>
      <c r="H23" s="551"/>
      <c r="I23" s="551"/>
      <c r="J23" s="551"/>
      <c r="K23" s="551"/>
      <c r="L23" s="551"/>
      <c r="M23" s="551"/>
      <c r="N23" s="551">
        <v>4</v>
      </c>
      <c r="O23" s="551">
        <v>2128</v>
      </c>
      <c r="P23" s="544"/>
      <c r="Q23" s="552">
        <v>532</v>
      </c>
    </row>
    <row r="24" spans="1:17" ht="14.4" customHeight="1" x14ac:dyDescent="0.3">
      <c r="A24" s="538" t="s">
        <v>1518</v>
      </c>
      <c r="B24" s="539" t="s">
        <v>1302</v>
      </c>
      <c r="C24" s="539" t="s">
        <v>1331</v>
      </c>
      <c r="D24" s="539" t="s">
        <v>1363</v>
      </c>
      <c r="E24" s="539" t="s">
        <v>1364</v>
      </c>
      <c r="F24" s="551"/>
      <c r="G24" s="551"/>
      <c r="H24" s="551"/>
      <c r="I24" s="551"/>
      <c r="J24" s="551"/>
      <c r="K24" s="551"/>
      <c r="L24" s="551"/>
      <c r="M24" s="551"/>
      <c r="N24" s="551">
        <v>1</v>
      </c>
      <c r="O24" s="551">
        <v>486</v>
      </c>
      <c r="P24" s="544"/>
      <c r="Q24" s="552">
        <v>486</v>
      </c>
    </row>
    <row r="25" spans="1:17" ht="14.4" customHeight="1" x14ac:dyDescent="0.3">
      <c r="A25" s="538" t="s">
        <v>1518</v>
      </c>
      <c r="B25" s="539" t="s">
        <v>1302</v>
      </c>
      <c r="C25" s="539" t="s">
        <v>1331</v>
      </c>
      <c r="D25" s="539" t="s">
        <v>1365</v>
      </c>
      <c r="E25" s="539" t="s">
        <v>1366</v>
      </c>
      <c r="F25" s="551"/>
      <c r="G25" s="551"/>
      <c r="H25" s="551"/>
      <c r="I25" s="551"/>
      <c r="J25" s="551"/>
      <c r="K25" s="551"/>
      <c r="L25" s="551"/>
      <c r="M25" s="551"/>
      <c r="N25" s="551">
        <v>3</v>
      </c>
      <c r="O25" s="551">
        <v>1998</v>
      </c>
      <c r="P25" s="544"/>
      <c r="Q25" s="552">
        <v>666</v>
      </c>
    </row>
    <row r="26" spans="1:17" ht="14.4" customHeight="1" x14ac:dyDescent="0.3">
      <c r="A26" s="538" t="s">
        <v>1518</v>
      </c>
      <c r="B26" s="539" t="s">
        <v>1302</v>
      </c>
      <c r="C26" s="539" t="s">
        <v>1331</v>
      </c>
      <c r="D26" s="539" t="s">
        <v>1367</v>
      </c>
      <c r="E26" s="539" t="s">
        <v>1368</v>
      </c>
      <c r="F26" s="551"/>
      <c r="G26" s="551"/>
      <c r="H26" s="551"/>
      <c r="I26" s="551"/>
      <c r="J26" s="551"/>
      <c r="K26" s="551"/>
      <c r="L26" s="551"/>
      <c r="M26" s="551"/>
      <c r="N26" s="551">
        <v>4</v>
      </c>
      <c r="O26" s="551">
        <v>4048</v>
      </c>
      <c r="P26" s="544"/>
      <c r="Q26" s="552">
        <v>1012</v>
      </c>
    </row>
    <row r="27" spans="1:17" ht="14.4" customHeight="1" x14ac:dyDescent="0.3">
      <c r="A27" s="538" t="s">
        <v>1518</v>
      </c>
      <c r="B27" s="539" t="s">
        <v>1302</v>
      </c>
      <c r="C27" s="539" t="s">
        <v>1331</v>
      </c>
      <c r="D27" s="539" t="s">
        <v>1393</v>
      </c>
      <c r="E27" s="539" t="s">
        <v>1394</v>
      </c>
      <c r="F27" s="551">
        <v>3</v>
      </c>
      <c r="G27" s="551">
        <v>0</v>
      </c>
      <c r="H27" s="551"/>
      <c r="I27" s="551">
        <v>0</v>
      </c>
      <c r="J27" s="551"/>
      <c r="K27" s="551"/>
      <c r="L27" s="551"/>
      <c r="M27" s="551"/>
      <c r="N27" s="551">
        <v>3</v>
      </c>
      <c r="O27" s="551">
        <v>0</v>
      </c>
      <c r="P27" s="544"/>
      <c r="Q27" s="552">
        <v>0</v>
      </c>
    </row>
    <row r="28" spans="1:17" ht="14.4" customHeight="1" x14ac:dyDescent="0.3">
      <c r="A28" s="538" t="s">
        <v>1518</v>
      </c>
      <c r="B28" s="539" t="s">
        <v>1302</v>
      </c>
      <c r="C28" s="539" t="s">
        <v>1331</v>
      </c>
      <c r="D28" s="539" t="s">
        <v>1401</v>
      </c>
      <c r="E28" s="539" t="s">
        <v>1402</v>
      </c>
      <c r="F28" s="551"/>
      <c r="G28" s="551"/>
      <c r="H28" s="551"/>
      <c r="I28" s="551"/>
      <c r="J28" s="551">
        <v>5</v>
      </c>
      <c r="K28" s="551">
        <v>405</v>
      </c>
      <c r="L28" s="551"/>
      <c r="M28" s="551">
        <v>81</v>
      </c>
      <c r="N28" s="551">
        <v>2</v>
      </c>
      <c r="O28" s="551">
        <v>164</v>
      </c>
      <c r="P28" s="544"/>
      <c r="Q28" s="552">
        <v>82</v>
      </c>
    </row>
    <row r="29" spans="1:17" ht="14.4" customHeight="1" x14ac:dyDescent="0.3">
      <c r="A29" s="538" t="s">
        <v>1518</v>
      </c>
      <c r="B29" s="539" t="s">
        <v>1302</v>
      </c>
      <c r="C29" s="539" t="s">
        <v>1331</v>
      </c>
      <c r="D29" s="539" t="s">
        <v>1424</v>
      </c>
      <c r="E29" s="539" t="s">
        <v>1425</v>
      </c>
      <c r="F29" s="551"/>
      <c r="G29" s="551"/>
      <c r="H29" s="551"/>
      <c r="I29" s="551"/>
      <c r="J29" s="551">
        <v>1</v>
      </c>
      <c r="K29" s="551">
        <v>684</v>
      </c>
      <c r="L29" s="551"/>
      <c r="M29" s="551">
        <v>684</v>
      </c>
      <c r="N29" s="551"/>
      <c r="O29" s="551"/>
      <c r="P29" s="544"/>
      <c r="Q29" s="552"/>
    </row>
    <row r="30" spans="1:17" ht="14.4" customHeight="1" x14ac:dyDescent="0.3">
      <c r="A30" s="538" t="s">
        <v>1518</v>
      </c>
      <c r="B30" s="539" t="s">
        <v>1302</v>
      </c>
      <c r="C30" s="539" t="s">
        <v>1331</v>
      </c>
      <c r="D30" s="539" t="s">
        <v>1436</v>
      </c>
      <c r="E30" s="539" t="s">
        <v>1437</v>
      </c>
      <c r="F30" s="551"/>
      <c r="G30" s="551"/>
      <c r="H30" s="551"/>
      <c r="I30" s="551"/>
      <c r="J30" s="551">
        <v>1</v>
      </c>
      <c r="K30" s="551">
        <v>351</v>
      </c>
      <c r="L30" s="551"/>
      <c r="M30" s="551">
        <v>351</v>
      </c>
      <c r="N30" s="551">
        <v>1</v>
      </c>
      <c r="O30" s="551">
        <v>356</v>
      </c>
      <c r="P30" s="544"/>
      <c r="Q30" s="552">
        <v>356</v>
      </c>
    </row>
    <row r="31" spans="1:17" ht="14.4" customHeight="1" x14ac:dyDescent="0.3">
      <c r="A31" s="538" t="s">
        <v>1518</v>
      </c>
      <c r="B31" s="539" t="s">
        <v>1302</v>
      </c>
      <c r="C31" s="539" t="s">
        <v>1331</v>
      </c>
      <c r="D31" s="539" t="s">
        <v>1452</v>
      </c>
      <c r="E31" s="539" t="s">
        <v>1453</v>
      </c>
      <c r="F31" s="551"/>
      <c r="G31" s="551"/>
      <c r="H31" s="551"/>
      <c r="I31" s="551"/>
      <c r="J31" s="551">
        <v>1</v>
      </c>
      <c r="K31" s="551">
        <v>1653</v>
      </c>
      <c r="L31" s="551"/>
      <c r="M31" s="551">
        <v>1653</v>
      </c>
      <c r="N31" s="551"/>
      <c r="O31" s="551"/>
      <c r="P31" s="544"/>
      <c r="Q31" s="552"/>
    </row>
    <row r="32" spans="1:17" ht="14.4" customHeight="1" x14ac:dyDescent="0.3">
      <c r="A32" s="538" t="s">
        <v>1518</v>
      </c>
      <c r="B32" s="539" t="s">
        <v>1302</v>
      </c>
      <c r="C32" s="539" t="s">
        <v>1331</v>
      </c>
      <c r="D32" s="539" t="s">
        <v>963</v>
      </c>
      <c r="E32" s="539" t="s">
        <v>1516</v>
      </c>
      <c r="F32" s="551"/>
      <c r="G32" s="551"/>
      <c r="H32" s="551"/>
      <c r="I32" s="551"/>
      <c r="J32" s="551">
        <v>2</v>
      </c>
      <c r="K32" s="551">
        <v>2372</v>
      </c>
      <c r="L32" s="551"/>
      <c r="M32" s="551">
        <v>1186</v>
      </c>
      <c r="N32" s="551"/>
      <c r="O32" s="551"/>
      <c r="P32" s="544"/>
      <c r="Q32" s="552"/>
    </row>
    <row r="33" spans="1:17" ht="14.4" customHeight="1" x14ac:dyDescent="0.3">
      <c r="A33" s="538" t="s">
        <v>1518</v>
      </c>
      <c r="B33" s="539" t="s">
        <v>1302</v>
      </c>
      <c r="C33" s="539" t="s">
        <v>1331</v>
      </c>
      <c r="D33" s="539" t="s">
        <v>1460</v>
      </c>
      <c r="E33" s="539" t="s">
        <v>1461</v>
      </c>
      <c r="F33" s="551"/>
      <c r="G33" s="551"/>
      <c r="H33" s="551"/>
      <c r="I33" s="551"/>
      <c r="J33" s="551"/>
      <c r="K33" s="551"/>
      <c r="L33" s="551"/>
      <c r="M33" s="551"/>
      <c r="N33" s="551">
        <v>1</v>
      </c>
      <c r="O33" s="551">
        <v>1008</v>
      </c>
      <c r="P33" s="544"/>
      <c r="Q33" s="552">
        <v>1008</v>
      </c>
    </row>
    <row r="34" spans="1:17" ht="14.4" customHeight="1" x14ac:dyDescent="0.3">
      <c r="A34" s="538" t="s">
        <v>1518</v>
      </c>
      <c r="B34" s="539" t="s">
        <v>1302</v>
      </c>
      <c r="C34" s="539" t="s">
        <v>1331</v>
      </c>
      <c r="D34" s="539" t="s">
        <v>1462</v>
      </c>
      <c r="E34" s="539" t="s">
        <v>1463</v>
      </c>
      <c r="F34" s="551">
        <v>1</v>
      </c>
      <c r="G34" s="551">
        <v>808</v>
      </c>
      <c r="H34" s="551">
        <v>1</v>
      </c>
      <c r="I34" s="551">
        <v>808</v>
      </c>
      <c r="J34" s="551">
        <v>1</v>
      </c>
      <c r="K34" s="551">
        <v>808</v>
      </c>
      <c r="L34" s="551">
        <v>1</v>
      </c>
      <c r="M34" s="551">
        <v>808</v>
      </c>
      <c r="N34" s="551">
        <v>1</v>
      </c>
      <c r="O34" s="551">
        <v>815</v>
      </c>
      <c r="P34" s="544">
        <v>1.0086633663366336</v>
      </c>
      <c r="Q34" s="552">
        <v>815</v>
      </c>
    </row>
    <row r="35" spans="1:17" ht="14.4" customHeight="1" x14ac:dyDescent="0.3">
      <c r="A35" s="538" t="s">
        <v>1518</v>
      </c>
      <c r="B35" s="539" t="s">
        <v>1302</v>
      </c>
      <c r="C35" s="539" t="s">
        <v>1331</v>
      </c>
      <c r="D35" s="539" t="s">
        <v>1466</v>
      </c>
      <c r="E35" s="539" t="s">
        <v>1467</v>
      </c>
      <c r="F35" s="551">
        <v>1</v>
      </c>
      <c r="G35" s="551">
        <v>1154</v>
      </c>
      <c r="H35" s="551">
        <v>1</v>
      </c>
      <c r="I35" s="551">
        <v>1154</v>
      </c>
      <c r="J35" s="551"/>
      <c r="K35" s="551"/>
      <c r="L35" s="551"/>
      <c r="M35" s="551"/>
      <c r="N35" s="551"/>
      <c r="O35" s="551"/>
      <c r="P35" s="544"/>
      <c r="Q35" s="552"/>
    </row>
    <row r="36" spans="1:17" ht="14.4" customHeight="1" x14ac:dyDescent="0.3">
      <c r="A36" s="538" t="s">
        <v>1520</v>
      </c>
      <c r="B36" s="539" t="s">
        <v>1302</v>
      </c>
      <c r="C36" s="539" t="s">
        <v>1331</v>
      </c>
      <c r="D36" s="539" t="s">
        <v>1355</v>
      </c>
      <c r="E36" s="539" t="s">
        <v>1356</v>
      </c>
      <c r="F36" s="551"/>
      <c r="G36" s="551"/>
      <c r="H36" s="551"/>
      <c r="I36" s="551"/>
      <c r="J36" s="551">
        <v>1</v>
      </c>
      <c r="K36" s="551">
        <v>232</v>
      </c>
      <c r="L36" s="551"/>
      <c r="M36" s="551">
        <v>232</v>
      </c>
      <c r="N36" s="551"/>
      <c r="O36" s="551"/>
      <c r="P36" s="544"/>
      <c r="Q36" s="552"/>
    </row>
    <row r="37" spans="1:17" ht="14.4" customHeight="1" x14ac:dyDescent="0.3">
      <c r="A37" s="538" t="s">
        <v>1520</v>
      </c>
      <c r="B37" s="539" t="s">
        <v>1302</v>
      </c>
      <c r="C37" s="539" t="s">
        <v>1331</v>
      </c>
      <c r="D37" s="539" t="s">
        <v>1357</v>
      </c>
      <c r="E37" s="539" t="s">
        <v>1358</v>
      </c>
      <c r="F37" s="551"/>
      <c r="G37" s="551"/>
      <c r="H37" s="551"/>
      <c r="I37" s="551"/>
      <c r="J37" s="551">
        <v>1</v>
      </c>
      <c r="K37" s="551">
        <v>116</v>
      </c>
      <c r="L37" s="551"/>
      <c r="M37" s="551">
        <v>116</v>
      </c>
      <c r="N37" s="551">
        <v>2</v>
      </c>
      <c r="O37" s="551">
        <v>236</v>
      </c>
      <c r="P37" s="544"/>
      <c r="Q37" s="552">
        <v>118</v>
      </c>
    </row>
    <row r="38" spans="1:17" ht="14.4" customHeight="1" x14ac:dyDescent="0.3">
      <c r="A38" s="538" t="s">
        <v>1520</v>
      </c>
      <c r="B38" s="539" t="s">
        <v>1302</v>
      </c>
      <c r="C38" s="539" t="s">
        <v>1331</v>
      </c>
      <c r="D38" s="539" t="s">
        <v>1393</v>
      </c>
      <c r="E38" s="539" t="s">
        <v>1394</v>
      </c>
      <c r="F38" s="551"/>
      <c r="G38" s="551"/>
      <c r="H38" s="551"/>
      <c r="I38" s="551"/>
      <c r="J38" s="551"/>
      <c r="K38" s="551"/>
      <c r="L38" s="551"/>
      <c r="M38" s="551"/>
      <c r="N38" s="551">
        <v>1</v>
      </c>
      <c r="O38" s="551">
        <v>0</v>
      </c>
      <c r="P38" s="544"/>
      <c r="Q38" s="552">
        <v>0</v>
      </c>
    </row>
    <row r="39" spans="1:17" ht="14.4" customHeight="1" x14ac:dyDescent="0.3">
      <c r="A39" s="538" t="s">
        <v>1521</v>
      </c>
      <c r="B39" s="539" t="s">
        <v>1302</v>
      </c>
      <c r="C39" s="539" t="s">
        <v>1331</v>
      </c>
      <c r="D39" s="539" t="s">
        <v>1355</v>
      </c>
      <c r="E39" s="539" t="s">
        <v>1356</v>
      </c>
      <c r="F39" s="551"/>
      <c r="G39" s="551"/>
      <c r="H39" s="551"/>
      <c r="I39" s="551"/>
      <c r="J39" s="551">
        <v>1</v>
      </c>
      <c r="K39" s="551">
        <v>232</v>
      </c>
      <c r="L39" s="551"/>
      <c r="M39" s="551">
        <v>232</v>
      </c>
      <c r="N39" s="551"/>
      <c r="O39" s="551"/>
      <c r="P39" s="544"/>
      <c r="Q39" s="552"/>
    </row>
    <row r="40" spans="1:17" ht="14.4" customHeight="1" x14ac:dyDescent="0.3">
      <c r="A40" s="538" t="s">
        <v>1521</v>
      </c>
      <c r="B40" s="539" t="s">
        <v>1302</v>
      </c>
      <c r="C40" s="539" t="s">
        <v>1331</v>
      </c>
      <c r="D40" s="539" t="s">
        <v>1357</v>
      </c>
      <c r="E40" s="539" t="s">
        <v>1358</v>
      </c>
      <c r="F40" s="551"/>
      <c r="G40" s="551"/>
      <c r="H40" s="551"/>
      <c r="I40" s="551"/>
      <c r="J40" s="551">
        <v>7</v>
      </c>
      <c r="K40" s="551">
        <v>812</v>
      </c>
      <c r="L40" s="551"/>
      <c r="M40" s="551">
        <v>116</v>
      </c>
      <c r="N40" s="551">
        <v>2</v>
      </c>
      <c r="O40" s="551">
        <v>236</v>
      </c>
      <c r="P40" s="544"/>
      <c r="Q40" s="552">
        <v>118</v>
      </c>
    </row>
    <row r="41" spans="1:17" ht="14.4" customHeight="1" x14ac:dyDescent="0.3">
      <c r="A41" s="538" t="s">
        <v>1521</v>
      </c>
      <c r="B41" s="539" t="s">
        <v>1302</v>
      </c>
      <c r="C41" s="539" t="s">
        <v>1331</v>
      </c>
      <c r="D41" s="539" t="s">
        <v>1393</v>
      </c>
      <c r="E41" s="539" t="s">
        <v>1394</v>
      </c>
      <c r="F41" s="551"/>
      <c r="G41" s="551"/>
      <c r="H41" s="551"/>
      <c r="I41" s="551"/>
      <c r="J41" s="551"/>
      <c r="K41" s="551"/>
      <c r="L41" s="551"/>
      <c r="M41" s="551"/>
      <c r="N41" s="551">
        <v>2</v>
      </c>
      <c r="O41" s="551">
        <v>0</v>
      </c>
      <c r="P41" s="544"/>
      <c r="Q41" s="552">
        <v>0</v>
      </c>
    </row>
    <row r="42" spans="1:17" ht="14.4" customHeight="1" x14ac:dyDescent="0.3">
      <c r="A42" s="538" t="s">
        <v>1521</v>
      </c>
      <c r="B42" s="539" t="s">
        <v>1302</v>
      </c>
      <c r="C42" s="539" t="s">
        <v>1331</v>
      </c>
      <c r="D42" s="539" t="s">
        <v>1418</v>
      </c>
      <c r="E42" s="539" t="s">
        <v>1419</v>
      </c>
      <c r="F42" s="551"/>
      <c r="G42" s="551"/>
      <c r="H42" s="551"/>
      <c r="I42" s="551"/>
      <c r="J42" s="551">
        <v>1</v>
      </c>
      <c r="K42" s="551">
        <v>1043</v>
      </c>
      <c r="L42" s="551"/>
      <c r="M42" s="551">
        <v>1043</v>
      </c>
      <c r="N42" s="551"/>
      <c r="O42" s="551"/>
      <c r="P42" s="544"/>
      <c r="Q42" s="552"/>
    </row>
    <row r="43" spans="1:17" ht="14.4" customHeight="1" x14ac:dyDescent="0.3">
      <c r="A43" s="538" t="s">
        <v>1521</v>
      </c>
      <c r="B43" s="539" t="s">
        <v>1302</v>
      </c>
      <c r="C43" s="539" t="s">
        <v>1331</v>
      </c>
      <c r="D43" s="539" t="s">
        <v>1436</v>
      </c>
      <c r="E43" s="539" t="s">
        <v>1437</v>
      </c>
      <c r="F43" s="551"/>
      <c r="G43" s="551"/>
      <c r="H43" s="551"/>
      <c r="I43" s="551"/>
      <c r="J43" s="551">
        <v>1</v>
      </c>
      <c r="K43" s="551">
        <v>351</v>
      </c>
      <c r="L43" s="551"/>
      <c r="M43" s="551">
        <v>351</v>
      </c>
      <c r="N43" s="551"/>
      <c r="O43" s="551"/>
      <c r="P43" s="544"/>
      <c r="Q43" s="552"/>
    </row>
    <row r="44" spans="1:17" ht="14.4" customHeight="1" x14ac:dyDescent="0.3">
      <c r="A44" s="538" t="s">
        <v>1522</v>
      </c>
      <c r="B44" s="539" t="s">
        <v>1302</v>
      </c>
      <c r="C44" s="539" t="s">
        <v>1331</v>
      </c>
      <c r="D44" s="539" t="s">
        <v>1357</v>
      </c>
      <c r="E44" s="539" t="s">
        <v>1358</v>
      </c>
      <c r="F44" s="551"/>
      <c r="G44" s="551"/>
      <c r="H44" s="551"/>
      <c r="I44" s="551"/>
      <c r="J44" s="551">
        <v>1</v>
      </c>
      <c r="K44" s="551">
        <v>116</v>
      </c>
      <c r="L44" s="551"/>
      <c r="M44" s="551">
        <v>116</v>
      </c>
      <c r="N44" s="551">
        <v>5</v>
      </c>
      <c r="O44" s="551">
        <v>590</v>
      </c>
      <c r="P44" s="544"/>
      <c r="Q44" s="552">
        <v>118</v>
      </c>
    </row>
    <row r="45" spans="1:17" ht="14.4" customHeight="1" x14ac:dyDescent="0.3">
      <c r="A45" s="538" t="s">
        <v>1522</v>
      </c>
      <c r="B45" s="539" t="s">
        <v>1302</v>
      </c>
      <c r="C45" s="539" t="s">
        <v>1331</v>
      </c>
      <c r="D45" s="539" t="s">
        <v>1407</v>
      </c>
      <c r="E45" s="539" t="s">
        <v>1408</v>
      </c>
      <c r="F45" s="551"/>
      <c r="G45" s="551"/>
      <c r="H45" s="551"/>
      <c r="I45" s="551"/>
      <c r="J45" s="551"/>
      <c r="K45" s="551"/>
      <c r="L45" s="551"/>
      <c r="M45" s="551"/>
      <c r="N45" s="551">
        <v>3</v>
      </c>
      <c r="O45" s="551">
        <v>1476</v>
      </c>
      <c r="P45" s="544"/>
      <c r="Q45" s="552">
        <v>492</v>
      </c>
    </row>
    <row r="46" spans="1:17" ht="14.4" customHeight="1" x14ac:dyDescent="0.3">
      <c r="A46" s="538" t="s">
        <v>1523</v>
      </c>
      <c r="B46" s="539" t="s">
        <v>1302</v>
      </c>
      <c r="C46" s="539" t="s">
        <v>1331</v>
      </c>
      <c r="D46" s="539" t="s">
        <v>1355</v>
      </c>
      <c r="E46" s="539" t="s">
        <v>1356</v>
      </c>
      <c r="F46" s="551">
        <v>1</v>
      </c>
      <c r="G46" s="551">
        <v>232</v>
      </c>
      <c r="H46" s="551">
        <v>1</v>
      </c>
      <c r="I46" s="551">
        <v>232</v>
      </c>
      <c r="J46" s="551"/>
      <c r="K46" s="551"/>
      <c r="L46" s="551"/>
      <c r="M46" s="551"/>
      <c r="N46" s="551">
        <v>1</v>
      </c>
      <c r="O46" s="551">
        <v>235</v>
      </c>
      <c r="P46" s="544">
        <v>1.0129310344827587</v>
      </c>
      <c r="Q46" s="552">
        <v>235</v>
      </c>
    </row>
    <row r="47" spans="1:17" ht="14.4" customHeight="1" x14ac:dyDescent="0.3">
      <c r="A47" s="538" t="s">
        <v>1524</v>
      </c>
      <c r="B47" s="539" t="s">
        <v>1302</v>
      </c>
      <c r="C47" s="539" t="s">
        <v>1331</v>
      </c>
      <c r="D47" s="539" t="s">
        <v>1342</v>
      </c>
      <c r="E47" s="539" t="s">
        <v>1343</v>
      </c>
      <c r="F47" s="551">
        <v>5</v>
      </c>
      <c r="G47" s="551">
        <v>170</v>
      </c>
      <c r="H47" s="551">
        <v>1</v>
      </c>
      <c r="I47" s="551">
        <v>34</v>
      </c>
      <c r="J47" s="551">
        <v>10</v>
      </c>
      <c r="K47" s="551">
        <v>340</v>
      </c>
      <c r="L47" s="551">
        <v>2</v>
      </c>
      <c r="M47" s="551">
        <v>34</v>
      </c>
      <c r="N47" s="551">
        <v>6</v>
      </c>
      <c r="O47" s="551">
        <v>210</v>
      </c>
      <c r="P47" s="544">
        <v>1.2352941176470589</v>
      </c>
      <c r="Q47" s="552">
        <v>35</v>
      </c>
    </row>
    <row r="48" spans="1:17" ht="14.4" customHeight="1" x14ac:dyDescent="0.3">
      <c r="A48" s="538" t="s">
        <v>1524</v>
      </c>
      <c r="B48" s="539" t="s">
        <v>1302</v>
      </c>
      <c r="C48" s="539" t="s">
        <v>1331</v>
      </c>
      <c r="D48" s="539" t="s">
        <v>1352</v>
      </c>
      <c r="E48" s="539" t="s">
        <v>1353</v>
      </c>
      <c r="F48" s="551"/>
      <c r="G48" s="551"/>
      <c r="H48" s="551"/>
      <c r="I48" s="551"/>
      <c r="J48" s="551">
        <v>0</v>
      </c>
      <c r="K48" s="551">
        <v>0</v>
      </c>
      <c r="L48" s="551"/>
      <c r="M48" s="551"/>
      <c r="N48" s="551"/>
      <c r="O48" s="551"/>
      <c r="P48" s="544"/>
      <c r="Q48" s="552"/>
    </row>
    <row r="49" spans="1:17" ht="14.4" customHeight="1" x14ac:dyDescent="0.3">
      <c r="A49" s="538" t="s">
        <v>1524</v>
      </c>
      <c r="B49" s="539" t="s">
        <v>1302</v>
      </c>
      <c r="C49" s="539" t="s">
        <v>1331</v>
      </c>
      <c r="D49" s="539" t="s">
        <v>1355</v>
      </c>
      <c r="E49" s="539" t="s">
        <v>1356</v>
      </c>
      <c r="F49" s="551">
        <v>5</v>
      </c>
      <c r="G49" s="551">
        <v>1160</v>
      </c>
      <c r="H49" s="551">
        <v>1</v>
      </c>
      <c r="I49" s="551">
        <v>232</v>
      </c>
      <c r="J49" s="551">
        <v>4</v>
      </c>
      <c r="K49" s="551">
        <v>928</v>
      </c>
      <c r="L49" s="551">
        <v>0.8</v>
      </c>
      <c r="M49" s="551">
        <v>232</v>
      </c>
      <c r="N49" s="551">
        <v>7</v>
      </c>
      <c r="O49" s="551">
        <v>1645</v>
      </c>
      <c r="P49" s="544">
        <v>1.4181034482758621</v>
      </c>
      <c r="Q49" s="552">
        <v>235</v>
      </c>
    </row>
    <row r="50" spans="1:17" ht="14.4" customHeight="1" x14ac:dyDescent="0.3">
      <c r="A50" s="538" t="s">
        <v>1524</v>
      </c>
      <c r="B50" s="539" t="s">
        <v>1302</v>
      </c>
      <c r="C50" s="539" t="s">
        <v>1331</v>
      </c>
      <c r="D50" s="539" t="s">
        <v>1357</v>
      </c>
      <c r="E50" s="539" t="s">
        <v>1358</v>
      </c>
      <c r="F50" s="551">
        <v>34</v>
      </c>
      <c r="G50" s="551">
        <v>3944</v>
      </c>
      <c r="H50" s="551">
        <v>1</v>
      </c>
      <c r="I50" s="551">
        <v>116</v>
      </c>
      <c r="J50" s="551">
        <v>58</v>
      </c>
      <c r="K50" s="551">
        <v>6728</v>
      </c>
      <c r="L50" s="551">
        <v>1.7058823529411764</v>
      </c>
      <c r="M50" s="551">
        <v>116</v>
      </c>
      <c r="N50" s="551">
        <v>64</v>
      </c>
      <c r="O50" s="551">
        <v>7552</v>
      </c>
      <c r="P50" s="544">
        <v>1.9148073022312373</v>
      </c>
      <c r="Q50" s="552">
        <v>118</v>
      </c>
    </row>
    <row r="51" spans="1:17" ht="14.4" customHeight="1" x14ac:dyDescent="0.3">
      <c r="A51" s="538" t="s">
        <v>1524</v>
      </c>
      <c r="B51" s="539" t="s">
        <v>1302</v>
      </c>
      <c r="C51" s="539" t="s">
        <v>1331</v>
      </c>
      <c r="D51" s="539" t="s">
        <v>1359</v>
      </c>
      <c r="E51" s="539" t="s">
        <v>1360</v>
      </c>
      <c r="F51" s="551"/>
      <c r="G51" s="551"/>
      <c r="H51" s="551"/>
      <c r="I51" s="551"/>
      <c r="J51" s="551">
        <v>2</v>
      </c>
      <c r="K51" s="551">
        <v>1054</v>
      </c>
      <c r="L51" s="551"/>
      <c r="M51" s="551">
        <v>527</v>
      </c>
      <c r="N51" s="551"/>
      <c r="O51" s="551"/>
      <c r="P51" s="544"/>
      <c r="Q51" s="552"/>
    </row>
    <row r="52" spans="1:17" ht="14.4" customHeight="1" x14ac:dyDescent="0.3">
      <c r="A52" s="538" t="s">
        <v>1524</v>
      </c>
      <c r="B52" s="539" t="s">
        <v>1302</v>
      </c>
      <c r="C52" s="539" t="s">
        <v>1331</v>
      </c>
      <c r="D52" s="539" t="s">
        <v>1363</v>
      </c>
      <c r="E52" s="539" t="s">
        <v>1364</v>
      </c>
      <c r="F52" s="551"/>
      <c r="G52" s="551"/>
      <c r="H52" s="551"/>
      <c r="I52" s="551"/>
      <c r="J52" s="551">
        <v>17</v>
      </c>
      <c r="K52" s="551">
        <v>8177</v>
      </c>
      <c r="L52" s="551"/>
      <c r="M52" s="551">
        <v>481</v>
      </c>
      <c r="N52" s="551">
        <v>12</v>
      </c>
      <c r="O52" s="551">
        <v>5832</v>
      </c>
      <c r="P52" s="544"/>
      <c r="Q52" s="552">
        <v>486</v>
      </c>
    </row>
    <row r="53" spans="1:17" ht="14.4" customHeight="1" x14ac:dyDescent="0.3">
      <c r="A53" s="538" t="s">
        <v>1524</v>
      </c>
      <c r="B53" s="539" t="s">
        <v>1302</v>
      </c>
      <c r="C53" s="539" t="s">
        <v>1331</v>
      </c>
      <c r="D53" s="539" t="s">
        <v>1365</v>
      </c>
      <c r="E53" s="539" t="s">
        <v>1366</v>
      </c>
      <c r="F53" s="551">
        <v>1</v>
      </c>
      <c r="G53" s="551">
        <v>659</v>
      </c>
      <c r="H53" s="551">
        <v>1</v>
      </c>
      <c r="I53" s="551">
        <v>659</v>
      </c>
      <c r="J53" s="551">
        <v>27</v>
      </c>
      <c r="K53" s="551">
        <v>17793</v>
      </c>
      <c r="L53" s="551">
        <v>27</v>
      </c>
      <c r="M53" s="551">
        <v>659</v>
      </c>
      <c r="N53" s="551"/>
      <c r="O53" s="551"/>
      <c r="P53" s="544"/>
      <c r="Q53" s="552"/>
    </row>
    <row r="54" spans="1:17" ht="14.4" customHeight="1" x14ac:dyDescent="0.3">
      <c r="A54" s="538" t="s">
        <v>1524</v>
      </c>
      <c r="B54" s="539" t="s">
        <v>1302</v>
      </c>
      <c r="C54" s="539" t="s">
        <v>1331</v>
      </c>
      <c r="D54" s="539" t="s">
        <v>1367</v>
      </c>
      <c r="E54" s="539" t="s">
        <v>1368</v>
      </c>
      <c r="F54" s="551"/>
      <c r="G54" s="551"/>
      <c r="H54" s="551"/>
      <c r="I54" s="551"/>
      <c r="J54" s="551">
        <v>29</v>
      </c>
      <c r="K54" s="551">
        <v>29029</v>
      </c>
      <c r="L54" s="551"/>
      <c r="M54" s="551">
        <v>1001</v>
      </c>
      <c r="N54" s="551">
        <v>18</v>
      </c>
      <c r="O54" s="551">
        <v>18216</v>
      </c>
      <c r="P54" s="544"/>
      <c r="Q54" s="552">
        <v>1012</v>
      </c>
    </row>
    <row r="55" spans="1:17" ht="14.4" customHeight="1" x14ac:dyDescent="0.3">
      <c r="A55" s="538" t="s">
        <v>1524</v>
      </c>
      <c r="B55" s="539" t="s">
        <v>1302</v>
      </c>
      <c r="C55" s="539" t="s">
        <v>1331</v>
      </c>
      <c r="D55" s="539" t="s">
        <v>1369</v>
      </c>
      <c r="E55" s="539" t="s">
        <v>1370</v>
      </c>
      <c r="F55" s="551"/>
      <c r="G55" s="551"/>
      <c r="H55" s="551"/>
      <c r="I55" s="551"/>
      <c r="J55" s="551">
        <v>1</v>
      </c>
      <c r="K55" s="551">
        <v>2000</v>
      </c>
      <c r="L55" s="551"/>
      <c r="M55" s="551">
        <v>2000</v>
      </c>
      <c r="N55" s="551">
        <v>2</v>
      </c>
      <c r="O55" s="551">
        <v>4034</v>
      </c>
      <c r="P55" s="544"/>
      <c r="Q55" s="552">
        <v>2017</v>
      </c>
    </row>
    <row r="56" spans="1:17" ht="14.4" customHeight="1" x14ac:dyDescent="0.3">
      <c r="A56" s="538" t="s">
        <v>1524</v>
      </c>
      <c r="B56" s="539" t="s">
        <v>1302</v>
      </c>
      <c r="C56" s="539" t="s">
        <v>1331</v>
      </c>
      <c r="D56" s="539" t="s">
        <v>1371</v>
      </c>
      <c r="E56" s="539" t="s">
        <v>1372</v>
      </c>
      <c r="F56" s="551"/>
      <c r="G56" s="551"/>
      <c r="H56" s="551"/>
      <c r="I56" s="551"/>
      <c r="J56" s="551">
        <v>2</v>
      </c>
      <c r="K56" s="551">
        <v>2426</v>
      </c>
      <c r="L56" s="551"/>
      <c r="M56" s="551">
        <v>1213</v>
      </c>
      <c r="N56" s="551">
        <v>4</v>
      </c>
      <c r="O56" s="551">
        <v>4940</v>
      </c>
      <c r="P56" s="544"/>
      <c r="Q56" s="552">
        <v>1235</v>
      </c>
    </row>
    <row r="57" spans="1:17" ht="14.4" customHeight="1" x14ac:dyDescent="0.3">
      <c r="A57" s="538" t="s">
        <v>1524</v>
      </c>
      <c r="B57" s="539" t="s">
        <v>1302</v>
      </c>
      <c r="C57" s="539" t="s">
        <v>1331</v>
      </c>
      <c r="D57" s="539" t="s">
        <v>1373</v>
      </c>
      <c r="E57" s="539" t="s">
        <v>1374</v>
      </c>
      <c r="F57" s="551"/>
      <c r="G57" s="551"/>
      <c r="H57" s="551"/>
      <c r="I57" s="551"/>
      <c r="J57" s="551">
        <v>1</v>
      </c>
      <c r="K57" s="551">
        <v>932</v>
      </c>
      <c r="L57" s="551"/>
      <c r="M57" s="551">
        <v>932</v>
      </c>
      <c r="N57" s="551">
        <v>3</v>
      </c>
      <c r="O57" s="551">
        <v>2838</v>
      </c>
      <c r="P57" s="544"/>
      <c r="Q57" s="552">
        <v>946</v>
      </c>
    </row>
    <row r="58" spans="1:17" ht="14.4" customHeight="1" x14ac:dyDescent="0.3">
      <c r="A58" s="538" t="s">
        <v>1524</v>
      </c>
      <c r="B58" s="539" t="s">
        <v>1302</v>
      </c>
      <c r="C58" s="539" t="s">
        <v>1331</v>
      </c>
      <c r="D58" s="539" t="s">
        <v>1375</v>
      </c>
      <c r="E58" s="539" t="s">
        <v>1376</v>
      </c>
      <c r="F58" s="551"/>
      <c r="G58" s="551"/>
      <c r="H58" s="551"/>
      <c r="I58" s="551"/>
      <c r="J58" s="551"/>
      <c r="K58" s="551"/>
      <c r="L58" s="551"/>
      <c r="M58" s="551"/>
      <c r="N58" s="551">
        <v>1</v>
      </c>
      <c r="O58" s="551">
        <v>825</v>
      </c>
      <c r="P58" s="544"/>
      <c r="Q58" s="552">
        <v>825</v>
      </c>
    </row>
    <row r="59" spans="1:17" ht="14.4" customHeight="1" x14ac:dyDescent="0.3">
      <c r="A59" s="538" t="s">
        <v>1524</v>
      </c>
      <c r="B59" s="539" t="s">
        <v>1302</v>
      </c>
      <c r="C59" s="539" t="s">
        <v>1331</v>
      </c>
      <c r="D59" s="539" t="s">
        <v>1381</v>
      </c>
      <c r="E59" s="539" t="s">
        <v>1382</v>
      </c>
      <c r="F59" s="551">
        <v>2</v>
      </c>
      <c r="G59" s="551">
        <v>2998</v>
      </c>
      <c r="H59" s="551">
        <v>1</v>
      </c>
      <c r="I59" s="551">
        <v>1499</v>
      </c>
      <c r="J59" s="551">
        <v>9</v>
      </c>
      <c r="K59" s="551">
        <v>13491</v>
      </c>
      <c r="L59" s="551">
        <v>4.5</v>
      </c>
      <c r="M59" s="551">
        <v>1499</v>
      </c>
      <c r="N59" s="551">
        <v>5</v>
      </c>
      <c r="O59" s="551">
        <v>7555</v>
      </c>
      <c r="P59" s="544">
        <v>2.5200133422281521</v>
      </c>
      <c r="Q59" s="552">
        <v>1511</v>
      </c>
    </row>
    <row r="60" spans="1:17" ht="14.4" customHeight="1" x14ac:dyDescent="0.3">
      <c r="A60" s="538" t="s">
        <v>1524</v>
      </c>
      <c r="B60" s="539" t="s">
        <v>1302</v>
      </c>
      <c r="C60" s="539" t="s">
        <v>1331</v>
      </c>
      <c r="D60" s="539" t="s">
        <v>1525</v>
      </c>
      <c r="E60" s="539" t="s">
        <v>1526</v>
      </c>
      <c r="F60" s="551">
        <v>1</v>
      </c>
      <c r="G60" s="551">
        <v>2198</v>
      </c>
      <c r="H60" s="551">
        <v>1</v>
      </c>
      <c r="I60" s="551">
        <v>2198</v>
      </c>
      <c r="J60" s="551"/>
      <c r="K60" s="551"/>
      <c r="L60" s="551"/>
      <c r="M60" s="551"/>
      <c r="N60" s="551"/>
      <c r="O60" s="551"/>
      <c r="P60" s="544"/>
      <c r="Q60" s="552"/>
    </row>
    <row r="61" spans="1:17" ht="14.4" customHeight="1" x14ac:dyDescent="0.3">
      <c r="A61" s="538" t="s">
        <v>1524</v>
      </c>
      <c r="B61" s="539" t="s">
        <v>1302</v>
      </c>
      <c r="C61" s="539" t="s">
        <v>1331</v>
      </c>
      <c r="D61" s="539" t="s">
        <v>1401</v>
      </c>
      <c r="E61" s="539" t="s">
        <v>1402</v>
      </c>
      <c r="F61" s="551">
        <v>37</v>
      </c>
      <c r="G61" s="551">
        <v>2997</v>
      </c>
      <c r="H61" s="551">
        <v>1</v>
      </c>
      <c r="I61" s="551">
        <v>81</v>
      </c>
      <c r="J61" s="551">
        <v>46</v>
      </c>
      <c r="K61" s="551">
        <v>3726</v>
      </c>
      <c r="L61" s="551">
        <v>1.2432432432432432</v>
      </c>
      <c r="M61" s="551">
        <v>81</v>
      </c>
      <c r="N61" s="551">
        <v>33</v>
      </c>
      <c r="O61" s="551">
        <v>2706</v>
      </c>
      <c r="P61" s="544">
        <v>0.90290290290290287</v>
      </c>
      <c r="Q61" s="552">
        <v>82</v>
      </c>
    </row>
    <row r="62" spans="1:17" ht="14.4" customHeight="1" x14ac:dyDescent="0.3">
      <c r="A62" s="538" t="s">
        <v>1524</v>
      </c>
      <c r="B62" s="539" t="s">
        <v>1302</v>
      </c>
      <c r="C62" s="539" t="s">
        <v>1331</v>
      </c>
      <c r="D62" s="539" t="s">
        <v>1407</v>
      </c>
      <c r="E62" s="539" t="s">
        <v>1408</v>
      </c>
      <c r="F62" s="551">
        <v>3</v>
      </c>
      <c r="G62" s="551">
        <v>1455</v>
      </c>
      <c r="H62" s="551">
        <v>1</v>
      </c>
      <c r="I62" s="551">
        <v>485</v>
      </c>
      <c r="J62" s="551">
        <v>1</v>
      </c>
      <c r="K62" s="551">
        <v>485</v>
      </c>
      <c r="L62" s="551">
        <v>0.33333333333333331</v>
      </c>
      <c r="M62" s="551">
        <v>485</v>
      </c>
      <c r="N62" s="551">
        <v>3</v>
      </c>
      <c r="O62" s="551">
        <v>1476</v>
      </c>
      <c r="P62" s="544">
        <v>1.0144329896907216</v>
      </c>
      <c r="Q62" s="552">
        <v>492</v>
      </c>
    </row>
    <row r="63" spans="1:17" ht="14.4" customHeight="1" x14ac:dyDescent="0.3">
      <c r="A63" s="538" t="s">
        <v>1524</v>
      </c>
      <c r="B63" s="539" t="s">
        <v>1302</v>
      </c>
      <c r="C63" s="539" t="s">
        <v>1331</v>
      </c>
      <c r="D63" s="539" t="s">
        <v>1411</v>
      </c>
      <c r="E63" s="539" t="s">
        <v>1360</v>
      </c>
      <c r="F63" s="551"/>
      <c r="G63" s="551"/>
      <c r="H63" s="551"/>
      <c r="I63" s="551"/>
      <c r="J63" s="551"/>
      <c r="K63" s="551"/>
      <c r="L63" s="551"/>
      <c r="M63" s="551"/>
      <c r="N63" s="551">
        <v>2</v>
      </c>
      <c r="O63" s="551">
        <v>1350</v>
      </c>
      <c r="P63" s="544"/>
      <c r="Q63" s="552">
        <v>675</v>
      </c>
    </row>
    <row r="64" spans="1:17" ht="14.4" customHeight="1" x14ac:dyDescent="0.3">
      <c r="A64" s="538" t="s">
        <v>1524</v>
      </c>
      <c r="B64" s="539" t="s">
        <v>1302</v>
      </c>
      <c r="C64" s="539" t="s">
        <v>1331</v>
      </c>
      <c r="D64" s="539" t="s">
        <v>1414</v>
      </c>
      <c r="E64" s="539" t="s">
        <v>1415</v>
      </c>
      <c r="F64" s="551"/>
      <c r="G64" s="551"/>
      <c r="H64" s="551"/>
      <c r="I64" s="551"/>
      <c r="J64" s="551">
        <v>1</v>
      </c>
      <c r="K64" s="551">
        <v>431</v>
      </c>
      <c r="L64" s="551"/>
      <c r="M64" s="551">
        <v>431</v>
      </c>
      <c r="N64" s="551"/>
      <c r="O64" s="551"/>
      <c r="P64" s="544"/>
      <c r="Q64" s="552"/>
    </row>
    <row r="65" spans="1:17" ht="14.4" customHeight="1" x14ac:dyDescent="0.3">
      <c r="A65" s="538" t="s">
        <v>1524</v>
      </c>
      <c r="B65" s="539" t="s">
        <v>1302</v>
      </c>
      <c r="C65" s="539" t="s">
        <v>1331</v>
      </c>
      <c r="D65" s="539" t="s">
        <v>1424</v>
      </c>
      <c r="E65" s="539" t="s">
        <v>1425</v>
      </c>
      <c r="F65" s="551">
        <v>3</v>
      </c>
      <c r="G65" s="551">
        <v>2052</v>
      </c>
      <c r="H65" s="551">
        <v>1</v>
      </c>
      <c r="I65" s="551">
        <v>684</v>
      </c>
      <c r="J65" s="551">
        <v>5</v>
      </c>
      <c r="K65" s="551">
        <v>3420</v>
      </c>
      <c r="L65" s="551">
        <v>1.6666666666666667</v>
      </c>
      <c r="M65" s="551">
        <v>684</v>
      </c>
      <c r="N65" s="551">
        <v>4</v>
      </c>
      <c r="O65" s="551">
        <v>2764</v>
      </c>
      <c r="P65" s="544">
        <v>1.3469785575048734</v>
      </c>
      <c r="Q65" s="552">
        <v>691</v>
      </c>
    </row>
    <row r="66" spans="1:17" ht="14.4" customHeight="1" x14ac:dyDescent="0.3">
      <c r="A66" s="538" t="s">
        <v>1524</v>
      </c>
      <c r="B66" s="539" t="s">
        <v>1302</v>
      </c>
      <c r="C66" s="539" t="s">
        <v>1331</v>
      </c>
      <c r="D66" s="539" t="s">
        <v>1434</v>
      </c>
      <c r="E66" s="539" t="s">
        <v>1435</v>
      </c>
      <c r="F66" s="551">
        <v>1</v>
      </c>
      <c r="G66" s="551">
        <v>119</v>
      </c>
      <c r="H66" s="551">
        <v>1</v>
      </c>
      <c r="I66" s="551">
        <v>119</v>
      </c>
      <c r="J66" s="551"/>
      <c r="K66" s="551"/>
      <c r="L66" s="551"/>
      <c r="M66" s="551"/>
      <c r="N66" s="551">
        <v>1</v>
      </c>
      <c r="O66" s="551">
        <v>121</v>
      </c>
      <c r="P66" s="544">
        <v>1.0168067226890756</v>
      </c>
      <c r="Q66" s="552">
        <v>121</v>
      </c>
    </row>
    <row r="67" spans="1:17" ht="14.4" customHeight="1" x14ac:dyDescent="0.3">
      <c r="A67" s="538" t="s">
        <v>1524</v>
      </c>
      <c r="B67" s="539" t="s">
        <v>1302</v>
      </c>
      <c r="C67" s="539" t="s">
        <v>1331</v>
      </c>
      <c r="D67" s="539" t="s">
        <v>1436</v>
      </c>
      <c r="E67" s="539" t="s">
        <v>1437</v>
      </c>
      <c r="F67" s="551"/>
      <c r="G67" s="551"/>
      <c r="H67" s="551"/>
      <c r="I67" s="551"/>
      <c r="J67" s="551">
        <v>7</v>
      </c>
      <c r="K67" s="551">
        <v>2457</v>
      </c>
      <c r="L67" s="551"/>
      <c r="M67" s="551">
        <v>351</v>
      </c>
      <c r="N67" s="551"/>
      <c r="O67" s="551"/>
      <c r="P67" s="544"/>
      <c r="Q67" s="552"/>
    </row>
    <row r="68" spans="1:17" ht="14.4" customHeight="1" x14ac:dyDescent="0.3">
      <c r="A68" s="538" t="s">
        <v>1524</v>
      </c>
      <c r="B68" s="539" t="s">
        <v>1302</v>
      </c>
      <c r="C68" s="539" t="s">
        <v>1331</v>
      </c>
      <c r="D68" s="539" t="s">
        <v>1442</v>
      </c>
      <c r="E68" s="539" t="s">
        <v>1443</v>
      </c>
      <c r="F68" s="551"/>
      <c r="G68" s="551"/>
      <c r="H68" s="551"/>
      <c r="I68" s="551"/>
      <c r="J68" s="551"/>
      <c r="K68" s="551"/>
      <c r="L68" s="551"/>
      <c r="M68" s="551"/>
      <c r="N68" s="551">
        <v>3</v>
      </c>
      <c r="O68" s="551">
        <v>4794</v>
      </c>
      <c r="P68" s="544"/>
      <c r="Q68" s="552">
        <v>1598</v>
      </c>
    </row>
    <row r="69" spans="1:17" ht="14.4" customHeight="1" x14ac:dyDescent="0.3">
      <c r="A69" s="538" t="s">
        <v>1524</v>
      </c>
      <c r="B69" s="539" t="s">
        <v>1302</v>
      </c>
      <c r="C69" s="539" t="s">
        <v>1331</v>
      </c>
      <c r="D69" s="539" t="s">
        <v>1444</v>
      </c>
      <c r="E69" s="539" t="s">
        <v>1445</v>
      </c>
      <c r="F69" s="551"/>
      <c r="G69" s="551"/>
      <c r="H69" s="551"/>
      <c r="I69" s="551"/>
      <c r="J69" s="551"/>
      <c r="K69" s="551"/>
      <c r="L69" s="551"/>
      <c r="M69" s="551"/>
      <c r="N69" s="551">
        <v>6</v>
      </c>
      <c r="O69" s="551">
        <v>696</v>
      </c>
      <c r="P69" s="544"/>
      <c r="Q69" s="552">
        <v>116</v>
      </c>
    </row>
    <row r="70" spans="1:17" ht="14.4" customHeight="1" x14ac:dyDescent="0.3">
      <c r="A70" s="538" t="s">
        <v>1524</v>
      </c>
      <c r="B70" s="539" t="s">
        <v>1302</v>
      </c>
      <c r="C70" s="539" t="s">
        <v>1331</v>
      </c>
      <c r="D70" s="539" t="s">
        <v>1446</v>
      </c>
      <c r="E70" s="539" t="s">
        <v>1447</v>
      </c>
      <c r="F70" s="551">
        <v>4</v>
      </c>
      <c r="G70" s="551">
        <v>800</v>
      </c>
      <c r="H70" s="551">
        <v>1</v>
      </c>
      <c r="I70" s="551">
        <v>200</v>
      </c>
      <c r="J70" s="551">
        <v>1</v>
      </c>
      <c r="K70" s="551">
        <v>200</v>
      </c>
      <c r="L70" s="551">
        <v>0.25</v>
      </c>
      <c r="M70" s="551">
        <v>200</v>
      </c>
      <c r="N70" s="551"/>
      <c r="O70" s="551"/>
      <c r="P70" s="544"/>
      <c r="Q70" s="552"/>
    </row>
    <row r="71" spans="1:17" ht="14.4" customHeight="1" x14ac:dyDescent="0.3">
      <c r="A71" s="538" t="s">
        <v>1524</v>
      </c>
      <c r="B71" s="539" t="s">
        <v>1302</v>
      </c>
      <c r="C71" s="539" t="s">
        <v>1331</v>
      </c>
      <c r="D71" s="539" t="s">
        <v>1448</v>
      </c>
      <c r="E71" s="539" t="s">
        <v>1449</v>
      </c>
      <c r="F71" s="551"/>
      <c r="G71" s="551"/>
      <c r="H71" s="551"/>
      <c r="I71" s="551"/>
      <c r="J71" s="551">
        <v>1</v>
      </c>
      <c r="K71" s="551">
        <v>241</v>
      </c>
      <c r="L71" s="551"/>
      <c r="M71" s="551">
        <v>241</v>
      </c>
      <c r="N71" s="551"/>
      <c r="O71" s="551"/>
      <c r="P71" s="544"/>
      <c r="Q71" s="552"/>
    </row>
    <row r="72" spans="1:17" ht="14.4" customHeight="1" x14ac:dyDescent="0.3">
      <c r="A72" s="538" t="s">
        <v>1524</v>
      </c>
      <c r="B72" s="539" t="s">
        <v>1302</v>
      </c>
      <c r="C72" s="539" t="s">
        <v>1331</v>
      </c>
      <c r="D72" s="539" t="s">
        <v>1452</v>
      </c>
      <c r="E72" s="539" t="s">
        <v>1453</v>
      </c>
      <c r="F72" s="551"/>
      <c r="G72" s="551"/>
      <c r="H72" s="551"/>
      <c r="I72" s="551"/>
      <c r="J72" s="551">
        <v>2</v>
      </c>
      <c r="K72" s="551">
        <v>3306</v>
      </c>
      <c r="L72" s="551"/>
      <c r="M72" s="551">
        <v>1653</v>
      </c>
      <c r="N72" s="551"/>
      <c r="O72" s="551"/>
      <c r="P72" s="544"/>
      <c r="Q72" s="552"/>
    </row>
    <row r="73" spans="1:17" ht="14.4" customHeight="1" x14ac:dyDescent="0.3">
      <c r="A73" s="538" t="s">
        <v>1524</v>
      </c>
      <c r="B73" s="539" t="s">
        <v>1302</v>
      </c>
      <c r="C73" s="539" t="s">
        <v>1331</v>
      </c>
      <c r="D73" s="539" t="s">
        <v>1458</v>
      </c>
      <c r="E73" s="539" t="s">
        <v>1459</v>
      </c>
      <c r="F73" s="551"/>
      <c r="G73" s="551"/>
      <c r="H73" s="551"/>
      <c r="I73" s="551"/>
      <c r="J73" s="551"/>
      <c r="K73" s="551"/>
      <c r="L73" s="551"/>
      <c r="M73" s="551"/>
      <c r="N73" s="551">
        <v>3</v>
      </c>
      <c r="O73" s="551">
        <v>954</v>
      </c>
      <c r="P73" s="544"/>
      <c r="Q73" s="552">
        <v>318</v>
      </c>
    </row>
    <row r="74" spans="1:17" ht="14.4" customHeight="1" x14ac:dyDescent="0.3">
      <c r="A74" s="538" t="s">
        <v>1524</v>
      </c>
      <c r="B74" s="539" t="s">
        <v>1302</v>
      </c>
      <c r="C74" s="539" t="s">
        <v>1331</v>
      </c>
      <c r="D74" s="539" t="s">
        <v>1460</v>
      </c>
      <c r="E74" s="539" t="s">
        <v>1461</v>
      </c>
      <c r="F74" s="551"/>
      <c r="G74" s="551"/>
      <c r="H74" s="551"/>
      <c r="I74" s="551"/>
      <c r="J74" s="551"/>
      <c r="K74" s="551"/>
      <c r="L74" s="551"/>
      <c r="M74" s="551"/>
      <c r="N74" s="551">
        <v>1</v>
      </c>
      <c r="O74" s="551">
        <v>1008</v>
      </c>
      <c r="P74" s="544"/>
      <c r="Q74" s="552">
        <v>1008</v>
      </c>
    </row>
    <row r="75" spans="1:17" ht="14.4" customHeight="1" x14ac:dyDescent="0.3">
      <c r="A75" s="538" t="s">
        <v>1524</v>
      </c>
      <c r="B75" s="539" t="s">
        <v>1302</v>
      </c>
      <c r="C75" s="539" t="s">
        <v>1331</v>
      </c>
      <c r="D75" s="539" t="s">
        <v>1462</v>
      </c>
      <c r="E75" s="539" t="s">
        <v>1463</v>
      </c>
      <c r="F75" s="551"/>
      <c r="G75" s="551"/>
      <c r="H75" s="551"/>
      <c r="I75" s="551"/>
      <c r="J75" s="551">
        <v>7</v>
      </c>
      <c r="K75" s="551">
        <v>5656</v>
      </c>
      <c r="L75" s="551"/>
      <c r="M75" s="551">
        <v>808</v>
      </c>
      <c r="N75" s="551">
        <v>1</v>
      </c>
      <c r="O75" s="551">
        <v>815</v>
      </c>
      <c r="P75" s="544"/>
      <c r="Q75" s="552">
        <v>815</v>
      </c>
    </row>
    <row r="76" spans="1:17" ht="14.4" customHeight="1" x14ac:dyDescent="0.3">
      <c r="A76" s="538" t="s">
        <v>1524</v>
      </c>
      <c r="B76" s="539" t="s">
        <v>1302</v>
      </c>
      <c r="C76" s="539" t="s">
        <v>1331</v>
      </c>
      <c r="D76" s="539" t="s">
        <v>1464</v>
      </c>
      <c r="E76" s="539" t="s">
        <v>1465</v>
      </c>
      <c r="F76" s="551">
        <v>3</v>
      </c>
      <c r="G76" s="551">
        <v>2562</v>
      </c>
      <c r="H76" s="551">
        <v>1</v>
      </c>
      <c r="I76" s="551">
        <v>854</v>
      </c>
      <c r="J76" s="551"/>
      <c r="K76" s="551"/>
      <c r="L76" s="551"/>
      <c r="M76" s="551"/>
      <c r="N76" s="551">
        <v>3</v>
      </c>
      <c r="O76" s="551">
        <v>2586</v>
      </c>
      <c r="P76" s="544">
        <v>1.0093676814988291</v>
      </c>
      <c r="Q76" s="552">
        <v>862</v>
      </c>
    </row>
    <row r="77" spans="1:17" ht="14.4" customHeight="1" x14ac:dyDescent="0.3">
      <c r="A77" s="538" t="s">
        <v>1524</v>
      </c>
      <c r="B77" s="539" t="s">
        <v>1302</v>
      </c>
      <c r="C77" s="539" t="s">
        <v>1331</v>
      </c>
      <c r="D77" s="539" t="s">
        <v>1466</v>
      </c>
      <c r="E77" s="539" t="s">
        <v>1467</v>
      </c>
      <c r="F77" s="551">
        <v>1</v>
      </c>
      <c r="G77" s="551">
        <v>1154</v>
      </c>
      <c r="H77" s="551">
        <v>1</v>
      </c>
      <c r="I77" s="551">
        <v>1154</v>
      </c>
      <c r="J77" s="551">
        <v>1</v>
      </c>
      <c r="K77" s="551">
        <v>1154</v>
      </c>
      <c r="L77" s="551">
        <v>1</v>
      </c>
      <c r="M77" s="551">
        <v>1154</v>
      </c>
      <c r="N77" s="551"/>
      <c r="O77" s="551"/>
      <c r="P77" s="544"/>
      <c r="Q77" s="552"/>
    </row>
    <row r="78" spans="1:17" ht="14.4" customHeight="1" x14ac:dyDescent="0.3">
      <c r="A78" s="538" t="s">
        <v>1524</v>
      </c>
      <c r="B78" s="539" t="s">
        <v>1302</v>
      </c>
      <c r="C78" s="539" t="s">
        <v>1331</v>
      </c>
      <c r="D78" s="539" t="s">
        <v>1468</v>
      </c>
      <c r="E78" s="539" t="s">
        <v>1469</v>
      </c>
      <c r="F78" s="551"/>
      <c r="G78" s="551"/>
      <c r="H78" s="551"/>
      <c r="I78" s="551"/>
      <c r="J78" s="551"/>
      <c r="K78" s="551"/>
      <c r="L78" s="551"/>
      <c r="M78" s="551"/>
      <c r="N78" s="551">
        <v>1</v>
      </c>
      <c r="O78" s="551">
        <v>1803</v>
      </c>
      <c r="P78" s="544"/>
      <c r="Q78" s="552">
        <v>1803</v>
      </c>
    </row>
    <row r="79" spans="1:17" ht="14.4" customHeight="1" x14ac:dyDescent="0.3">
      <c r="A79" s="538" t="s">
        <v>1524</v>
      </c>
      <c r="B79" s="539" t="s">
        <v>1302</v>
      </c>
      <c r="C79" s="539" t="s">
        <v>1331</v>
      </c>
      <c r="D79" s="539" t="s">
        <v>1476</v>
      </c>
      <c r="E79" s="539" t="s">
        <v>1477</v>
      </c>
      <c r="F79" s="551"/>
      <c r="G79" s="551"/>
      <c r="H79" s="551"/>
      <c r="I79" s="551"/>
      <c r="J79" s="551"/>
      <c r="K79" s="551"/>
      <c r="L79" s="551"/>
      <c r="M79" s="551"/>
      <c r="N79" s="551">
        <v>1</v>
      </c>
      <c r="O79" s="551">
        <v>1027</v>
      </c>
      <c r="P79" s="544"/>
      <c r="Q79" s="552">
        <v>1027</v>
      </c>
    </row>
    <row r="80" spans="1:17" ht="14.4" customHeight="1" x14ac:dyDescent="0.3">
      <c r="A80" s="538" t="s">
        <v>1524</v>
      </c>
      <c r="B80" s="539" t="s">
        <v>1302</v>
      </c>
      <c r="C80" s="539" t="s">
        <v>1331</v>
      </c>
      <c r="D80" s="539" t="s">
        <v>1480</v>
      </c>
      <c r="E80" s="539" t="s">
        <v>1481</v>
      </c>
      <c r="F80" s="551"/>
      <c r="G80" s="551"/>
      <c r="H80" s="551"/>
      <c r="I80" s="551"/>
      <c r="J80" s="551">
        <v>4</v>
      </c>
      <c r="K80" s="551">
        <v>2276</v>
      </c>
      <c r="L80" s="551"/>
      <c r="M80" s="551">
        <v>569</v>
      </c>
      <c r="N80" s="551"/>
      <c r="O80" s="551"/>
      <c r="P80" s="544"/>
      <c r="Q80" s="552"/>
    </row>
    <row r="81" spans="1:17" ht="14.4" customHeight="1" x14ac:dyDescent="0.3">
      <c r="A81" s="538" t="s">
        <v>1524</v>
      </c>
      <c r="B81" s="539" t="s">
        <v>1527</v>
      </c>
      <c r="C81" s="539" t="s">
        <v>1331</v>
      </c>
      <c r="D81" s="539" t="s">
        <v>1528</v>
      </c>
      <c r="E81" s="539" t="s">
        <v>1529</v>
      </c>
      <c r="F81" s="551">
        <v>1</v>
      </c>
      <c r="G81" s="551">
        <v>2149</v>
      </c>
      <c r="H81" s="551">
        <v>1</v>
      </c>
      <c r="I81" s="551">
        <v>2149</v>
      </c>
      <c r="J81" s="551"/>
      <c r="K81" s="551"/>
      <c r="L81" s="551"/>
      <c r="M81" s="551"/>
      <c r="N81" s="551"/>
      <c r="O81" s="551"/>
      <c r="P81" s="544"/>
      <c r="Q81" s="552"/>
    </row>
    <row r="82" spans="1:17" ht="14.4" customHeight="1" x14ac:dyDescent="0.3">
      <c r="A82" s="538" t="s">
        <v>1530</v>
      </c>
      <c r="B82" s="539" t="s">
        <v>1302</v>
      </c>
      <c r="C82" s="539" t="s">
        <v>1331</v>
      </c>
      <c r="D82" s="539" t="s">
        <v>1342</v>
      </c>
      <c r="E82" s="539" t="s">
        <v>1343</v>
      </c>
      <c r="F82" s="551"/>
      <c r="G82" s="551"/>
      <c r="H82" s="551"/>
      <c r="I82" s="551"/>
      <c r="J82" s="551"/>
      <c r="K82" s="551"/>
      <c r="L82" s="551"/>
      <c r="M82" s="551"/>
      <c r="N82" s="551">
        <v>1</v>
      </c>
      <c r="O82" s="551">
        <v>35</v>
      </c>
      <c r="P82" s="544"/>
      <c r="Q82" s="552">
        <v>35</v>
      </c>
    </row>
    <row r="83" spans="1:17" ht="14.4" customHeight="1" x14ac:dyDescent="0.3">
      <c r="A83" s="538" t="s">
        <v>1530</v>
      </c>
      <c r="B83" s="539" t="s">
        <v>1302</v>
      </c>
      <c r="C83" s="539" t="s">
        <v>1331</v>
      </c>
      <c r="D83" s="539" t="s">
        <v>1355</v>
      </c>
      <c r="E83" s="539" t="s">
        <v>1356</v>
      </c>
      <c r="F83" s="551">
        <v>1</v>
      </c>
      <c r="G83" s="551">
        <v>232</v>
      </c>
      <c r="H83" s="551">
        <v>1</v>
      </c>
      <c r="I83" s="551">
        <v>232</v>
      </c>
      <c r="J83" s="551">
        <v>1</v>
      </c>
      <c r="K83" s="551">
        <v>232</v>
      </c>
      <c r="L83" s="551">
        <v>1</v>
      </c>
      <c r="M83" s="551">
        <v>232</v>
      </c>
      <c r="N83" s="551">
        <v>1</v>
      </c>
      <c r="O83" s="551">
        <v>235</v>
      </c>
      <c r="P83" s="544">
        <v>1.0129310344827587</v>
      </c>
      <c r="Q83" s="552">
        <v>235</v>
      </c>
    </row>
    <row r="84" spans="1:17" ht="14.4" customHeight="1" x14ac:dyDescent="0.3">
      <c r="A84" s="538" t="s">
        <v>1530</v>
      </c>
      <c r="B84" s="539" t="s">
        <v>1302</v>
      </c>
      <c r="C84" s="539" t="s">
        <v>1331</v>
      </c>
      <c r="D84" s="539" t="s">
        <v>1357</v>
      </c>
      <c r="E84" s="539" t="s">
        <v>1358</v>
      </c>
      <c r="F84" s="551">
        <v>2</v>
      </c>
      <c r="G84" s="551">
        <v>232</v>
      </c>
      <c r="H84" s="551">
        <v>1</v>
      </c>
      <c r="I84" s="551">
        <v>116</v>
      </c>
      <c r="J84" s="551">
        <v>4</v>
      </c>
      <c r="K84" s="551">
        <v>464</v>
      </c>
      <c r="L84" s="551">
        <v>2</v>
      </c>
      <c r="M84" s="551">
        <v>116</v>
      </c>
      <c r="N84" s="551">
        <v>4</v>
      </c>
      <c r="O84" s="551">
        <v>472</v>
      </c>
      <c r="P84" s="544">
        <v>2.0344827586206895</v>
      </c>
      <c r="Q84" s="552">
        <v>118</v>
      </c>
    </row>
    <row r="85" spans="1:17" ht="14.4" customHeight="1" x14ac:dyDescent="0.3">
      <c r="A85" s="538" t="s">
        <v>1530</v>
      </c>
      <c r="B85" s="539" t="s">
        <v>1302</v>
      </c>
      <c r="C85" s="539" t="s">
        <v>1331</v>
      </c>
      <c r="D85" s="539" t="s">
        <v>1401</v>
      </c>
      <c r="E85" s="539" t="s">
        <v>1402</v>
      </c>
      <c r="F85" s="551">
        <v>1</v>
      </c>
      <c r="G85" s="551">
        <v>81</v>
      </c>
      <c r="H85" s="551">
        <v>1</v>
      </c>
      <c r="I85" s="551">
        <v>81</v>
      </c>
      <c r="J85" s="551">
        <v>1</v>
      </c>
      <c r="K85" s="551">
        <v>81</v>
      </c>
      <c r="L85" s="551">
        <v>1</v>
      </c>
      <c r="M85" s="551">
        <v>81</v>
      </c>
      <c r="N85" s="551"/>
      <c r="O85" s="551"/>
      <c r="P85" s="544"/>
      <c r="Q85" s="552"/>
    </row>
    <row r="86" spans="1:17" ht="14.4" customHeight="1" x14ac:dyDescent="0.3">
      <c r="A86" s="538" t="s">
        <v>1530</v>
      </c>
      <c r="B86" s="539" t="s">
        <v>1302</v>
      </c>
      <c r="C86" s="539" t="s">
        <v>1331</v>
      </c>
      <c r="D86" s="539" t="s">
        <v>1440</v>
      </c>
      <c r="E86" s="539" t="s">
        <v>1441</v>
      </c>
      <c r="F86" s="551">
        <v>1</v>
      </c>
      <c r="G86" s="551">
        <v>623</v>
      </c>
      <c r="H86" s="551">
        <v>1</v>
      </c>
      <c r="I86" s="551">
        <v>623</v>
      </c>
      <c r="J86" s="551"/>
      <c r="K86" s="551"/>
      <c r="L86" s="551"/>
      <c r="M86" s="551"/>
      <c r="N86" s="551">
        <v>1</v>
      </c>
      <c r="O86" s="551">
        <v>628</v>
      </c>
      <c r="P86" s="544">
        <v>1.0080256821829856</v>
      </c>
      <c r="Q86" s="552">
        <v>628</v>
      </c>
    </row>
    <row r="87" spans="1:17" ht="14.4" customHeight="1" x14ac:dyDescent="0.3">
      <c r="A87" s="538" t="s">
        <v>1530</v>
      </c>
      <c r="B87" s="539" t="s">
        <v>1302</v>
      </c>
      <c r="C87" s="539" t="s">
        <v>1331</v>
      </c>
      <c r="D87" s="539" t="s">
        <v>1448</v>
      </c>
      <c r="E87" s="539" t="s">
        <v>1449</v>
      </c>
      <c r="F87" s="551">
        <v>1</v>
      </c>
      <c r="G87" s="551">
        <v>241</v>
      </c>
      <c r="H87" s="551">
        <v>1</v>
      </c>
      <c r="I87" s="551">
        <v>241</v>
      </c>
      <c r="J87" s="551"/>
      <c r="K87" s="551"/>
      <c r="L87" s="551"/>
      <c r="M87" s="551"/>
      <c r="N87" s="551">
        <v>1</v>
      </c>
      <c r="O87" s="551">
        <v>243</v>
      </c>
      <c r="P87" s="544">
        <v>1.008298755186722</v>
      </c>
      <c r="Q87" s="552">
        <v>243</v>
      </c>
    </row>
    <row r="88" spans="1:17" ht="14.4" customHeight="1" x14ac:dyDescent="0.3">
      <c r="A88" s="538" t="s">
        <v>1530</v>
      </c>
      <c r="B88" s="539" t="s">
        <v>1302</v>
      </c>
      <c r="C88" s="539" t="s">
        <v>1331</v>
      </c>
      <c r="D88" s="539" t="s">
        <v>1468</v>
      </c>
      <c r="E88" s="539" t="s">
        <v>1469</v>
      </c>
      <c r="F88" s="551"/>
      <c r="G88" s="551"/>
      <c r="H88" s="551"/>
      <c r="I88" s="551"/>
      <c r="J88" s="551">
        <v>1</v>
      </c>
      <c r="K88" s="551">
        <v>1796</v>
      </c>
      <c r="L88" s="551"/>
      <c r="M88" s="551">
        <v>1796</v>
      </c>
      <c r="N88" s="551"/>
      <c r="O88" s="551"/>
      <c r="P88" s="544"/>
      <c r="Q88" s="552"/>
    </row>
    <row r="89" spans="1:17" ht="14.4" customHeight="1" x14ac:dyDescent="0.3">
      <c r="A89" s="538" t="s">
        <v>1531</v>
      </c>
      <c r="B89" s="539" t="s">
        <v>1302</v>
      </c>
      <c r="C89" s="539" t="s">
        <v>1331</v>
      </c>
      <c r="D89" s="539" t="s">
        <v>1342</v>
      </c>
      <c r="E89" s="539" t="s">
        <v>1343</v>
      </c>
      <c r="F89" s="551">
        <v>1</v>
      </c>
      <c r="G89" s="551">
        <v>34</v>
      </c>
      <c r="H89" s="551">
        <v>1</v>
      </c>
      <c r="I89" s="551">
        <v>34</v>
      </c>
      <c r="J89" s="551"/>
      <c r="K89" s="551"/>
      <c r="L89" s="551"/>
      <c r="M89" s="551"/>
      <c r="N89" s="551"/>
      <c r="O89" s="551"/>
      <c r="P89" s="544"/>
      <c r="Q89" s="552"/>
    </row>
    <row r="90" spans="1:17" ht="14.4" customHeight="1" x14ac:dyDescent="0.3">
      <c r="A90" s="538" t="s">
        <v>1531</v>
      </c>
      <c r="B90" s="539" t="s">
        <v>1302</v>
      </c>
      <c r="C90" s="539" t="s">
        <v>1331</v>
      </c>
      <c r="D90" s="539" t="s">
        <v>1357</v>
      </c>
      <c r="E90" s="539" t="s">
        <v>1358</v>
      </c>
      <c r="F90" s="551">
        <v>1</v>
      </c>
      <c r="G90" s="551">
        <v>116</v>
      </c>
      <c r="H90" s="551">
        <v>1</v>
      </c>
      <c r="I90" s="551">
        <v>116</v>
      </c>
      <c r="J90" s="551">
        <v>1</v>
      </c>
      <c r="K90" s="551">
        <v>116</v>
      </c>
      <c r="L90" s="551">
        <v>1</v>
      </c>
      <c r="M90" s="551">
        <v>116</v>
      </c>
      <c r="N90" s="551">
        <v>1</v>
      </c>
      <c r="O90" s="551">
        <v>118</v>
      </c>
      <c r="P90" s="544">
        <v>1.0172413793103448</v>
      </c>
      <c r="Q90" s="552">
        <v>118</v>
      </c>
    </row>
    <row r="91" spans="1:17" ht="14.4" customHeight="1" x14ac:dyDescent="0.3">
      <c r="A91" s="538" t="s">
        <v>1532</v>
      </c>
      <c r="B91" s="539" t="s">
        <v>1302</v>
      </c>
      <c r="C91" s="539" t="s">
        <v>1331</v>
      </c>
      <c r="D91" s="539" t="s">
        <v>1355</v>
      </c>
      <c r="E91" s="539" t="s">
        <v>1356</v>
      </c>
      <c r="F91" s="551"/>
      <c r="G91" s="551"/>
      <c r="H91" s="551"/>
      <c r="I91" s="551"/>
      <c r="J91" s="551"/>
      <c r="K91" s="551"/>
      <c r="L91" s="551"/>
      <c r="M91" s="551"/>
      <c r="N91" s="551">
        <v>3</v>
      </c>
      <c r="O91" s="551">
        <v>705</v>
      </c>
      <c r="P91" s="544"/>
      <c r="Q91" s="552">
        <v>235</v>
      </c>
    </row>
    <row r="92" spans="1:17" ht="14.4" customHeight="1" x14ac:dyDescent="0.3">
      <c r="A92" s="538" t="s">
        <v>1532</v>
      </c>
      <c r="B92" s="539" t="s">
        <v>1302</v>
      </c>
      <c r="C92" s="539" t="s">
        <v>1331</v>
      </c>
      <c r="D92" s="539" t="s">
        <v>1363</v>
      </c>
      <c r="E92" s="539" t="s">
        <v>1364</v>
      </c>
      <c r="F92" s="551">
        <v>1</v>
      </c>
      <c r="G92" s="551">
        <v>481</v>
      </c>
      <c r="H92" s="551">
        <v>1</v>
      </c>
      <c r="I92" s="551">
        <v>481</v>
      </c>
      <c r="J92" s="551"/>
      <c r="K92" s="551"/>
      <c r="L92" s="551"/>
      <c r="M92" s="551"/>
      <c r="N92" s="551"/>
      <c r="O92" s="551"/>
      <c r="P92" s="544"/>
      <c r="Q92" s="552"/>
    </row>
    <row r="93" spans="1:17" ht="14.4" customHeight="1" x14ac:dyDescent="0.3">
      <c r="A93" s="538" t="s">
        <v>1532</v>
      </c>
      <c r="B93" s="539" t="s">
        <v>1302</v>
      </c>
      <c r="C93" s="539" t="s">
        <v>1331</v>
      </c>
      <c r="D93" s="539" t="s">
        <v>1393</v>
      </c>
      <c r="E93" s="539" t="s">
        <v>1394</v>
      </c>
      <c r="F93" s="551"/>
      <c r="G93" s="551"/>
      <c r="H93" s="551"/>
      <c r="I93" s="551"/>
      <c r="J93" s="551"/>
      <c r="K93" s="551"/>
      <c r="L93" s="551"/>
      <c r="M93" s="551"/>
      <c r="N93" s="551">
        <v>2</v>
      </c>
      <c r="O93" s="551">
        <v>0</v>
      </c>
      <c r="P93" s="544"/>
      <c r="Q93" s="552">
        <v>0</v>
      </c>
    </row>
    <row r="94" spans="1:17" ht="14.4" customHeight="1" x14ac:dyDescent="0.3">
      <c r="A94" s="538" t="s">
        <v>1533</v>
      </c>
      <c r="B94" s="539" t="s">
        <v>1302</v>
      </c>
      <c r="C94" s="539" t="s">
        <v>1331</v>
      </c>
      <c r="D94" s="539" t="s">
        <v>1355</v>
      </c>
      <c r="E94" s="539" t="s">
        <v>1356</v>
      </c>
      <c r="F94" s="551"/>
      <c r="G94" s="551"/>
      <c r="H94" s="551"/>
      <c r="I94" s="551"/>
      <c r="J94" s="551"/>
      <c r="K94" s="551"/>
      <c r="L94" s="551"/>
      <c r="M94" s="551"/>
      <c r="N94" s="551">
        <v>1</v>
      </c>
      <c r="O94" s="551">
        <v>235</v>
      </c>
      <c r="P94" s="544"/>
      <c r="Q94" s="552">
        <v>235</v>
      </c>
    </row>
    <row r="95" spans="1:17" ht="14.4" customHeight="1" x14ac:dyDescent="0.3">
      <c r="A95" s="538" t="s">
        <v>1534</v>
      </c>
      <c r="B95" s="539" t="s">
        <v>1302</v>
      </c>
      <c r="C95" s="539" t="s">
        <v>1331</v>
      </c>
      <c r="D95" s="539" t="s">
        <v>1342</v>
      </c>
      <c r="E95" s="539" t="s">
        <v>1343</v>
      </c>
      <c r="F95" s="551">
        <v>2</v>
      </c>
      <c r="G95" s="551">
        <v>68</v>
      </c>
      <c r="H95" s="551">
        <v>1</v>
      </c>
      <c r="I95" s="551">
        <v>34</v>
      </c>
      <c r="J95" s="551"/>
      <c r="K95" s="551"/>
      <c r="L95" s="551"/>
      <c r="M95" s="551"/>
      <c r="N95" s="551"/>
      <c r="O95" s="551"/>
      <c r="P95" s="544"/>
      <c r="Q95" s="552"/>
    </row>
    <row r="96" spans="1:17" ht="14.4" customHeight="1" x14ac:dyDescent="0.3">
      <c r="A96" s="538" t="s">
        <v>1534</v>
      </c>
      <c r="B96" s="539" t="s">
        <v>1302</v>
      </c>
      <c r="C96" s="539" t="s">
        <v>1331</v>
      </c>
      <c r="D96" s="539" t="s">
        <v>1355</v>
      </c>
      <c r="E96" s="539" t="s">
        <v>1356</v>
      </c>
      <c r="F96" s="551">
        <v>1</v>
      </c>
      <c r="G96" s="551">
        <v>232</v>
      </c>
      <c r="H96" s="551">
        <v>1</v>
      </c>
      <c r="I96" s="551">
        <v>232</v>
      </c>
      <c r="J96" s="551">
        <v>2</v>
      </c>
      <c r="K96" s="551">
        <v>464</v>
      </c>
      <c r="L96" s="551">
        <v>2</v>
      </c>
      <c r="M96" s="551">
        <v>232</v>
      </c>
      <c r="N96" s="551">
        <v>1</v>
      </c>
      <c r="O96" s="551">
        <v>235</v>
      </c>
      <c r="P96" s="544">
        <v>1.0129310344827587</v>
      </c>
      <c r="Q96" s="552">
        <v>235</v>
      </c>
    </row>
    <row r="97" spans="1:17" ht="14.4" customHeight="1" x14ac:dyDescent="0.3">
      <c r="A97" s="538" t="s">
        <v>1534</v>
      </c>
      <c r="B97" s="539" t="s">
        <v>1302</v>
      </c>
      <c r="C97" s="539" t="s">
        <v>1331</v>
      </c>
      <c r="D97" s="539" t="s">
        <v>1357</v>
      </c>
      <c r="E97" s="539" t="s">
        <v>1358</v>
      </c>
      <c r="F97" s="551">
        <v>4</v>
      </c>
      <c r="G97" s="551">
        <v>464</v>
      </c>
      <c r="H97" s="551">
        <v>1</v>
      </c>
      <c r="I97" s="551">
        <v>116</v>
      </c>
      <c r="J97" s="551">
        <v>1</v>
      </c>
      <c r="K97" s="551">
        <v>116</v>
      </c>
      <c r="L97" s="551">
        <v>0.25</v>
      </c>
      <c r="M97" s="551">
        <v>116</v>
      </c>
      <c r="N97" s="551">
        <v>7</v>
      </c>
      <c r="O97" s="551">
        <v>826</v>
      </c>
      <c r="P97" s="544">
        <v>1.7801724137931034</v>
      </c>
      <c r="Q97" s="552">
        <v>118</v>
      </c>
    </row>
    <row r="98" spans="1:17" ht="14.4" customHeight="1" x14ac:dyDescent="0.3">
      <c r="A98" s="538" t="s">
        <v>1534</v>
      </c>
      <c r="B98" s="539" t="s">
        <v>1302</v>
      </c>
      <c r="C98" s="539" t="s">
        <v>1331</v>
      </c>
      <c r="D98" s="539" t="s">
        <v>1393</v>
      </c>
      <c r="E98" s="539" t="s">
        <v>1394</v>
      </c>
      <c r="F98" s="551"/>
      <c r="G98" s="551"/>
      <c r="H98" s="551"/>
      <c r="I98" s="551"/>
      <c r="J98" s="551"/>
      <c r="K98" s="551"/>
      <c r="L98" s="551"/>
      <c r="M98" s="551"/>
      <c r="N98" s="551">
        <v>1</v>
      </c>
      <c r="O98" s="551">
        <v>0</v>
      </c>
      <c r="P98" s="544"/>
      <c r="Q98" s="552">
        <v>0</v>
      </c>
    </row>
    <row r="99" spans="1:17" ht="14.4" customHeight="1" x14ac:dyDescent="0.3">
      <c r="A99" s="538" t="s">
        <v>1534</v>
      </c>
      <c r="B99" s="539" t="s">
        <v>1302</v>
      </c>
      <c r="C99" s="539" t="s">
        <v>1331</v>
      </c>
      <c r="D99" s="539" t="s">
        <v>1407</v>
      </c>
      <c r="E99" s="539" t="s">
        <v>1408</v>
      </c>
      <c r="F99" s="551"/>
      <c r="G99" s="551"/>
      <c r="H99" s="551"/>
      <c r="I99" s="551"/>
      <c r="J99" s="551">
        <v>1</v>
      </c>
      <c r="K99" s="551">
        <v>485</v>
      </c>
      <c r="L99" s="551"/>
      <c r="M99" s="551">
        <v>485</v>
      </c>
      <c r="N99" s="551">
        <v>1</v>
      </c>
      <c r="O99" s="551">
        <v>492</v>
      </c>
      <c r="P99" s="544"/>
      <c r="Q99" s="552">
        <v>492</v>
      </c>
    </row>
    <row r="100" spans="1:17" ht="14.4" customHeight="1" x14ac:dyDescent="0.3">
      <c r="A100" s="538" t="s">
        <v>1534</v>
      </c>
      <c r="B100" s="539" t="s">
        <v>1302</v>
      </c>
      <c r="C100" s="539" t="s">
        <v>1331</v>
      </c>
      <c r="D100" s="539" t="s">
        <v>1434</v>
      </c>
      <c r="E100" s="539" t="s">
        <v>1435</v>
      </c>
      <c r="F100" s="551"/>
      <c r="G100" s="551"/>
      <c r="H100" s="551"/>
      <c r="I100" s="551"/>
      <c r="J100" s="551"/>
      <c r="K100" s="551"/>
      <c r="L100" s="551"/>
      <c r="M100" s="551"/>
      <c r="N100" s="551">
        <v>1</v>
      </c>
      <c r="O100" s="551">
        <v>121</v>
      </c>
      <c r="P100" s="544"/>
      <c r="Q100" s="552">
        <v>121</v>
      </c>
    </row>
    <row r="101" spans="1:17" ht="14.4" customHeight="1" x14ac:dyDescent="0.3">
      <c r="A101" s="538" t="s">
        <v>1535</v>
      </c>
      <c r="B101" s="539" t="s">
        <v>1302</v>
      </c>
      <c r="C101" s="539" t="s">
        <v>1331</v>
      </c>
      <c r="D101" s="539" t="s">
        <v>1355</v>
      </c>
      <c r="E101" s="539" t="s">
        <v>1356</v>
      </c>
      <c r="F101" s="551"/>
      <c r="G101" s="551"/>
      <c r="H101" s="551"/>
      <c r="I101" s="551"/>
      <c r="J101" s="551"/>
      <c r="K101" s="551"/>
      <c r="L101" s="551"/>
      <c r="M101" s="551"/>
      <c r="N101" s="551">
        <v>2</v>
      </c>
      <c r="O101" s="551">
        <v>470</v>
      </c>
      <c r="P101" s="544"/>
      <c r="Q101" s="552">
        <v>235</v>
      </c>
    </row>
    <row r="102" spans="1:17" ht="14.4" customHeight="1" x14ac:dyDescent="0.3">
      <c r="A102" s="538" t="s">
        <v>1535</v>
      </c>
      <c r="B102" s="539" t="s">
        <v>1302</v>
      </c>
      <c r="C102" s="539" t="s">
        <v>1331</v>
      </c>
      <c r="D102" s="539" t="s">
        <v>1357</v>
      </c>
      <c r="E102" s="539" t="s">
        <v>1358</v>
      </c>
      <c r="F102" s="551">
        <v>2</v>
      </c>
      <c r="G102" s="551">
        <v>232</v>
      </c>
      <c r="H102" s="551">
        <v>1</v>
      </c>
      <c r="I102" s="551">
        <v>116</v>
      </c>
      <c r="J102" s="551">
        <v>1</v>
      </c>
      <c r="K102" s="551">
        <v>116</v>
      </c>
      <c r="L102" s="551">
        <v>0.5</v>
      </c>
      <c r="M102" s="551">
        <v>116</v>
      </c>
      <c r="N102" s="551">
        <v>6</v>
      </c>
      <c r="O102" s="551">
        <v>708</v>
      </c>
      <c r="P102" s="544">
        <v>3.0517241379310347</v>
      </c>
      <c r="Q102" s="552">
        <v>118</v>
      </c>
    </row>
    <row r="103" spans="1:17" ht="14.4" customHeight="1" x14ac:dyDescent="0.3">
      <c r="A103" s="538" t="s">
        <v>1535</v>
      </c>
      <c r="B103" s="539" t="s">
        <v>1302</v>
      </c>
      <c r="C103" s="539" t="s">
        <v>1331</v>
      </c>
      <c r="D103" s="539" t="s">
        <v>1393</v>
      </c>
      <c r="E103" s="539" t="s">
        <v>1394</v>
      </c>
      <c r="F103" s="551"/>
      <c r="G103" s="551"/>
      <c r="H103" s="551"/>
      <c r="I103" s="551"/>
      <c r="J103" s="551"/>
      <c r="K103" s="551"/>
      <c r="L103" s="551"/>
      <c r="M103" s="551"/>
      <c r="N103" s="551">
        <v>2</v>
      </c>
      <c r="O103" s="551">
        <v>0</v>
      </c>
      <c r="P103" s="544"/>
      <c r="Q103" s="552">
        <v>0</v>
      </c>
    </row>
    <row r="104" spans="1:17" ht="14.4" customHeight="1" x14ac:dyDescent="0.3">
      <c r="A104" s="538" t="s">
        <v>1536</v>
      </c>
      <c r="B104" s="539" t="s">
        <v>1302</v>
      </c>
      <c r="C104" s="539" t="s">
        <v>1331</v>
      </c>
      <c r="D104" s="539" t="s">
        <v>1342</v>
      </c>
      <c r="E104" s="539" t="s">
        <v>1343</v>
      </c>
      <c r="F104" s="551"/>
      <c r="G104" s="551"/>
      <c r="H104" s="551"/>
      <c r="I104" s="551"/>
      <c r="J104" s="551">
        <v>4</v>
      </c>
      <c r="K104" s="551">
        <v>136</v>
      </c>
      <c r="L104" s="551"/>
      <c r="M104" s="551">
        <v>34</v>
      </c>
      <c r="N104" s="551"/>
      <c r="O104" s="551"/>
      <c r="P104" s="544"/>
      <c r="Q104" s="552"/>
    </row>
    <row r="105" spans="1:17" ht="14.4" customHeight="1" x14ac:dyDescent="0.3">
      <c r="A105" s="538" t="s">
        <v>1536</v>
      </c>
      <c r="B105" s="539" t="s">
        <v>1302</v>
      </c>
      <c r="C105" s="539" t="s">
        <v>1331</v>
      </c>
      <c r="D105" s="539" t="s">
        <v>1357</v>
      </c>
      <c r="E105" s="539" t="s">
        <v>1358</v>
      </c>
      <c r="F105" s="551"/>
      <c r="G105" s="551"/>
      <c r="H105" s="551"/>
      <c r="I105" s="551"/>
      <c r="J105" s="551">
        <v>3</v>
      </c>
      <c r="K105" s="551">
        <v>348</v>
      </c>
      <c r="L105" s="551"/>
      <c r="M105" s="551">
        <v>116</v>
      </c>
      <c r="N105" s="551"/>
      <c r="O105" s="551"/>
      <c r="P105" s="544"/>
      <c r="Q105" s="552"/>
    </row>
    <row r="106" spans="1:17" ht="14.4" customHeight="1" x14ac:dyDescent="0.3">
      <c r="A106" s="538" t="s">
        <v>1537</v>
      </c>
      <c r="B106" s="539" t="s">
        <v>1302</v>
      </c>
      <c r="C106" s="539" t="s">
        <v>1331</v>
      </c>
      <c r="D106" s="539" t="s">
        <v>1357</v>
      </c>
      <c r="E106" s="539" t="s">
        <v>1358</v>
      </c>
      <c r="F106" s="551"/>
      <c r="G106" s="551"/>
      <c r="H106" s="551"/>
      <c r="I106" s="551"/>
      <c r="J106" s="551">
        <v>2</v>
      </c>
      <c r="K106" s="551">
        <v>232</v>
      </c>
      <c r="L106" s="551"/>
      <c r="M106" s="551">
        <v>116</v>
      </c>
      <c r="N106" s="551">
        <v>2</v>
      </c>
      <c r="O106" s="551">
        <v>236</v>
      </c>
      <c r="P106" s="544"/>
      <c r="Q106" s="552">
        <v>118</v>
      </c>
    </row>
    <row r="107" spans="1:17" ht="14.4" customHeight="1" x14ac:dyDescent="0.3">
      <c r="A107" s="538" t="s">
        <v>1537</v>
      </c>
      <c r="B107" s="539" t="s">
        <v>1302</v>
      </c>
      <c r="C107" s="539" t="s">
        <v>1331</v>
      </c>
      <c r="D107" s="539" t="s">
        <v>1393</v>
      </c>
      <c r="E107" s="539" t="s">
        <v>1394</v>
      </c>
      <c r="F107" s="551"/>
      <c r="G107" s="551"/>
      <c r="H107" s="551"/>
      <c r="I107" s="551"/>
      <c r="J107" s="551"/>
      <c r="K107" s="551"/>
      <c r="L107" s="551"/>
      <c r="M107" s="551"/>
      <c r="N107" s="551">
        <v>1</v>
      </c>
      <c r="O107" s="551">
        <v>0</v>
      </c>
      <c r="P107" s="544"/>
      <c r="Q107" s="552">
        <v>0</v>
      </c>
    </row>
    <row r="108" spans="1:17" ht="14.4" customHeight="1" x14ac:dyDescent="0.3">
      <c r="A108" s="538" t="s">
        <v>1537</v>
      </c>
      <c r="B108" s="539" t="s">
        <v>1302</v>
      </c>
      <c r="C108" s="539" t="s">
        <v>1331</v>
      </c>
      <c r="D108" s="539" t="s">
        <v>963</v>
      </c>
      <c r="E108" s="539" t="s">
        <v>1516</v>
      </c>
      <c r="F108" s="551"/>
      <c r="G108" s="551"/>
      <c r="H108" s="551"/>
      <c r="I108" s="551"/>
      <c r="J108" s="551"/>
      <c r="K108" s="551"/>
      <c r="L108" s="551"/>
      <c r="M108" s="551"/>
      <c r="N108" s="551">
        <v>2</v>
      </c>
      <c r="O108" s="551">
        <v>2386</v>
      </c>
      <c r="P108" s="544"/>
      <c r="Q108" s="552">
        <v>1193</v>
      </c>
    </row>
    <row r="109" spans="1:17" ht="14.4" customHeight="1" x14ac:dyDescent="0.3">
      <c r="A109" s="538" t="s">
        <v>1538</v>
      </c>
      <c r="B109" s="539" t="s">
        <v>1302</v>
      </c>
      <c r="C109" s="539" t="s">
        <v>1331</v>
      </c>
      <c r="D109" s="539" t="s">
        <v>1342</v>
      </c>
      <c r="E109" s="539" t="s">
        <v>1343</v>
      </c>
      <c r="F109" s="551">
        <v>3</v>
      </c>
      <c r="G109" s="551">
        <v>102</v>
      </c>
      <c r="H109" s="551">
        <v>1</v>
      </c>
      <c r="I109" s="551">
        <v>34</v>
      </c>
      <c r="J109" s="551"/>
      <c r="K109" s="551"/>
      <c r="L109" s="551"/>
      <c r="M109" s="551"/>
      <c r="N109" s="551"/>
      <c r="O109" s="551"/>
      <c r="P109" s="544"/>
      <c r="Q109" s="552"/>
    </row>
    <row r="110" spans="1:17" ht="14.4" customHeight="1" x14ac:dyDescent="0.3">
      <c r="A110" s="538" t="s">
        <v>1538</v>
      </c>
      <c r="B110" s="539" t="s">
        <v>1302</v>
      </c>
      <c r="C110" s="539" t="s">
        <v>1331</v>
      </c>
      <c r="D110" s="539" t="s">
        <v>1357</v>
      </c>
      <c r="E110" s="539" t="s">
        <v>1358</v>
      </c>
      <c r="F110" s="551"/>
      <c r="G110" s="551"/>
      <c r="H110" s="551"/>
      <c r="I110" s="551"/>
      <c r="J110" s="551">
        <v>1</v>
      </c>
      <c r="K110" s="551">
        <v>116</v>
      </c>
      <c r="L110" s="551"/>
      <c r="M110" s="551">
        <v>116</v>
      </c>
      <c r="N110" s="551"/>
      <c r="O110" s="551"/>
      <c r="P110" s="544"/>
      <c r="Q110" s="552"/>
    </row>
    <row r="111" spans="1:17" ht="14.4" customHeight="1" x14ac:dyDescent="0.3">
      <c r="A111" s="538" t="s">
        <v>1539</v>
      </c>
      <c r="B111" s="539" t="s">
        <v>1302</v>
      </c>
      <c r="C111" s="539" t="s">
        <v>1331</v>
      </c>
      <c r="D111" s="539" t="s">
        <v>1342</v>
      </c>
      <c r="E111" s="539" t="s">
        <v>1343</v>
      </c>
      <c r="F111" s="551">
        <v>1</v>
      </c>
      <c r="G111" s="551">
        <v>34</v>
      </c>
      <c r="H111" s="551">
        <v>1</v>
      </c>
      <c r="I111" s="551">
        <v>34</v>
      </c>
      <c r="J111" s="551"/>
      <c r="K111" s="551"/>
      <c r="L111" s="551"/>
      <c r="M111" s="551"/>
      <c r="N111" s="551">
        <v>1</v>
      </c>
      <c r="O111" s="551">
        <v>35</v>
      </c>
      <c r="P111" s="544">
        <v>1.0294117647058822</v>
      </c>
      <c r="Q111" s="552">
        <v>35</v>
      </c>
    </row>
    <row r="112" spans="1:17" ht="14.4" customHeight="1" x14ac:dyDescent="0.3">
      <c r="A112" s="538" t="s">
        <v>1539</v>
      </c>
      <c r="B112" s="539" t="s">
        <v>1302</v>
      </c>
      <c r="C112" s="539" t="s">
        <v>1331</v>
      </c>
      <c r="D112" s="539" t="s">
        <v>1355</v>
      </c>
      <c r="E112" s="539" t="s">
        <v>1356</v>
      </c>
      <c r="F112" s="551">
        <v>2</v>
      </c>
      <c r="G112" s="551">
        <v>464</v>
      </c>
      <c r="H112" s="551">
        <v>1</v>
      </c>
      <c r="I112" s="551">
        <v>232</v>
      </c>
      <c r="J112" s="551"/>
      <c r="K112" s="551"/>
      <c r="L112" s="551"/>
      <c r="M112" s="551"/>
      <c r="N112" s="551">
        <v>2</v>
      </c>
      <c r="O112" s="551">
        <v>470</v>
      </c>
      <c r="P112" s="544">
        <v>1.0129310344827587</v>
      </c>
      <c r="Q112" s="552">
        <v>235</v>
      </c>
    </row>
    <row r="113" spans="1:17" ht="14.4" customHeight="1" x14ac:dyDescent="0.3">
      <c r="A113" s="538" t="s">
        <v>1539</v>
      </c>
      <c r="B113" s="539" t="s">
        <v>1302</v>
      </c>
      <c r="C113" s="539" t="s">
        <v>1331</v>
      </c>
      <c r="D113" s="539" t="s">
        <v>1357</v>
      </c>
      <c r="E113" s="539" t="s">
        <v>1358</v>
      </c>
      <c r="F113" s="551">
        <v>1</v>
      </c>
      <c r="G113" s="551">
        <v>116</v>
      </c>
      <c r="H113" s="551">
        <v>1</v>
      </c>
      <c r="I113" s="551">
        <v>116</v>
      </c>
      <c r="J113" s="551">
        <v>2</v>
      </c>
      <c r="K113" s="551">
        <v>232</v>
      </c>
      <c r="L113" s="551">
        <v>2</v>
      </c>
      <c r="M113" s="551">
        <v>116</v>
      </c>
      <c r="N113" s="551">
        <v>3</v>
      </c>
      <c r="O113" s="551">
        <v>354</v>
      </c>
      <c r="P113" s="544">
        <v>3.0517241379310347</v>
      </c>
      <c r="Q113" s="552">
        <v>118</v>
      </c>
    </row>
    <row r="114" spans="1:17" ht="14.4" customHeight="1" x14ac:dyDescent="0.3">
      <c r="A114" s="538" t="s">
        <v>1539</v>
      </c>
      <c r="B114" s="539" t="s">
        <v>1302</v>
      </c>
      <c r="C114" s="539" t="s">
        <v>1331</v>
      </c>
      <c r="D114" s="539" t="s">
        <v>1365</v>
      </c>
      <c r="E114" s="539" t="s">
        <v>1366</v>
      </c>
      <c r="F114" s="551">
        <v>1</v>
      </c>
      <c r="G114" s="551">
        <v>659</v>
      </c>
      <c r="H114" s="551">
        <v>1</v>
      </c>
      <c r="I114" s="551">
        <v>659</v>
      </c>
      <c r="J114" s="551"/>
      <c r="K114" s="551"/>
      <c r="L114" s="551"/>
      <c r="M114" s="551"/>
      <c r="N114" s="551"/>
      <c r="O114" s="551"/>
      <c r="P114" s="544"/>
      <c r="Q114" s="552"/>
    </row>
    <row r="115" spans="1:17" ht="14.4" customHeight="1" x14ac:dyDescent="0.3">
      <c r="A115" s="538" t="s">
        <v>1539</v>
      </c>
      <c r="B115" s="539" t="s">
        <v>1302</v>
      </c>
      <c r="C115" s="539" t="s">
        <v>1331</v>
      </c>
      <c r="D115" s="539" t="s">
        <v>1393</v>
      </c>
      <c r="E115" s="539" t="s">
        <v>1394</v>
      </c>
      <c r="F115" s="551"/>
      <c r="G115" s="551"/>
      <c r="H115" s="551"/>
      <c r="I115" s="551"/>
      <c r="J115" s="551"/>
      <c r="K115" s="551"/>
      <c r="L115" s="551"/>
      <c r="M115" s="551"/>
      <c r="N115" s="551">
        <v>3</v>
      </c>
      <c r="O115" s="551">
        <v>0</v>
      </c>
      <c r="P115" s="544"/>
      <c r="Q115" s="552">
        <v>0</v>
      </c>
    </row>
    <row r="116" spans="1:17" ht="14.4" customHeight="1" x14ac:dyDescent="0.3">
      <c r="A116" s="538" t="s">
        <v>1539</v>
      </c>
      <c r="B116" s="539" t="s">
        <v>1302</v>
      </c>
      <c r="C116" s="539" t="s">
        <v>1331</v>
      </c>
      <c r="D116" s="539" t="s">
        <v>1401</v>
      </c>
      <c r="E116" s="539" t="s">
        <v>1402</v>
      </c>
      <c r="F116" s="551">
        <v>1</v>
      </c>
      <c r="G116" s="551">
        <v>81</v>
      </c>
      <c r="H116" s="551">
        <v>1</v>
      </c>
      <c r="I116" s="551">
        <v>81</v>
      </c>
      <c r="J116" s="551"/>
      <c r="K116" s="551"/>
      <c r="L116" s="551"/>
      <c r="M116" s="551"/>
      <c r="N116" s="551"/>
      <c r="O116" s="551"/>
      <c r="P116" s="544"/>
      <c r="Q116" s="552"/>
    </row>
    <row r="117" spans="1:17" ht="14.4" customHeight="1" x14ac:dyDescent="0.3">
      <c r="A117" s="538" t="s">
        <v>1540</v>
      </c>
      <c r="B117" s="539" t="s">
        <v>1302</v>
      </c>
      <c r="C117" s="539" t="s">
        <v>1331</v>
      </c>
      <c r="D117" s="539" t="s">
        <v>1342</v>
      </c>
      <c r="E117" s="539" t="s">
        <v>1343</v>
      </c>
      <c r="F117" s="551"/>
      <c r="G117" s="551"/>
      <c r="H117" s="551"/>
      <c r="I117" s="551"/>
      <c r="J117" s="551">
        <v>1</v>
      </c>
      <c r="K117" s="551">
        <v>34</v>
      </c>
      <c r="L117" s="551"/>
      <c r="M117" s="551">
        <v>34</v>
      </c>
      <c r="N117" s="551"/>
      <c r="O117" s="551"/>
      <c r="P117" s="544"/>
      <c r="Q117" s="552"/>
    </row>
    <row r="118" spans="1:17" ht="14.4" customHeight="1" x14ac:dyDescent="0.3">
      <c r="A118" s="538" t="s">
        <v>1540</v>
      </c>
      <c r="B118" s="539" t="s">
        <v>1302</v>
      </c>
      <c r="C118" s="539" t="s">
        <v>1331</v>
      </c>
      <c r="D118" s="539" t="s">
        <v>1355</v>
      </c>
      <c r="E118" s="539" t="s">
        <v>1356</v>
      </c>
      <c r="F118" s="551">
        <v>1</v>
      </c>
      <c r="G118" s="551">
        <v>232</v>
      </c>
      <c r="H118" s="551">
        <v>1</v>
      </c>
      <c r="I118" s="551">
        <v>232</v>
      </c>
      <c r="J118" s="551">
        <v>2</v>
      </c>
      <c r="K118" s="551">
        <v>464</v>
      </c>
      <c r="L118" s="551">
        <v>2</v>
      </c>
      <c r="M118" s="551">
        <v>232</v>
      </c>
      <c r="N118" s="551">
        <v>1</v>
      </c>
      <c r="O118" s="551">
        <v>235</v>
      </c>
      <c r="P118" s="544">
        <v>1.0129310344827587</v>
      </c>
      <c r="Q118" s="552">
        <v>235</v>
      </c>
    </row>
    <row r="119" spans="1:17" ht="14.4" customHeight="1" x14ac:dyDescent="0.3">
      <c r="A119" s="538" t="s">
        <v>1540</v>
      </c>
      <c r="B119" s="539" t="s">
        <v>1302</v>
      </c>
      <c r="C119" s="539" t="s">
        <v>1331</v>
      </c>
      <c r="D119" s="539" t="s">
        <v>1357</v>
      </c>
      <c r="E119" s="539" t="s">
        <v>1358</v>
      </c>
      <c r="F119" s="551"/>
      <c r="G119" s="551"/>
      <c r="H119" s="551"/>
      <c r="I119" s="551"/>
      <c r="J119" s="551"/>
      <c r="K119" s="551"/>
      <c r="L119" s="551"/>
      <c r="M119" s="551"/>
      <c r="N119" s="551">
        <v>7</v>
      </c>
      <c r="O119" s="551">
        <v>826</v>
      </c>
      <c r="P119" s="544"/>
      <c r="Q119" s="552">
        <v>118</v>
      </c>
    </row>
    <row r="120" spans="1:17" ht="14.4" customHeight="1" x14ac:dyDescent="0.3">
      <c r="A120" s="538" t="s">
        <v>1540</v>
      </c>
      <c r="B120" s="539" t="s">
        <v>1302</v>
      </c>
      <c r="C120" s="539" t="s">
        <v>1331</v>
      </c>
      <c r="D120" s="539" t="s">
        <v>1401</v>
      </c>
      <c r="E120" s="539" t="s">
        <v>1402</v>
      </c>
      <c r="F120" s="551"/>
      <c r="G120" s="551"/>
      <c r="H120" s="551"/>
      <c r="I120" s="551"/>
      <c r="J120" s="551"/>
      <c r="K120" s="551"/>
      <c r="L120" s="551"/>
      <c r="M120" s="551"/>
      <c r="N120" s="551">
        <v>1</v>
      </c>
      <c r="O120" s="551">
        <v>82</v>
      </c>
      <c r="P120" s="544"/>
      <c r="Q120" s="552">
        <v>82</v>
      </c>
    </row>
    <row r="121" spans="1:17" ht="14.4" customHeight="1" x14ac:dyDescent="0.3">
      <c r="A121" s="538" t="s">
        <v>1540</v>
      </c>
      <c r="B121" s="539" t="s">
        <v>1302</v>
      </c>
      <c r="C121" s="539" t="s">
        <v>1331</v>
      </c>
      <c r="D121" s="539" t="s">
        <v>1407</v>
      </c>
      <c r="E121" s="539" t="s">
        <v>1408</v>
      </c>
      <c r="F121" s="551"/>
      <c r="G121" s="551"/>
      <c r="H121" s="551"/>
      <c r="I121" s="551"/>
      <c r="J121" s="551"/>
      <c r="K121" s="551"/>
      <c r="L121" s="551"/>
      <c r="M121" s="551"/>
      <c r="N121" s="551">
        <v>1</v>
      </c>
      <c r="O121" s="551">
        <v>492</v>
      </c>
      <c r="P121" s="544"/>
      <c r="Q121" s="552">
        <v>492</v>
      </c>
    </row>
    <row r="122" spans="1:17" ht="14.4" customHeight="1" x14ac:dyDescent="0.3">
      <c r="A122" s="538" t="s">
        <v>1540</v>
      </c>
      <c r="B122" s="539" t="s">
        <v>1302</v>
      </c>
      <c r="C122" s="539" t="s">
        <v>1331</v>
      </c>
      <c r="D122" s="539" t="s">
        <v>1440</v>
      </c>
      <c r="E122" s="539" t="s">
        <v>1441</v>
      </c>
      <c r="F122" s="551"/>
      <c r="G122" s="551"/>
      <c r="H122" s="551"/>
      <c r="I122" s="551"/>
      <c r="J122" s="551"/>
      <c r="K122" s="551"/>
      <c r="L122" s="551"/>
      <c r="M122" s="551"/>
      <c r="N122" s="551">
        <v>1</v>
      </c>
      <c r="O122" s="551">
        <v>628</v>
      </c>
      <c r="P122" s="544"/>
      <c r="Q122" s="552">
        <v>628</v>
      </c>
    </row>
    <row r="123" spans="1:17" ht="14.4" customHeight="1" x14ac:dyDescent="0.3">
      <c r="A123" s="538" t="s">
        <v>1540</v>
      </c>
      <c r="B123" s="539" t="s">
        <v>1302</v>
      </c>
      <c r="C123" s="539" t="s">
        <v>1331</v>
      </c>
      <c r="D123" s="539" t="s">
        <v>1448</v>
      </c>
      <c r="E123" s="539" t="s">
        <v>1449</v>
      </c>
      <c r="F123" s="551"/>
      <c r="G123" s="551"/>
      <c r="H123" s="551"/>
      <c r="I123" s="551"/>
      <c r="J123" s="551"/>
      <c r="K123" s="551"/>
      <c r="L123" s="551"/>
      <c r="M123" s="551"/>
      <c r="N123" s="551">
        <v>1</v>
      </c>
      <c r="O123" s="551">
        <v>243</v>
      </c>
      <c r="P123" s="544"/>
      <c r="Q123" s="552">
        <v>243</v>
      </c>
    </row>
    <row r="124" spans="1:17" ht="14.4" customHeight="1" x14ac:dyDescent="0.3">
      <c r="A124" s="538" t="s">
        <v>1540</v>
      </c>
      <c r="B124" s="539" t="s">
        <v>1302</v>
      </c>
      <c r="C124" s="539" t="s">
        <v>1331</v>
      </c>
      <c r="D124" s="539" t="s">
        <v>963</v>
      </c>
      <c r="E124" s="539" t="s">
        <v>1516</v>
      </c>
      <c r="F124" s="551"/>
      <c r="G124" s="551"/>
      <c r="H124" s="551"/>
      <c r="I124" s="551"/>
      <c r="J124" s="551">
        <v>1</v>
      </c>
      <c r="K124" s="551">
        <v>1186</v>
      </c>
      <c r="L124" s="551"/>
      <c r="M124" s="551">
        <v>1186</v>
      </c>
      <c r="N124" s="551"/>
      <c r="O124" s="551"/>
      <c r="P124" s="544"/>
      <c r="Q124" s="552"/>
    </row>
    <row r="125" spans="1:17" ht="14.4" customHeight="1" x14ac:dyDescent="0.3">
      <c r="A125" s="538" t="s">
        <v>1541</v>
      </c>
      <c r="B125" s="539" t="s">
        <v>1302</v>
      </c>
      <c r="C125" s="539" t="s">
        <v>1331</v>
      </c>
      <c r="D125" s="539" t="s">
        <v>1355</v>
      </c>
      <c r="E125" s="539" t="s">
        <v>1356</v>
      </c>
      <c r="F125" s="551">
        <v>2</v>
      </c>
      <c r="G125" s="551">
        <v>464</v>
      </c>
      <c r="H125" s="551">
        <v>1</v>
      </c>
      <c r="I125" s="551">
        <v>232</v>
      </c>
      <c r="J125" s="551"/>
      <c r="K125" s="551"/>
      <c r="L125" s="551"/>
      <c r="M125" s="551"/>
      <c r="N125" s="551"/>
      <c r="O125" s="551"/>
      <c r="P125" s="544"/>
      <c r="Q125" s="552"/>
    </row>
    <row r="126" spans="1:17" ht="14.4" customHeight="1" x14ac:dyDescent="0.3">
      <c r="A126" s="538" t="s">
        <v>1541</v>
      </c>
      <c r="B126" s="539" t="s">
        <v>1302</v>
      </c>
      <c r="C126" s="539" t="s">
        <v>1331</v>
      </c>
      <c r="D126" s="539" t="s">
        <v>1357</v>
      </c>
      <c r="E126" s="539" t="s">
        <v>1358</v>
      </c>
      <c r="F126" s="551">
        <v>4</v>
      </c>
      <c r="G126" s="551">
        <v>464</v>
      </c>
      <c r="H126" s="551">
        <v>1</v>
      </c>
      <c r="I126" s="551">
        <v>116</v>
      </c>
      <c r="J126" s="551"/>
      <c r="K126" s="551"/>
      <c r="L126" s="551"/>
      <c r="M126" s="551"/>
      <c r="N126" s="551">
        <v>4</v>
      </c>
      <c r="O126" s="551">
        <v>472</v>
      </c>
      <c r="P126" s="544">
        <v>1.0172413793103448</v>
      </c>
      <c r="Q126" s="552">
        <v>118</v>
      </c>
    </row>
    <row r="127" spans="1:17" ht="14.4" customHeight="1" x14ac:dyDescent="0.3">
      <c r="A127" s="538" t="s">
        <v>1542</v>
      </c>
      <c r="B127" s="539" t="s">
        <v>1302</v>
      </c>
      <c r="C127" s="539" t="s">
        <v>1331</v>
      </c>
      <c r="D127" s="539" t="s">
        <v>1342</v>
      </c>
      <c r="E127" s="539" t="s">
        <v>1343</v>
      </c>
      <c r="F127" s="551">
        <v>1</v>
      </c>
      <c r="G127" s="551">
        <v>34</v>
      </c>
      <c r="H127" s="551">
        <v>1</v>
      </c>
      <c r="I127" s="551">
        <v>34</v>
      </c>
      <c r="J127" s="551">
        <v>1</v>
      </c>
      <c r="K127" s="551">
        <v>34</v>
      </c>
      <c r="L127" s="551">
        <v>1</v>
      </c>
      <c r="M127" s="551">
        <v>34</v>
      </c>
      <c r="N127" s="551"/>
      <c r="O127" s="551"/>
      <c r="P127" s="544"/>
      <c r="Q127" s="552"/>
    </row>
    <row r="128" spans="1:17" ht="14.4" customHeight="1" x14ac:dyDescent="0.3">
      <c r="A128" s="538" t="s">
        <v>1542</v>
      </c>
      <c r="B128" s="539" t="s">
        <v>1302</v>
      </c>
      <c r="C128" s="539" t="s">
        <v>1331</v>
      </c>
      <c r="D128" s="539" t="s">
        <v>1355</v>
      </c>
      <c r="E128" s="539" t="s">
        <v>1356</v>
      </c>
      <c r="F128" s="551">
        <v>3</v>
      </c>
      <c r="G128" s="551">
        <v>696</v>
      </c>
      <c r="H128" s="551">
        <v>1</v>
      </c>
      <c r="I128" s="551">
        <v>232</v>
      </c>
      <c r="J128" s="551"/>
      <c r="K128" s="551"/>
      <c r="L128" s="551"/>
      <c r="M128" s="551"/>
      <c r="N128" s="551">
        <v>1</v>
      </c>
      <c r="O128" s="551">
        <v>235</v>
      </c>
      <c r="P128" s="544">
        <v>0.33764367816091956</v>
      </c>
      <c r="Q128" s="552">
        <v>235</v>
      </c>
    </row>
    <row r="129" spans="1:17" ht="14.4" customHeight="1" x14ac:dyDescent="0.3">
      <c r="A129" s="538" t="s">
        <v>1542</v>
      </c>
      <c r="B129" s="539" t="s">
        <v>1302</v>
      </c>
      <c r="C129" s="539" t="s">
        <v>1331</v>
      </c>
      <c r="D129" s="539" t="s">
        <v>1357</v>
      </c>
      <c r="E129" s="539" t="s">
        <v>1358</v>
      </c>
      <c r="F129" s="551">
        <v>5</v>
      </c>
      <c r="G129" s="551">
        <v>580</v>
      </c>
      <c r="H129" s="551">
        <v>1</v>
      </c>
      <c r="I129" s="551">
        <v>116</v>
      </c>
      <c r="J129" s="551">
        <v>10</v>
      </c>
      <c r="K129" s="551">
        <v>1160</v>
      </c>
      <c r="L129" s="551">
        <v>2</v>
      </c>
      <c r="M129" s="551">
        <v>116</v>
      </c>
      <c r="N129" s="551">
        <v>1</v>
      </c>
      <c r="O129" s="551">
        <v>118</v>
      </c>
      <c r="P129" s="544">
        <v>0.20344827586206896</v>
      </c>
      <c r="Q129" s="552">
        <v>118</v>
      </c>
    </row>
    <row r="130" spans="1:17" ht="14.4" customHeight="1" x14ac:dyDescent="0.3">
      <c r="A130" s="538" t="s">
        <v>1542</v>
      </c>
      <c r="B130" s="539" t="s">
        <v>1302</v>
      </c>
      <c r="C130" s="539" t="s">
        <v>1331</v>
      </c>
      <c r="D130" s="539" t="s">
        <v>1393</v>
      </c>
      <c r="E130" s="539" t="s">
        <v>1394</v>
      </c>
      <c r="F130" s="551"/>
      <c r="G130" s="551"/>
      <c r="H130" s="551"/>
      <c r="I130" s="551"/>
      <c r="J130" s="551"/>
      <c r="K130" s="551"/>
      <c r="L130" s="551"/>
      <c r="M130" s="551"/>
      <c r="N130" s="551">
        <v>1</v>
      </c>
      <c r="O130" s="551">
        <v>0</v>
      </c>
      <c r="P130" s="544"/>
      <c r="Q130" s="552">
        <v>0</v>
      </c>
    </row>
    <row r="131" spans="1:17" ht="14.4" customHeight="1" x14ac:dyDescent="0.3">
      <c r="A131" s="538" t="s">
        <v>1542</v>
      </c>
      <c r="B131" s="539" t="s">
        <v>1302</v>
      </c>
      <c r="C131" s="539" t="s">
        <v>1331</v>
      </c>
      <c r="D131" s="539" t="s">
        <v>1436</v>
      </c>
      <c r="E131" s="539" t="s">
        <v>1437</v>
      </c>
      <c r="F131" s="551"/>
      <c r="G131" s="551"/>
      <c r="H131" s="551"/>
      <c r="I131" s="551"/>
      <c r="J131" s="551">
        <v>2</v>
      </c>
      <c r="K131" s="551">
        <v>702</v>
      </c>
      <c r="L131" s="551"/>
      <c r="M131" s="551">
        <v>351</v>
      </c>
      <c r="N131" s="551"/>
      <c r="O131" s="551"/>
      <c r="P131" s="544"/>
      <c r="Q131" s="552"/>
    </row>
    <row r="132" spans="1:17" ht="14.4" customHeight="1" thickBot="1" x14ac:dyDescent="0.35">
      <c r="A132" s="530" t="s">
        <v>1542</v>
      </c>
      <c r="B132" s="531" t="s">
        <v>1302</v>
      </c>
      <c r="C132" s="531" t="s">
        <v>1331</v>
      </c>
      <c r="D132" s="531" t="s">
        <v>963</v>
      </c>
      <c r="E132" s="531" t="s">
        <v>1516</v>
      </c>
      <c r="F132" s="553"/>
      <c r="G132" s="553"/>
      <c r="H132" s="553"/>
      <c r="I132" s="553"/>
      <c r="J132" s="553">
        <v>1</v>
      </c>
      <c r="K132" s="553">
        <v>1186</v>
      </c>
      <c r="L132" s="553"/>
      <c r="M132" s="553">
        <v>1186</v>
      </c>
      <c r="N132" s="553"/>
      <c r="O132" s="553"/>
      <c r="P132" s="536"/>
      <c r="Q132" s="55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5" customWidth="1"/>
    <col min="14" max="16384" width="8.88671875" style="133"/>
  </cols>
  <sheetData>
    <row r="1" spans="1:13" ht="18.600000000000001" customHeight="1" thickBot="1" x14ac:dyDescent="0.4">
      <c r="A1" s="339" t="s">
        <v>132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thickBot="1" x14ac:dyDescent="0.35">
      <c r="A2" s="240" t="s">
        <v>281</v>
      </c>
      <c r="B2" s="231"/>
      <c r="C2" s="114"/>
      <c r="D2" s="231"/>
      <c r="E2" s="114"/>
      <c r="F2" s="231"/>
      <c r="G2" s="232"/>
      <c r="H2" s="231"/>
      <c r="I2" s="114"/>
      <c r="J2" s="231"/>
      <c r="K2" s="114"/>
      <c r="L2" s="231"/>
      <c r="M2" s="232"/>
    </row>
    <row r="3" spans="1:13" ht="14.4" customHeight="1" thickBot="1" x14ac:dyDescent="0.35">
      <c r="A3" s="225" t="s">
        <v>133</v>
      </c>
      <c r="B3" s="226">
        <f>SUBTOTAL(9,B6:B1048576)</f>
        <v>106280</v>
      </c>
      <c r="C3" s="227">
        <f t="shared" ref="C3:L3" si="0">SUBTOTAL(9,C6:C1048576)</f>
        <v>2</v>
      </c>
      <c r="D3" s="227">
        <f t="shared" si="0"/>
        <v>13666</v>
      </c>
      <c r="E3" s="227">
        <f t="shared" si="0"/>
        <v>0.12866355976086241</v>
      </c>
      <c r="F3" s="227">
        <f t="shared" si="0"/>
        <v>3727</v>
      </c>
      <c r="G3" s="230">
        <f>IF(B3&lt;&gt;0,F3/B3,"")</f>
        <v>3.5067745577719231E-2</v>
      </c>
      <c r="H3" s="226">
        <f t="shared" si="0"/>
        <v>0</v>
      </c>
      <c r="I3" s="227">
        <f t="shared" si="0"/>
        <v>0</v>
      </c>
      <c r="J3" s="227">
        <f t="shared" si="0"/>
        <v>0</v>
      </c>
      <c r="K3" s="227">
        <f t="shared" si="0"/>
        <v>0</v>
      </c>
      <c r="L3" s="227">
        <f t="shared" si="0"/>
        <v>0</v>
      </c>
      <c r="M3" s="228" t="str">
        <f>IF(H3&lt;&gt;0,L3/H3,"")</f>
        <v/>
      </c>
    </row>
    <row r="4" spans="1:13" ht="14.4" customHeight="1" x14ac:dyDescent="0.3">
      <c r="A4" s="422" t="s">
        <v>95</v>
      </c>
      <c r="B4" s="404" t="s">
        <v>101</v>
      </c>
      <c r="C4" s="405"/>
      <c r="D4" s="405"/>
      <c r="E4" s="405"/>
      <c r="F4" s="405"/>
      <c r="G4" s="406"/>
      <c r="H4" s="404" t="s">
        <v>102</v>
      </c>
      <c r="I4" s="405"/>
      <c r="J4" s="405"/>
      <c r="K4" s="405"/>
      <c r="L4" s="405"/>
      <c r="M4" s="406"/>
    </row>
    <row r="5" spans="1:13" s="213" customFormat="1" ht="14.4" customHeight="1" thickBot="1" x14ac:dyDescent="0.35">
      <c r="A5" s="631"/>
      <c r="B5" s="632">
        <v>2013</v>
      </c>
      <c r="C5" s="633"/>
      <c r="D5" s="633">
        <v>2014</v>
      </c>
      <c r="E5" s="633"/>
      <c r="F5" s="633">
        <v>2015</v>
      </c>
      <c r="G5" s="606" t="s">
        <v>2</v>
      </c>
      <c r="H5" s="632">
        <v>2013</v>
      </c>
      <c r="I5" s="633"/>
      <c r="J5" s="633">
        <v>2014</v>
      </c>
      <c r="K5" s="633"/>
      <c r="L5" s="633">
        <v>2015</v>
      </c>
      <c r="M5" s="606" t="s">
        <v>2</v>
      </c>
    </row>
    <row r="6" spans="1:13" ht="14.4" customHeight="1" x14ac:dyDescent="0.3">
      <c r="A6" s="562" t="s">
        <v>1544</v>
      </c>
      <c r="B6" s="607">
        <v>65</v>
      </c>
      <c r="C6" s="463">
        <v>1</v>
      </c>
      <c r="D6" s="607"/>
      <c r="E6" s="463"/>
      <c r="F6" s="607"/>
      <c r="G6" s="486"/>
      <c r="H6" s="607"/>
      <c r="I6" s="463"/>
      <c r="J6" s="607"/>
      <c r="K6" s="463"/>
      <c r="L6" s="607"/>
      <c r="M6" s="125"/>
    </row>
    <row r="7" spans="1:13" ht="14.4" customHeight="1" thickBot="1" x14ac:dyDescent="0.35">
      <c r="A7" s="609" t="s">
        <v>1545</v>
      </c>
      <c r="B7" s="608">
        <v>106215</v>
      </c>
      <c r="C7" s="531">
        <v>1</v>
      </c>
      <c r="D7" s="608">
        <v>13666</v>
      </c>
      <c r="E7" s="531">
        <v>0.12866355976086241</v>
      </c>
      <c r="F7" s="608">
        <v>3727</v>
      </c>
      <c r="G7" s="536">
        <v>3.5089205856046697E-2</v>
      </c>
      <c r="H7" s="608"/>
      <c r="I7" s="531"/>
      <c r="J7" s="608"/>
      <c r="K7" s="531"/>
      <c r="L7" s="608"/>
      <c r="M7" s="537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2" customWidth="1"/>
    <col min="8" max="9" width="9.33203125" style="212" hidden="1" customWidth="1"/>
    <col min="10" max="11" width="11.109375" style="212" customWidth="1"/>
    <col min="12" max="13" width="9.33203125" style="212" hidden="1" customWidth="1"/>
    <col min="14" max="15" width="11.109375" style="212" customWidth="1"/>
    <col min="16" max="16" width="11.109375" style="215" customWidth="1"/>
    <col min="17" max="17" width="11.109375" style="212" customWidth="1"/>
    <col min="18" max="16384" width="8.88671875" style="133"/>
  </cols>
  <sheetData>
    <row r="1" spans="1:17" ht="18.600000000000001" customHeight="1" thickBot="1" x14ac:dyDescent="0.4">
      <c r="A1" s="339" t="s">
        <v>1576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40" t="s">
        <v>281</v>
      </c>
      <c r="B2" s="114"/>
      <c r="C2" s="114"/>
      <c r="D2" s="114"/>
      <c r="E2" s="114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2"/>
      <c r="Q2" s="235"/>
    </row>
    <row r="3" spans="1:17" ht="14.4" customHeight="1" thickBot="1" x14ac:dyDescent="0.35">
      <c r="E3" s="87" t="s">
        <v>133</v>
      </c>
      <c r="F3" s="103">
        <f t="shared" ref="F3:O3" si="0">SUBTOTAL(9,F6:F1048576)</f>
        <v>590</v>
      </c>
      <c r="G3" s="107">
        <f t="shared" si="0"/>
        <v>106280</v>
      </c>
      <c r="H3" s="108"/>
      <c r="I3" s="108"/>
      <c r="J3" s="103">
        <f t="shared" si="0"/>
        <v>81</v>
      </c>
      <c r="K3" s="107">
        <f t="shared" si="0"/>
        <v>13666</v>
      </c>
      <c r="L3" s="108"/>
      <c r="M3" s="108"/>
      <c r="N3" s="103">
        <f t="shared" si="0"/>
        <v>22</v>
      </c>
      <c r="O3" s="107">
        <f t="shared" si="0"/>
        <v>3727</v>
      </c>
      <c r="P3" s="88">
        <f>IF(G3=0,"",O3/G3)</f>
        <v>3.5067745577719231E-2</v>
      </c>
      <c r="Q3" s="105">
        <f>IF(N3=0,"",O3/N3)</f>
        <v>169.40909090909091</v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0" t="s">
        <v>71</v>
      </c>
      <c r="E4" s="413" t="s">
        <v>11</v>
      </c>
      <c r="F4" s="418">
        <v>2013</v>
      </c>
      <c r="G4" s="419"/>
      <c r="H4" s="106"/>
      <c r="I4" s="106"/>
      <c r="J4" s="418">
        <v>2014</v>
      </c>
      <c r="K4" s="419"/>
      <c r="L4" s="106"/>
      <c r="M4" s="106"/>
      <c r="N4" s="418">
        <v>2015</v>
      </c>
      <c r="O4" s="419"/>
      <c r="P4" s="421" t="s">
        <v>2</v>
      </c>
      <c r="Q4" s="410" t="s">
        <v>99</v>
      </c>
    </row>
    <row r="5" spans="1:17" ht="14.4" customHeight="1" thickBot="1" x14ac:dyDescent="0.35">
      <c r="A5" s="618"/>
      <c r="B5" s="617"/>
      <c r="C5" s="618"/>
      <c r="D5" s="626"/>
      <c r="E5" s="620"/>
      <c r="F5" s="627" t="s">
        <v>72</v>
      </c>
      <c r="G5" s="628" t="s">
        <v>14</v>
      </c>
      <c r="H5" s="629"/>
      <c r="I5" s="629"/>
      <c r="J5" s="627" t="s">
        <v>72</v>
      </c>
      <c r="K5" s="628" t="s">
        <v>14</v>
      </c>
      <c r="L5" s="629"/>
      <c r="M5" s="629"/>
      <c r="N5" s="627" t="s">
        <v>72</v>
      </c>
      <c r="O5" s="628" t="s">
        <v>14</v>
      </c>
      <c r="P5" s="630"/>
      <c r="Q5" s="625"/>
    </row>
    <row r="6" spans="1:17" ht="14.4" customHeight="1" x14ac:dyDescent="0.3">
      <c r="A6" s="523" t="s">
        <v>1546</v>
      </c>
      <c r="B6" s="463" t="s">
        <v>1547</v>
      </c>
      <c r="C6" s="463" t="s">
        <v>1331</v>
      </c>
      <c r="D6" s="463" t="s">
        <v>1548</v>
      </c>
      <c r="E6" s="463" t="s">
        <v>1549</v>
      </c>
      <c r="F6" s="466">
        <v>1</v>
      </c>
      <c r="G6" s="466">
        <v>65</v>
      </c>
      <c r="H6" s="466">
        <v>1</v>
      </c>
      <c r="I6" s="466">
        <v>65</v>
      </c>
      <c r="J6" s="466"/>
      <c r="K6" s="466"/>
      <c r="L6" s="466"/>
      <c r="M6" s="466"/>
      <c r="N6" s="466"/>
      <c r="O6" s="466"/>
      <c r="P6" s="486"/>
      <c r="Q6" s="550"/>
    </row>
    <row r="7" spans="1:17" ht="14.4" customHeight="1" x14ac:dyDescent="0.3">
      <c r="A7" s="538" t="s">
        <v>1550</v>
      </c>
      <c r="B7" s="539" t="s">
        <v>1551</v>
      </c>
      <c r="C7" s="539" t="s">
        <v>1331</v>
      </c>
      <c r="D7" s="539" t="s">
        <v>1552</v>
      </c>
      <c r="E7" s="539" t="s">
        <v>1553</v>
      </c>
      <c r="F7" s="551">
        <v>200</v>
      </c>
      <c r="G7" s="551">
        <v>10600</v>
      </c>
      <c r="H7" s="551">
        <v>1</v>
      </c>
      <c r="I7" s="551">
        <v>53</v>
      </c>
      <c r="J7" s="551">
        <v>26</v>
      </c>
      <c r="K7" s="551">
        <v>1378</v>
      </c>
      <c r="L7" s="551">
        <v>0.13</v>
      </c>
      <c r="M7" s="551">
        <v>53</v>
      </c>
      <c r="N7" s="551">
        <v>8</v>
      </c>
      <c r="O7" s="551">
        <v>432</v>
      </c>
      <c r="P7" s="544">
        <v>4.0754716981132075E-2</v>
      </c>
      <c r="Q7" s="552">
        <v>54</v>
      </c>
    </row>
    <row r="8" spans="1:17" ht="14.4" customHeight="1" x14ac:dyDescent="0.3">
      <c r="A8" s="538" t="s">
        <v>1550</v>
      </c>
      <c r="B8" s="539" t="s">
        <v>1551</v>
      </c>
      <c r="C8" s="539" t="s">
        <v>1331</v>
      </c>
      <c r="D8" s="539" t="s">
        <v>1554</v>
      </c>
      <c r="E8" s="539" t="s">
        <v>1555</v>
      </c>
      <c r="F8" s="551">
        <v>29</v>
      </c>
      <c r="G8" s="551">
        <v>4872</v>
      </c>
      <c r="H8" s="551">
        <v>1</v>
      </c>
      <c r="I8" s="551">
        <v>168</v>
      </c>
      <c r="J8" s="551">
        <v>13</v>
      </c>
      <c r="K8" s="551">
        <v>2184</v>
      </c>
      <c r="L8" s="551">
        <v>0.44827586206896552</v>
      </c>
      <c r="M8" s="551">
        <v>168</v>
      </c>
      <c r="N8" s="551"/>
      <c r="O8" s="551"/>
      <c r="P8" s="544"/>
      <c r="Q8" s="552"/>
    </row>
    <row r="9" spans="1:17" ht="14.4" customHeight="1" x14ac:dyDescent="0.3">
      <c r="A9" s="538" t="s">
        <v>1550</v>
      </c>
      <c r="B9" s="539" t="s">
        <v>1551</v>
      </c>
      <c r="C9" s="539" t="s">
        <v>1331</v>
      </c>
      <c r="D9" s="539" t="s">
        <v>1556</v>
      </c>
      <c r="E9" s="539" t="s">
        <v>1557</v>
      </c>
      <c r="F9" s="551">
        <v>9</v>
      </c>
      <c r="G9" s="551">
        <v>3042</v>
      </c>
      <c r="H9" s="551">
        <v>1</v>
      </c>
      <c r="I9" s="551">
        <v>338</v>
      </c>
      <c r="J9" s="551"/>
      <c r="K9" s="551"/>
      <c r="L9" s="551"/>
      <c r="M9" s="551"/>
      <c r="N9" s="551"/>
      <c r="O9" s="551"/>
      <c r="P9" s="544"/>
      <c r="Q9" s="552"/>
    </row>
    <row r="10" spans="1:17" ht="14.4" customHeight="1" x14ac:dyDescent="0.3">
      <c r="A10" s="538" t="s">
        <v>1550</v>
      </c>
      <c r="B10" s="539" t="s">
        <v>1551</v>
      </c>
      <c r="C10" s="539" t="s">
        <v>1331</v>
      </c>
      <c r="D10" s="539" t="s">
        <v>1558</v>
      </c>
      <c r="E10" s="539" t="s">
        <v>1559</v>
      </c>
      <c r="F10" s="551">
        <v>60</v>
      </c>
      <c r="G10" s="551">
        <v>16860</v>
      </c>
      <c r="H10" s="551">
        <v>1</v>
      </c>
      <c r="I10" s="551">
        <v>281</v>
      </c>
      <c r="J10" s="551">
        <v>7</v>
      </c>
      <c r="K10" s="551">
        <v>1967</v>
      </c>
      <c r="L10" s="551">
        <v>0.11666666666666667</v>
      </c>
      <c r="M10" s="551">
        <v>281</v>
      </c>
      <c r="N10" s="551">
        <v>3</v>
      </c>
      <c r="O10" s="551">
        <v>855</v>
      </c>
      <c r="P10" s="544">
        <v>5.0711743772241996E-2</v>
      </c>
      <c r="Q10" s="552">
        <v>285</v>
      </c>
    </row>
    <row r="11" spans="1:17" ht="14.4" customHeight="1" x14ac:dyDescent="0.3">
      <c r="A11" s="538" t="s">
        <v>1550</v>
      </c>
      <c r="B11" s="539" t="s">
        <v>1551</v>
      </c>
      <c r="C11" s="539" t="s">
        <v>1331</v>
      </c>
      <c r="D11" s="539" t="s">
        <v>1560</v>
      </c>
      <c r="E11" s="539" t="s">
        <v>1561</v>
      </c>
      <c r="F11" s="551">
        <v>29</v>
      </c>
      <c r="G11" s="551">
        <v>13224</v>
      </c>
      <c r="H11" s="551">
        <v>1</v>
      </c>
      <c r="I11" s="551">
        <v>456</v>
      </c>
      <c r="J11" s="551">
        <v>2</v>
      </c>
      <c r="K11" s="551">
        <v>912</v>
      </c>
      <c r="L11" s="551">
        <v>6.8965517241379309E-2</v>
      </c>
      <c r="M11" s="551">
        <v>456</v>
      </c>
      <c r="N11" s="551">
        <v>1</v>
      </c>
      <c r="O11" s="551">
        <v>462</v>
      </c>
      <c r="P11" s="544">
        <v>3.4936479128856626E-2</v>
      </c>
      <c r="Q11" s="552">
        <v>462</v>
      </c>
    </row>
    <row r="12" spans="1:17" ht="14.4" customHeight="1" x14ac:dyDescent="0.3">
      <c r="A12" s="538" t="s">
        <v>1550</v>
      </c>
      <c r="B12" s="539" t="s">
        <v>1551</v>
      </c>
      <c r="C12" s="539" t="s">
        <v>1331</v>
      </c>
      <c r="D12" s="539" t="s">
        <v>1562</v>
      </c>
      <c r="E12" s="539" t="s">
        <v>1563</v>
      </c>
      <c r="F12" s="551">
        <v>72</v>
      </c>
      <c r="G12" s="551">
        <v>25056</v>
      </c>
      <c r="H12" s="551">
        <v>1</v>
      </c>
      <c r="I12" s="551">
        <v>348</v>
      </c>
      <c r="J12" s="551">
        <v>10</v>
      </c>
      <c r="K12" s="551">
        <v>3480</v>
      </c>
      <c r="L12" s="551">
        <v>0.1388888888888889</v>
      </c>
      <c r="M12" s="551">
        <v>348</v>
      </c>
      <c r="N12" s="551">
        <v>4</v>
      </c>
      <c r="O12" s="551">
        <v>1424</v>
      </c>
      <c r="P12" s="544">
        <v>5.683269476372925E-2</v>
      </c>
      <c r="Q12" s="552">
        <v>356</v>
      </c>
    </row>
    <row r="13" spans="1:17" ht="14.4" customHeight="1" x14ac:dyDescent="0.3">
      <c r="A13" s="538" t="s">
        <v>1550</v>
      </c>
      <c r="B13" s="539" t="s">
        <v>1551</v>
      </c>
      <c r="C13" s="539" t="s">
        <v>1331</v>
      </c>
      <c r="D13" s="539" t="s">
        <v>1564</v>
      </c>
      <c r="E13" s="539" t="s">
        <v>1565</v>
      </c>
      <c r="F13" s="551">
        <v>1</v>
      </c>
      <c r="G13" s="551">
        <v>115</v>
      </c>
      <c r="H13" s="551">
        <v>1</v>
      </c>
      <c r="I13" s="551">
        <v>115</v>
      </c>
      <c r="J13" s="551">
        <v>1</v>
      </c>
      <c r="K13" s="551">
        <v>115</v>
      </c>
      <c r="L13" s="551">
        <v>1</v>
      </c>
      <c r="M13" s="551">
        <v>115</v>
      </c>
      <c r="N13" s="551"/>
      <c r="O13" s="551"/>
      <c r="P13" s="544"/>
      <c r="Q13" s="552"/>
    </row>
    <row r="14" spans="1:17" ht="14.4" customHeight="1" x14ac:dyDescent="0.3">
      <c r="A14" s="538" t="s">
        <v>1550</v>
      </c>
      <c r="B14" s="539" t="s">
        <v>1551</v>
      </c>
      <c r="C14" s="539" t="s">
        <v>1331</v>
      </c>
      <c r="D14" s="539" t="s">
        <v>1566</v>
      </c>
      <c r="E14" s="539" t="s">
        <v>1567</v>
      </c>
      <c r="F14" s="551">
        <v>1</v>
      </c>
      <c r="G14" s="551">
        <v>1245</v>
      </c>
      <c r="H14" s="551">
        <v>1</v>
      </c>
      <c r="I14" s="551">
        <v>1245</v>
      </c>
      <c r="J14" s="551"/>
      <c r="K14" s="551"/>
      <c r="L14" s="551"/>
      <c r="M14" s="551"/>
      <c r="N14" s="551"/>
      <c r="O14" s="551"/>
      <c r="P14" s="544"/>
      <c r="Q14" s="552"/>
    </row>
    <row r="15" spans="1:17" ht="14.4" customHeight="1" x14ac:dyDescent="0.3">
      <c r="A15" s="538" t="s">
        <v>1550</v>
      </c>
      <c r="B15" s="539" t="s">
        <v>1551</v>
      </c>
      <c r="C15" s="539" t="s">
        <v>1331</v>
      </c>
      <c r="D15" s="539" t="s">
        <v>1568</v>
      </c>
      <c r="E15" s="539" t="s">
        <v>1569</v>
      </c>
      <c r="F15" s="551">
        <v>2</v>
      </c>
      <c r="G15" s="551">
        <v>858</v>
      </c>
      <c r="H15" s="551">
        <v>1</v>
      </c>
      <c r="I15" s="551">
        <v>429</v>
      </c>
      <c r="J15" s="551"/>
      <c r="K15" s="551"/>
      <c r="L15" s="551"/>
      <c r="M15" s="551"/>
      <c r="N15" s="551"/>
      <c r="O15" s="551"/>
      <c r="P15" s="544"/>
      <c r="Q15" s="552"/>
    </row>
    <row r="16" spans="1:17" ht="14.4" customHeight="1" x14ac:dyDescent="0.3">
      <c r="A16" s="538" t="s">
        <v>1550</v>
      </c>
      <c r="B16" s="539" t="s">
        <v>1551</v>
      </c>
      <c r="C16" s="539" t="s">
        <v>1331</v>
      </c>
      <c r="D16" s="539" t="s">
        <v>1570</v>
      </c>
      <c r="E16" s="539" t="s">
        <v>1571</v>
      </c>
      <c r="F16" s="551">
        <v>4</v>
      </c>
      <c r="G16" s="551">
        <v>212</v>
      </c>
      <c r="H16" s="551">
        <v>1</v>
      </c>
      <c r="I16" s="551">
        <v>53</v>
      </c>
      <c r="J16" s="551"/>
      <c r="K16" s="551"/>
      <c r="L16" s="551"/>
      <c r="M16" s="551"/>
      <c r="N16" s="551">
        <v>4</v>
      </c>
      <c r="O16" s="551">
        <v>216</v>
      </c>
      <c r="P16" s="544">
        <v>1.0188679245283019</v>
      </c>
      <c r="Q16" s="552">
        <v>54</v>
      </c>
    </row>
    <row r="17" spans="1:17" ht="14.4" customHeight="1" x14ac:dyDescent="0.3">
      <c r="A17" s="538" t="s">
        <v>1550</v>
      </c>
      <c r="B17" s="539" t="s">
        <v>1551</v>
      </c>
      <c r="C17" s="539" t="s">
        <v>1331</v>
      </c>
      <c r="D17" s="539" t="s">
        <v>1572</v>
      </c>
      <c r="E17" s="539" t="s">
        <v>1573</v>
      </c>
      <c r="F17" s="551">
        <v>181</v>
      </c>
      <c r="G17" s="551">
        <v>29865</v>
      </c>
      <c r="H17" s="551">
        <v>1</v>
      </c>
      <c r="I17" s="551">
        <v>165</v>
      </c>
      <c r="J17" s="551">
        <v>22</v>
      </c>
      <c r="K17" s="551">
        <v>3630</v>
      </c>
      <c r="L17" s="551">
        <v>0.12154696132596685</v>
      </c>
      <c r="M17" s="551">
        <v>165</v>
      </c>
      <c r="N17" s="551">
        <v>2</v>
      </c>
      <c r="O17" s="551">
        <v>338</v>
      </c>
      <c r="P17" s="544">
        <v>1.1317595847982588E-2</v>
      </c>
      <c r="Q17" s="552">
        <v>169</v>
      </c>
    </row>
    <row r="18" spans="1:17" ht="14.4" customHeight="1" thickBot="1" x14ac:dyDescent="0.35">
      <c r="A18" s="530" t="s">
        <v>1550</v>
      </c>
      <c r="B18" s="531" t="s">
        <v>1551</v>
      </c>
      <c r="C18" s="531" t="s">
        <v>1331</v>
      </c>
      <c r="D18" s="531" t="s">
        <v>1574</v>
      </c>
      <c r="E18" s="531" t="s">
        <v>1575</v>
      </c>
      <c r="F18" s="553">
        <v>1</v>
      </c>
      <c r="G18" s="553">
        <v>266</v>
      </c>
      <c r="H18" s="553">
        <v>1</v>
      </c>
      <c r="I18" s="553">
        <v>266</v>
      </c>
      <c r="J18" s="553"/>
      <c r="K18" s="553"/>
      <c r="L18" s="553"/>
      <c r="M18" s="553"/>
      <c r="N18" s="553"/>
      <c r="O18" s="553"/>
      <c r="P18" s="536"/>
      <c r="Q18" s="55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30" t="s">
        <v>141</v>
      </c>
      <c r="B1" s="330"/>
      <c r="C1" s="330"/>
      <c r="D1" s="330"/>
      <c r="E1" s="330"/>
      <c r="F1" s="330"/>
      <c r="G1" s="331"/>
      <c r="H1" s="331"/>
    </row>
    <row r="2" spans="1:8" ht="14.4" customHeight="1" thickBot="1" x14ac:dyDescent="0.35">
      <c r="A2" s="240" t="s">
        <v>281</v>
      </c>
      <c r="B2" s="114"/>
      <c r="C2" s="114"/>
      <c r="D2" s="114"/>
      <c r="E2" s="114"/>
      <c r="F2" s="114"/>
    </row>
    <row r="3" spans="1:8" ht="14.4" customHeight="1" x14ac:dyDescent="0.3">
      <c r="A3" s="332"/>
      <c r="B3" s="110">
        <v>2013</v>
      </c>
      <c r="C3" s="40">
        <v>2014</v>
      </c>
      <c r="D3" s="7"/>
      <c r="E3" s="336">
        <v>2015</v>
      </c>
      <c r="F3" s="337"/>
      <c r="G3" s="337"/>
      <c r="H3" s="338"/>
    </row>
    <row r="4" spans="1:8" ht="14.4" customHeight="1" thickBot="1" x14ac:dyDescent="0.35">
      <c r="A4" s="333"/>
      <c r="B4" s="334" t="s">
        <v>73</v>
      </c>
      <c r="C4" s="335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20.67754</v>
      </c>
      <c r="C5" s="29">
        <v>24.40372</v>
      </c>
      <c r="D5" s="8"/>
      <c r="E5" s="120">
        <v>32.784909999999996</v>
      </c>
      <c r="F5" s="28">
        <v>46.911041701721743</v>
      </c>
      <c r="G5" s="119">
        <f>E5-F5</f>
        <v>-14.126131701721746</v>
      </c>
      <c r="H5" s="125">
        <f>IF(F5&lt;0.00000001,"",E5/F5)</f>
        <v>0.69887405631405353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321.38418999999999</v>
      </c>
      <c r="C6" s="31">
        <v>336.29246000000006</v>
      </c>
      <c r="D6" s="8"/>
      <c r="E6" s="121">
        <v>320.94428999999997</v>
      </c>
      <c r="F6" s="30">
        <v>529.4306919718365</v>
      </c>
      <c r="G6" s="122">
        <f>E6-F6</f>
        <v>-208.48640197183653</v>
      </c>
      <c r="H6" s="126">
        <f>IF(F6&lt;0.00000001,"",E6/F6)</f>
        <v>0.6062064305427024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2502.0642699999999</v>
      </c>
      <c r="C7" s="31">
        <v>2605.0954000000042</v>
      </c>
      <c r="D7" s="8"/>
      <c r="E7" s="121">
        <v>2474.5957400000034</v>
      </c>
      <c r="F7" s="30">
        <v>2536.9999200906477</v>
      </c>
      <c r="G7" s="122">
        <f>E7-F7</f>
        <v>-62.404180090644331</v>
      </c>
      <c r="H7" s="126">
        <f>IF(F7&lt;0.00000001,"",E7/F7)</f>
        <v>0.97540237207086133</v>
      </c>
    </row>
    <row r="8" spans="1:8" ht="14.4" customHeight="1" thickBot="1" x14ac:dyDescent="0.35">
      <c r="A8" s="1" t="s">
        <v>76</v>
      </c>
      <c r="B8" s="11">
        <v>424.33200999999997</v>
      </c>
      <c r="C8" s="33">
        <v>444.36853000000048</v>
      </c>
      <c r="D8" s="8"/>
      <c r="E8" s="123">
        <v>460.1694499999997</v>
      </c>
      <c r="F8" s="32">
        <v>476.43907426810358</v>
      </c>
      <c r="G8" s="124">
        <f>E8-F8</f>
        <v>-16.269624268103883</v>
      </c>
      <c r="H8" s="127">
        <f>IF(F8&lt;0.00000001,"",E8/F8)</f>
        <v>0.96585161640426542</v>
      </c>
    </row>
    <row r="9" spans="1:8" ht="14.4" customHeight="1" thickBot="1" x14ac:dyDescent="0.35">
      <c r="A9" s="2" t="s">
        <v>77</v>
      </c>
      <c r="B9" s="3">
        <v>3268.4580099999998</v>
      </c>
      <c r="C9" s="35">
        <v>3410.1601100000048</v>
      </c>
      <c r="D9" s="8"/>
      <c r="E9" s="3">
        <v>3288.494390000003</v>
      </c>
      <c r="F9" s="34">
        <v>3589.7807280323095</v>
      </c>
      <c r="G9" s="34">
        <f>E9-F9</f>
        <v>-301.2863380323065</v>
      </c>
      <c r="H9" s="128">
        <f>IF(F9&lt;0.00000001,"",E9/F9)</f>
        <v>0.91607110270563719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907.30399999999997</v>
      </c>
      <c r="C11" s="29">
        <f>IF(ISERROR(VLOOKUP("Celkem:",'ZV Vykáz.-A'!A:F,4,0)),0,VLOOKUP("Celkem:",'ZV Vykáz.-A'!A:F,4,0)/1000)</f>
        <v>871.13699999999994</v>
      </c>
      <c r="D11" s="8"/>
      <c r="E11" s="120">
        <f>IF(ISERROR(VLOOKUP("Celkem:",'ZV Vykáz.-A'!A:F,6,0)),0,VLOOKUP("Celkem:",'ZV Vykáz.-A'!A:F,6,0)/1000)</f>
        <v>1042.374</v>
      </c>
      <c r="F11" s="28">
        <f>B11</f>
        <v>907.30399999999997</v>
      </c>
      <c r="G11" s="119">
        <f>E11-F11</f>
        <v>135.07000000000005</v>
      </c>
      <c r="H11" s="125">
        <f>IF(F11&lt;0.00000001,"",E11/F11)</f>
        <v>1.1488696181213793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907.30399999999997</v>
      </c>
      <c r="C13" s="37">
        <f>SUM(C11:C12)</f>
        <v>871.13699999999994</v>
      </c>
      <c r="D13" s="8"/>
      <c r="E13" s="5">
        <f>SUM(E11:E12)</f>
        <v>1042.374</v>
      </c>
      <c r="F13" s="36">
        <f>SUM(F11:F12)</f>
        <v>907.30399999999997</v>
      </c>
      <c r="G13" s="36">
        <f>E13-F13</f>
        <v>135.07000000000005</v>
      </c>
      <c r="H13" s="129">
        <f>IF(F13&lt;0.00000001,"",E13/F13)</f>
        <v>1.1488696181213793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0.27759389816973662</v>
      </c>
      <c r="C15" s="39">
        <f>IF(C9=0,"",C13/C9)</f>
        <v>0.25545340157063734</v>
      </c>
      <c r="D15" s="8"/>
      <c r="E15" s="6">
        <f>IF(E9=0,"",E13/E9)</f>
        <v>0.3169760614978574</v>
      </c>
      <c r="F15" s="38">
        <f>IF(F9=0,"",F13/F9)</f>
        <v>0.25274635659914707</v>
      </c>
      <c r="G15" s="38">
        <f>IF(ISERROR(F15-E15),"",E15-F15)</f>
        <v>6.4229704898710327E-2</v>
      </c>
      <c r="H15" s="130">
        <f>IF(ISERROR(F15-E15),"",IF(F15&lt;0.00000001,"",E15/F15))</f>
        <v>1.2541271247703005</v>
      </c>
    </row>
    <row r="17" spans="1:8" ht="14.4" customHeight="1" x14ac:dyDescent="0.3">
      <c r="A17" s="116" t="s">
        <v>162</v>
      </c>
    </row>
    <row r="18" spans="1:8" ht="14.4" customHeight="1" x14ac:dyDescent="0.3">
      <c r="A18" s="293" t="s">
        <v>202</v>
      </c>
      <c r="B18" s="294"/>
      <c r="C18" s="294"/>
      <c r="D18" s="294"/>
      <c r="E18" s="294"/>
      <c r="F18" s="294"/>
      <c r="G18" s="294"/>
      <c r="H18" s="294"/>
    </row>
    <row r="19" spans="1:8" x14ac:dyDescent="0.3">
      <c r="A19" s="292" t="s">
        <v>201</v>
      </c>
      <c r="B19" s="294"/>
      <c r="C19" s="294"/>
      <c r="D19" s="294"/>
      <c r="E19" s="294"/>
      <c r="F19" s="294"/>
      <c r="G19" s="294"/>
      <c r="H19" s="294"/>
    </row>
    <row r="20" spans="1:8" ht="14.4" customHeight="1" x14ac:dyDescent="0.3">
      <c r="A20" s="117" t="s">
        <v>256</v>
      </c>
    </row>
    <row r="21" spans="1:8" ht="14.4" customHeight="1" x14ac:dyDescent="0.3">
      <c r="A21" s="117" t="s">
        <v>163</v>
      </c>
    </row>
    <row r="22" spans="1:8" ht="14.4" customHeight="1" x14ac:dyDescent="0.3">
      <c r="A22" s="118" t="s">
        <v>164</v>
      </c>
    </row>
    <row r="23" spans="1:8" ht="14.4" customHeight="1" x14ac:dyDescent="0.3">
      <c r="A23" s="118" t="s">
        <v>165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7" priority="4" operator="greaterThan">
      <formula>0</formula>
    </cfRule>
  </conditionalFormatting>
  <conditionalFormatting sqref="G11:G13 G15">
    <cfRule type="cellIs" dxfId="56" priority="3" operator="lessThan">
      <formula>0</formula>
    </cfRule>
  </conditionalFormatting>
  <conditionalFormatting sqref="H5:H9">
    <cfRule type="cellIs" dxfId="55" priority="2" operator="greaterThan">
      <formula>1</formula>
    </cfRule>
  </conditionalFormatting>
  <conditionalFormatting sqref="H11:H13 H15">
    <cfRule type="cellIs" dxfId="5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30" t="s">
        <v>106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x14ac:dyDescent="0.3">
      <c r="A2" s="240" t="s">
        <v>281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3"/>
      <c r="B3" s="204" t="s">
        <v>82</v>
      </c>
      <c r="C3" s="205" t="s">
        <v>83</v>
      </c>
      <c r="D3" s="205" t="s">
        <v>84</v>
      </c>
      <c r="E3" s="204" t="s">
        <v>85</v>
      </c>
      <c r="F3" s="205" t="s">
        <v>86</v>
      </c>
      <c r="G3" s="205" t="s">
        <v>87</v>
      </c>
      <c r="H3" s="205" t="s">
        <v>88</v>
      </c>
      <c r="I3" s="205" t="s">
        <v>89</v>
      </c>
      <c r="J3" s="205" t="s">
        <v>90</v>
      </c>
      <c r="K3" s="205" t="s">
        <v>91</v>
      </c>
      <c r="L3" s="205" t="s">
        <v>92</v>
      </c>
      <c r="M3" s="205" t="s">
        <v>93</v>
      </c>
    </row>
    <row r="4" spans="1:13" ht="14.4" customHeight="1" x14ac:dyDescent="0.3">
      <c r="A4" s="203" t="s">
        <v>81</v>
      </c>
      <c r="B4" s="206">
        <f>(B10+B8)/B6</f>
        <v>0.31846197911882501</v>
      </c>
      <c r="C4" s="206">
        <f t="shared" ref="C4:M4" si="0">(C10+C8)/C6</f>
        <v>0.31782445215507615</v>
      </c>
      <c r="D4" s="206">
        <f t="shared" si="0"/>
        <v>0.31697606149785773</v>
      </c>
      <c r="E4" s="206">
        <f t="shared" si="0"/>
        <v>0.31697606149785773</v>
      </c>
      <c r="F4" s="206">
        <f t="shared" si="0"/>
        <v>0.31697606149785773</v>
      </c>
      <c r="G4" s="206">
        <f t="shared" si="0"/>
        <v>0.31697606149785773</v>
      </c>
      <c r="H4" s="206">
        <f t="shared" si="0"/>
        <v>0.31697606149785773</v>
      </c>
      <c r="I4" s="206">
        <f t="shared" si="0"/>
        <v>0.31697606149785773</v>
      </c>
      <c r="J4" s="206">
        <f t="shared" si="0"/>
        <v>0.31697606149785773</v>
      </c>
      <c r="K4" s="206">
        <f t="shared" si="0"/>
        <v>0.31697606149785773</v>
      </c>
      <c r="L4" s="206">
        <f t="shared" si="0"/>
        <v>0.31697606149785773</v>
      </c>
      <c r="M4" s="206">
        <f t="shared" si="0"/>
        <v>0.31697606149785773</v>
      </c>
    </row>
    <row r="5" spans="1:13" ht="14.4" customHeight="1" x14ac:dyDescent="0.3">
      <c r="A5" s="207" t="s">
        <v>53</v>
      </c>
      <c r="B5" s="206">
        <f>IF(ISERROR(VLOOKUP($A5,'Man Tab'!$A:$Q,COLUMN()+2,0)),0,VLOOKUP($A5,'Man Tab'!$A:$Q,COLUMN()+2,0))</f>
        <v>1005.5957100000001</v>
      </c>
      <c r="C5" s="206">
        <f>IF(ISERROR(VLOOKUP($A5,'Man Tab'!$A:$Q,COLUMN()+2,0)),0,VLOOKUP($A5,'Man Tab'!$A:$Q,COLUMN()+2,0))</f>
        <v>1118.3000300000001</v>
      </c>
      <c r="D5" s="206">
        <f>IF(ISERROR(VLOOKUP($A5,'Man Tab'!$A:$Q,COLUMN()+2,0)),0,VLOOKUP($A5,'Man Tab'!$A:$Q,COLUMN()+2,0))</f>
        <v>1164.5986499999999</v>
      </c>
      <c r="E5" s="206">
        <f>IF(ISERROR(VLOOKUP($A5,'Man Tab'!$A:$Q,COLUMN()+2,0)),0,VLOOKUP($A5,'Man Tab'!$A:$Q,COLUMN()+2,0))</f>
        <v>0</v>
      </c>
      <c r="F5" s="206">
        <f>IF(ISERROR(VLOOKUP($A5,'Man Tab'!$A:$Q,COLUMN()+2,0)),0,VLOOKUP($A5,'Man Tab'!$A:$Q,COLUMN()+2,0))</f>
        <v>0</v>
      </c>
      <c r="G5" s="206">
        <f>IF(ISERROR(VLOOKUP($A5,'Man Tab'!$A:$Q,COLUMN()+2,0)),0,VLOOKUP($A5,'Man Tab'!$A:$Q,COLUMN()+2,0))</f>
        <v>0</v>
      </c>
      <c r="H5" s="206">
        <f>IF(ISERROR(VLOOKUP($A5,'Man Tab'!$A:$Q,COLUMN()+2,0)),0,VLOOKUP($A5,'Man Tab'!$A:$Q,COLUMN()+2,0))</f>
        <v>0</v>
      </c>
      <c r="I5" s="206">
        <f>IF(ISERROR(VLOOKUP($A5,'Man Tab'!$A:$Q,COLUMN()+2,0)),0,VLOOKUP($A5,'Man Tab'!$A:$Q,COLUMN()+2,0))</f>
        <v>0</v>
      </c>
      <c r="J5" s="206">
        <f>IF(ISERROR(VLOOKUP($A5,'Man Tab'!$A:$Q,COLUMN()+2,0)),0,VLOOKUP($A5,'Man Tab'!$A:$Q,COLUMN()+2,0))</f>
        <v>0</v>
      </c>
      <c r="K5" s="206">
        <f>IF(ISERROR(VLOOKUP($A5,'Man Tab'!$A:$Q,COLUMN()+2,0)),0,VLOOKUP($A5,'Man Tab'!$A:$Q,COLUMN()+2,0))</f>
        <v>0</v>
      </c>
      <c r="L5" s="206">
        <f>IF(ISERROR(VLOOKUP($A5,'Man Tab'!$A:$Q,COLUMN()+2,0)),0,VLOOKUP($A5,'Man Tab'!$A:$Q,COLUMN()+2,0))</f>
        <v>0</v>
      </c>
      <c r="M5" s="206">
        <f>IF(ISERROR(VLOOKUP($A5,'Man Tab'!$A:$Q,COLUMN()+2,0)),0,VLOOKUP($A5,'Man Tab'!$A:$Q,COLUMN()+2,0))</f>
        <v>0</v>
      </c>
    </row>
    <row r="6" spans="1:13" ht="14.4" customHeight="1" x14ac:dyDescent="0.3">
      <c r="A6" s="207" t="s">
        <v>77</v>
      </c>
      <c r="B6" s="208">
        <f>B5</f>
        <v>1005.5957100000001</v>
      </c>
      <c r="C6" s="208">
        <f t="shared" ref="C6:M6" si="1">C5+B6</f>
        <v>2123.8957399999999</v>
      </c>
      <c r="D6" s="208">
        <f t="shared" si="1"/>
        <v>3288.4943899999998</v>
      </c>
      <c r="E6" s="208">
        <f t="shared" si="1"/>
        <v>3288.4943899999998</v>
      </c>
      <c r="F6" s="208">
        <f t="shared" si="1"/>
        <v>3288.4943899999998</v>
      </c>
      <c r="G6" s="208">
        <f t="shared" si="1"/>
        <v>3288.4943899999998</v>
      </c>
      <c r="H6" s="208">
        <f t="shared" si="1"/>
        <v>3288.4943899999998</v>
      </c>
      <c r="I6" s="208">
        <f t="shared" si="1"/>
        <v>3288.4943899999998</v>
      </c>
      <c r="J6" s="208">
        <f t="shared" si="1"/>
        <v>3288.4943899999998</v>
      </c>
      <c r="K6" s="208">
        <f t="shared" si="1"/>
        <v>3288.4943899999998</v>
      </c>
      <c r="L6" s="208">
        <f t="shared" si="1"/>
        <v>3288.4943899999998</v>
      </c>
      <c r="M6" s="208">
        <f t="shared" si="1"/>
        <v>3288.4943899999998</v>
      </c>
    </row>
    <row r="7" spans="1:13" ht="14.4" customHeight="1" x14ac:dyDescent="0.3">
      <c r="A7" s="207" t="s">
        <v>104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13" ht="14.4" customHeight="1" x14ac:dyDescent="0.3">
      <c r="A8" s="207" t="s">
        <v>78</v>
      </c>
      <c r="B8" s="208">
        <f>B7*30</f>
        <v>0</v>
      </c>
      <c r="C8" s="208">
        <f t="shared" ref="C8:M8" si="2">C7*30</f>
        <v>0</v>
      </c>
      <c r="D8" s="208">
        <f t="shared" si="2"/>
        <v>0</v>
      </c>
      <c r="E8" s="208">
        <f t="shared" si="2"/>
        <v>0</v>
      </c>
      <c r="F8" s="208">
        <f t="shared" si="2"/>
        <v>0</v>
      </c>
      <c r="G8" s="208">
        <f t="shared" si="2"/>
        <v>0</v>
      </c>
      <c r="H8" s="208">
        <f t="shared" si="2"/>
        <v>0</v>
      </c>
      <c r="I8" s="208">
        <f t="shared" si="2"/>
        <v>0</v>
      </c>
      <c r="J8" s="208">
        <f t="shared" si="2"/>
        <v>0</v>
      </c>
      <c r="K8" s="208">
        <f t="shared" si="2"/>
        <v>0</v>
      </c>
      <c r="L8" s="208">
        <f t="shared" si="2"/>
        <v>0</v>
      </c>
      <c r="M8" s="208">
        <f t="shared" si="2"/>
        <v>0</v>
      </c>
    </row>
    <row r="9" spans="1:13" ht="14.4" customHeight="1" x14ac:dyDescent="0.3">
      <c r="A9" s="207" t="s">
        <v>105</v>
      </c>
      <c r="B9" s="207">
        <v>320244</v>
      </c>
      <c r="C9" s="207">
        <v>354782</v>
      </c>
      <c r="D9" s="207">
        <v>367348</v>
      </c>
      <c r="E9" s="207">
        <v>0</v>
      </c>
      <c r="F9" s="207">
        <v>0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</row>
    <row r="10" spans="1:13" ht="14.4" customHeight="1" x14ac:dyDescent="0.3">
      <c r="A10" s="207" t="s">
        <v>79</v>
      </c>
      <c r="B10" s="208">
        <f>B9/1000</f>
        <v>320.24400000000003</v>
      </c>
      <c r="C10" s="208">
        <f t="shared" ref="C10:M10" si="3">C9/1000+B10</f>
        <v>675.02600000000007</v>
      </c>
      <c r="D10" s="208">
        <f t="shared" si="3"/>
        <v>1042.374</v>
      </c>
      <c r="E10" s="208">
        <f t="shared" si="3"/>
        <v>1042.374</v>
      </c>
      <c r="F10" s="208">
        <f t="shared" si="3"/>
        <v>1042.374</v>
      </c>
      <c r="G10" s="208">
        <f t="shared" si="3"/>
        <v>1042.374</v>
      </c>
      <c r="H10" s="208">
        <f t="shared" si="3"/>
        <v>1042.374</v>
      </c>
      <c r="I10" s="208">
        <f t="shared" si="3"/>
        <v>1042.374</v>
      </c>
      <c r="J10" s="208">
        <f t="shared" si="3"/>
        <v>1042.374</v>
      </c>
      <c r="K10" s="208">
        <f t="shared" si="3"/>
        <v>1042.374</v>
      </c>
      <c r="L10" s="208">
        <f t="shared" si="3"/>
        <v>1042.374</v>
      </c>
      <c r="M10" s="208">
        <f t="shared" si="3"/>
        <v>1042.374</v>
      </c>
    </row>
    <row r="11" spans="1:13" ht="14.4" customHeight="1" x14ac:dyDescent="0.3">
      <c r="A11" s="203"/>
      <c r="B11" s="203" t="s">
        <v>94</v>
      </c>
      <c r="C11" s="203">
        <f ca="1">IF(MONTH(TODAY())=1,12,MONTH(TODAY())-1)</f>
        <v>3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</row>
    <row r="12" spans="1:13" ht="14.4" customHeight="1" x14ac:dyDescent="0.3">
      <c r="A12" s="203">
        <v>0</v>
      </c>
      <c r="B12" s="206">
        <f>IF(ISERROR(HI!F15),#REF!,HI!F15)</f>
        <v>0.25274635659914707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</row>
    <row r="13" spans="1:13" ht="14.4" customHeight="1" x14ac:dyDescent="0.3">
      <c r="A13" s="203">
        <v>1</v>
      </c>
      <c r="B13" s="206">
        <f>IF(ISERROR(HI!F15),#REF!,HI!F15)</f>
        <v>0.25274635659914707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9" customFormat="1" ht="18.600000000000001" customHeight="1" thickBot="1" x14ac:dyDescent="0.4">
      <c r="A1" s="339" t="s">
        <v>283</v>
      </c>
      <c r="B1" s="339"/>
      <c r="C1" s="339"/>
      <c r="D1" s="339"/>
      <c r="E1" s="339"/>
      <c r="F1" s="339"/>
      <c r="G1" s="339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s="209" customFormat="1" ht="14.4" customHeight="1" thickBot="1" x14ac:dyDescent="0.3">
      <c r="A2" s="240" t="s">
        <v>281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17" ht="14.4" customHeight="1" x14ac:dyDescent="0.3">
      <c r="A3" s="76"/>
      <c r="B3" s="340" t="s">
        <v>29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141"/>
      <c r="Q3" s="143"/>
    </row>
    <row r="4" spans="1:17" ht="14.4" customHeight="1" x14ac:dyDescent="0.3">
      <c r="A4" s="77"/>
      <c r="B4" s="20">
        <v>2015</v>
      </c>
      <c r="C4" s="142" t="s">
        <v>30</v>
      </c>
      <c r="D4" s="132" t="s">
        <v>259</v>
      </c>
      <c r="E4" s="132" t="s">
        <v>260</v>
      </c>
      <c r="F4" s="132" t="s">
        <v>261</v>
      </c>
      <c r="G4" s="132" t="s">
        <v>262</v>
      </c>
      <c r="H4" s="132" t="s">
        <v>263</v>
      </c>
      <c r="I4" s="132" t="s">
        <v>264</v>
      </c>
      <c r="J4" s="132" t="s">
        <v>265</v>
      </c>
      <c r="K4" s="132" t="s">
        <v>266</v>
      </c>
      <c r="L4" s="132" t="s">
        <v>267</v>
      </c>
      <c r="M4" s="132" t="s">
        <v>268</v>
      </c>
      <c r="N4" s="132" t="s">
        <v>269</v>
      </c>
      <c r="O4" s="132" t="s">
        <v>270</v>
      </c>
      <c r="P4" s="342" t="s">
        <v>3</v>
      </c>
      <c r="Q4" s="343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282</v>
      </c>
    </row>
    <row r="7" spans="1:17" ht="14.4" customHeight="1" x14ac:dyDescent="0.3">
      <c r="A7" s="15" t="s">
        <v>35</v>
      </c>
      <c r="B7" s="51">
        <v>187.64416680688899</v>
      </c>
      <c r="C7" s="52">
        <v>15.637013900574001</v>
      </c>
      <c r="D7" s="52">
        <v>7.5985399999999998</v>
      </c>
      <c r="E7" s="52">
        <v>9.2232900000000004</v>
      </c>
      <c r="F7" s="52">
        <v>15.96308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32.784910000000004</v>
      </c>
      <c r="Q7" s="96">
        <v>0.69887405631400001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282</v>
      </c>
    </row>
    <row r="9" spans="1:17" ht="14.4" customHeight="1" x14ac:dyDescent="0.3">
      <c r="A9" s="15" t="s">
        <v>37</v>
      </c>
      <c r="B9" s="51">
        <v>2117.7227678873401</v>
      </c>
      <c r="C9" s="52">
        <v>176.476897323945</v>
      </c>
      <c r="D9" s="52">
        <v>35.609560000000002</v>
      </c>
      <c r="E9" s="52">
        <v>138.37891999999999</v>
      </c>
      <c r="F9" s="52">
        <v>146.95581000000001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320.94429000000002</v>
      </c>
      <c r="Q9" s="96">
        <v>0.60620643054199996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282</v>
      </c>
    </row>
    <row r="11" spans="1:17" ht="14.4" customHeight="1" x14ac:dyDescent="0.3">
      <c r="A11" s="15" t="s">
        <v>39</v>
      </c>
      <c r="B11" s="51">
        <v>49.580151179299001</v>
      </c>
      <c r="C11" s="52">
        <v>4.1316792649409999</v>
      </c>
      <c r="D11" s="52">
        <v>1.32958</v>
      </c>
      <c r="E11" s="52">
        <v>3.4500600000000001</v>
      </c>
      <c r="F11" s="52">
        <v>7.5003099999999998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12.279949999999999</v>
      </c>
      <c r="Q11" s="96">
        <v>0.99071501057599998</v>
      </c>
    </row>
    <row r="12" spans="1:17" ht="14.4" customHeight="1" x14ac:dyDescent="0.3">
      <c r="A12" s="15" t="s">
        <v>40</v>
      </c>
      <c r="B12" s="51">
        <v>37.342427302205998</v>
      </c>
      <c r="C12" s="52">
        <v>3.1118689418500001</v>
      </c>
      <c r="D12" s="52">
        <v>0</v>
      </c>
      <c r="E12" s="52">
        <v>0</v>
      </c>
      <c r="F12" s="52">
        <v>12.27017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12.27017</v>
      </c>
      <c r="Q12" s="96">
        <v>1.3143409131599999</v>
      </c>
    </row>
    <row r="13" spans="1:17" ht="14.4" customHeight="1" x14ac:dyDescent="0.3">
      <c r="A13" s="15" t="s">
        <v>41</v>
      </c>
      <c r="B13" s="51">
        <v>178.999994361934</v>
      </c>
      <c r="C13" s="52">
        <v>14.916666196827</v>
      </c>
      <c r="D13" s="52">
        <v>3.5501100000000001</v>
      </c>
      <c r="E13" s="52">
        <v>4.0151500000000002</v>
      </c>
      <c r="F13" s="52">
        <v>9.0798500000000004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16.645109999999999</v>
      </c>
      <c r="Q13" s="96">
        <v>0.37195777707799998</v>
      </c>
    </row>
    <row r="14" spans="1:17" ht="14.4" customHeight="1" x14ac:dyDescent="0.3">
      <c r="A14" s="15" t="s">
        <v>42</v>
      </c>
      <c r="B14" s="51">
        <v>380.09268640919203</v>
      </c>
      <c r="C14" s="52">
        <v>31.674390534099</v>
      </c>
      <c r="D14" s="52">
        <v>38.552999999999997</v>
      </c>
      <c r="E14" s="52">
        <v>32.590000000000003</v>
      </c>
      <c r="F14" s="52">
        <v>33.96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105.10299999999999</v>
      </c>
      <c r="Q14" s="96">
        <v>1.106077583264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282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282</v>
      </c>
    </row>
    <row r="17" spans="1:17" ht="14.4" customHeight="1" x14ac:dyDescent="0.3">
      <c r="A17" s="15" t="s">
        <v>45</v>
      </c>
      <c r="B17" s="51">
        <v>177.36953063971799</v>
      </c>
      <c r="C17" s="52">
        <v>14.780794219976</v>
      </c>
      <c r="D17" s="52">
        <v>0</v>
      </c>
      <c r="E17" s="52">
        <v>5.9290000000000003</v>
      </c>
      <c r="F17" s="52">
        <v>2.4491399999999999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8.3781400000000001</v>
      </c>
      <c r="Q17" s="96">
        <v>0.18894203462699999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1.8140000000000001</v>
      </c>
      <c r="E18" s="52">
        <v>0</v>
      </c>
      <c r="F18" s="52">
        <v>2.5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4.3140000000000001</v>
      </c>
      <c r="Q18" s="96" t="s">
        <v>282</v>
      </c>
    </row>
    <row r="19" spans="1:17" ht="14.4" customHeight="1" x14ac:dyDescent="0.3">
      <c r="A19" s="15" t="s">
        <v>47</v>
      </c>
      <c r="B19" s="51">
        <v>375.37432560070499</v>
      </c>
      <c r="C19" s="52">
        <v>31.281193800057999</v>
      </c>
      <c r="D19" s="52">
        <v>47.051439999999999</v>
      </c>
      <c r="E19" s="52">
        <v>28.53125</v>
      </c>
      <c r="F19" s="52">
        <v>30.839220000000001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106.42191</v>
      </c>
      <c r="Q19" s="96">
        <v>1.134035044402</v>
      </c>
    </row>
    <row r="20" spans="1:17" ht="14.4" customHeight="1" x14ac:dyDescent="0.3">
      <c r="A20" s="15" t="s">
        <v>48</v>
      </c>
      <c r="B20" s="51">
        <v>10147.9996803626</v>
      </c>
      <c r="C20" s="52">
        <v>845.66664003021594</v>
      </c>
      <c r="D20" s="52">
        <v>807.10091</v>
      </c>
      <c r="E20" s="52">
        <v>824.31115000000204</v>
      </c>
      <c r="F20" s="52">
        <v>843.18367999999998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2474.5957400000002</v>
      </c>
      <c r="Q20" s="96">
        <v>0.97540237207000002</v>
      </c>
    </row>
    <row r="21" spans="1:17" ht="14.4" customHeight="1" x14ac:dyDescent="0.3">
      <c r="A21" s="16" t="s">
        <v>49</v>
      </c>
      <c r="B21" s="51">
        <v>706.99718157935399</v>
      </c>
      <c r="C21" s="52">
        <v>58.916431798279</v>
      </c>
      <c r="D21" s="52">
        <v>59.091000000000001</v>
      </c>
      <c r="E21" s="52">
        <v>59.091000000000001</v>
      </c>
      <c r="F21" s="52">
        <v>59.896999999999998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178.07900000000001</v>
      </c>
      <c r="Q21" s="96">
        <v>1.007523111207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10.78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10.78</v>
      </c>
      <c r="Q22" s="96" t="s">
        <v>282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282</v>
      </c>
    </row>
    <row r="24" spans="1:17" ht="14.4" customHeight="1" x14ac:dyDescent="0.3">
      <c r="A24" s="16" t="s">
        <v>52</v>
      </c>
      <c r="B24" s="51">
        <v>-1.8189894035458601E-12</v>
      </c>
      <c r="C24" s="52">
        <v>0</v>
      </c>
      <c r="D24" s="52">
        <v>3.89757</v>
      </c>
      <c r="E24" s="52">
        <v>2.00021</v>
      </c>
      <c r="F24" s="52">
        <v>3.8999999999999999E-4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5.8981700000000004</v>
      </c>
      <c r="Q24" s="96"/>
    </row>
    <row r="25" spans="1:17" ht="14.4" customHeight="1" x14ac:dyDescent="0.3">
      <c r="A25" s="17" t="s">
        <v>53</v>
      </c>
      <c r="B25" s="54">
        <v>14359.1229121292</v>
      </c>
      <c r="C25" s="55">
        <v>1196.59357601077</v>
      </c>
      <c r="D25" s="55">
        <v>1005.5957100000001</v>
      </c>
      <c r="E25" s="55">
        <v>1118.3000300000001</v>
      </c>
      <c r="F25" s="55">
        <v>1164.5986499999999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3288.4943899999998</v>
      </c>
      <c r="Q25" s="97">
        <v>0.91607110270500003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115.61662</v>
      </c>
      <c r="E26" s="52">
        <v>124.04246000000001</v>
      </c>
      <c r="F26" s="52">
        <v>136.35830000000001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376.01738</v>
      </c>
      <c r="Q26" s="96" t="s">
        <v>282</v>
      </c>
    </row>
    <row r="27" spans="1:17" ht="14.4" customHeight="1" x14ac:dyDescent="0.3">
      <c r="A27" s="18" t="s">
        <v>55</v>
      </c>
      <c r="B27" s="54">
        <v>14359.1229121292</v>
      </c>
      <c r="C27" s="55">
        <v>1196.59357601077</v>
      </c>
      <c r="D27" s="55">
        <v>1121.2123300000001</v>
      </c>
      <c r="E27" s="55">
        <v>1242.34249</v>
      </c>
      <c r="F27" s="55">
        <v>1300.95695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3664.5117700000001</v>
      </c>
      <c r="Q27" s="97">
        <v>1.0208177177460001</v>
      </c>
    </row>
    <row r="28" spans="1:17" ht="14.4" customHeight="1" x14ac:dyDescent="0.3">
      <c r="A28" s="16" t="s">
        <v>56</v>
      </c>
      <c r="B28" s="51">
        <v>1198.11838820763</v>
      </c>
      <c r="C28" s="52">
        <v>99.843199017301998</v>
      </c>
      <c r="D28" s="52">
        <v>111.17778</v>
      </c>
      <c r="E28" s="52">
        <v>119.26938</v>
      </c>
      <c r="F28" s="52">
        <v>59.89584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290.34300000000002</v>
      </c>
      <c r="Q28" s="96">
        <v>0.96932991883800002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282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10.78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10.78</v>
      </c>
      <c r="Q31" s="98" t="s">
        <v>282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162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279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39" t="s">
        <v>61</v>
      </c>
      <c r="B1" s="339"/>
      <c r="C1" s="339"/>
      <c r="D1" s="339"/>
      <c r="E1" s="339"/>
      <c r="F1" s="339"/>
      <c r="G1" s="339"/>
      <c r="H1" s="344"/>
      <c r="I1" s="344"/>
      <c r="J1" s="344"/>
      <c r="K1" s="344"/>
    </row>
    <row r="2" spans="1:11" s="60" customFormat="1" ht="14.4" customHeight="1" thickBot="1" x14ac:dyDescent="0.35">
      <c r="A2" s="240" t="s">
        <v>281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0" t="s">
        <v>62</v>
      </c>
      <c r="C3" s="341"/>
      <c r="D3" s="341"/>
      <c r="E3" s="341"/>
      <c r="F3" s="347" t="s">
        <v>63</v>
      </c>
      <c r="G3" s="341"/>
      <c r="H3" s="341"/>
      <c r="I3" s="341"/>
      <c r="J3" s="341"/>
      <c r="K3" s="348"/>
    </row>
    <row r="4" spans="1:11" ht="14.4" customHeight="1" x14ac:dyDescent="0.3">
      <c r="A4" s="77"/>
      <c r="B4" s="345"/>
      <c r="C4" s="346"/>
      <c r="D4" s="346"/>
      <c r="E4" s="346"/>
      <c r="F4" s="349" t="s">
        <v>275</v>
      </c>
      <c r="G4" s="351" t="s">
        <v>64</v>
      </c>
      <c r="H4" s="144" t="s">
        <v>146</v>
      </c>
      <c r="I4" s="349" t="s">
        <v>65</v>
      </c>
      <c r="J4" s="351" t="s">
        <v>277</v>
      </c>
      <c r="K4" s="352" t="s">
        <v>278</v>
      </c>
    </row>
    <row r="5" spans="1:11" ht="42" thickBot="1" x14ac:dyDescent="0.35">
      <c r="A5" s="78"/>
      <c r="B5" s="24" t="s">
        <v>271</v>
      </c>
      <c r="C5" s="25" t="s">
        <v>272</v>
      </c>
      <c r="D5" s="26" t="s">
        <v>273</v>
      </c>
      <c r="E5" s="26" t="s">
        <v>274</v>
      </c>
      <c r="F5" s="350"/>
      <c r="G5" s="350"/>
      <c r="H5" s="25" t="s">
        <v>276</v>
      </c>
      <c r="I5" s="350"/>
      <c r="J5" s="350"/>
      <c r="K5" s="353"/>
    </row>
    <row r="6" spans="1:11" ht="14.4" customHeight="1" thickBot="1" x14ac:dyDescent="0.35">
      <c r="A6" s="441" t="s">
        <v>284</v>
      </c>
      <c r="B6" s="423">
        <v>14410.285970278899</v>
      </c>
      <c r="C6" s="423">
        <v>14695.057419999999</v>
      </c>
      <c r="D6" s="424">
        <v>284.77144972113302</v>
      </c>
      <c r="E6" s="425">
        <v>1.019761679283</v>
      </c>
      <c r="F6" s="423">
        <v>14359.1229121292</v>
      </c>
      <c r="G6" s="424">
        <v>3589.78072803231</v>
      </c>
      <c r="H6" s="426">
        <v>1164.5986499999999</v>
      </c>
      <c r="I6" s="423">
        <v>3288.4943899999998</v>
      </c>
      <c r="J6" s="424">
        <v>-301.28633803230503</v>
      </c>
      <c r="K6" s="427">
        <v>0.22901777567600001</v>
      </c>
    </row>
    <row r="7" spans="1:11" ht="14.4" customHeight="1" thickBot="1" x14ac:dyDescent="0.35">
      <c r="A7" s="442" t="s">
        <v>285</v>
      </c>
      <c r="B7" s="423">
        <v>3031.61570736055</v>
      </c>
      <c r="C7" s="423">
        <v>2687.8569600000001</v>
      </c>
      <c r="D7" s="424">
        <v>-343.75874736054999</v>
      </c>
      <c r="E7" s="425">
        <v>0.88660873258899997</v>
      </c>
      <c r="F7" s="423">
        <v>2951.3821939468598</v>
      </c>
      <c r="G7" s="424">
        <v>737.84554848671598</v>
      </c>
      <c r="H7" s="426">
        <v>225.72961000000001</v>
      </c>
      <c r="I7" s="423">
        <v>500.02834999999999</v>
      </c>
      <c r="J7" s="424">
        <v>-237.817198486715</v>
      </c>
      <c r="K7" s="427">
        <v>0.169421754669</v>
      </c>
    </row>
    <row r="8" spans="1:11" ht="14.4" customHeight="1" thickBot="1" x14ac:dyDescent="0.35">
      <c r="A8" s="443" t="s">
        <v>286</v>
      </c>
      <c r="B8" s="423">
        <v>2631.2959112076001</v>
      </c>
      <c r="C8" s="423">
        <v>2329.8729600000001</v>
      </c>
      <c r="D8" s="424">
        <v>-301.42295120759798</v>
      </c>
      <c r="E8" s="425">
        <v>0.88544695793200001</v>
      </c>
      <c r="F8" s="423">
        <v>2571.28950753767</v>
      </c>
      <c r="G8" s="424">
        <v>642.82237688441796</v>
      </c>
      <c r="H8" s="426">
        <v>191.76961</v>
      </c>
      <c r="I8" s="423">
        <v>394.92534999999998</v>
      </c>
      <c r="J8" s="424">
        <v>-247.89702688441699</v>
      </c>
      <c r="K8" s="427">
        <v>0.153590386785</v>
      </c>
    </row>
    <row r="9" spans="1:11" ht="14.4" customHeight="1" thickBot="1" x14ac:dyDescent="0.35">
      <c r="A9" s="444" t="s">
        <v>287</v>
      </c>
      <c r="B9" s="428">
        <v>0</v>
      </c>
      <c r="C9" s="428">
        <v>-3.00000000000018E-5</v>
      </c>
      <c r="D9" s="429">
        <v>-3.00000000000018E-5</v>
      </c>
      <c r="E9" s="430" t="s">
        <v>282</v>
      </c>
      <c r="F9" s="428">
        <v>0</v>
      </c>
      <c r="G9" s="429">
        <v>0</v>
      </c>
      <c r="H9" s="431">
        <v>3.8999999999999999E-4</v>
      </c>
      <c r="I9" s="428">
        <v>9.2000000000000003E-4</v>
      </c>
      <c r="J9" s="429">
        <v>9.2000000000000003E-4</v>
      </c>
      <c r="K9" s="432" t="s">
        <v>282</v>
      </c>
    </row>
    <row r="10" spans="1:11" ht="14.4" customHeight="1" thickBot="1" x14ac:dyDescent="0.35">
      <c r="A10" s="445" t="s">
        <v>288</v>
      </c>
      <c r="B10" s="423">
        <v>0</v>
      </c>
      <c r="C10" s="423">
        <v>-3.00000000000018E-5</v>
      </c>
      <c r="D10" s="424">
        <v>-3.00000000000018E-5</v>
      </c>
      <c r="E10" s="433" t="s">
        <v>282</v>
      </c>
      <c r="F10" s="423">
        <v>0</v>
      </c>
      <c r="G10" s="424">
        <v>0</v>
      </c>
      <c r="H10" s="426">
        <v>3.8999999999999999E-4</v>
      </c>
      <c r="I10" s="423">
        <v>9.2000000000000003E-4</v>
      </c>
      <c r="J10" s="424">
        <v>9.2000000000000003E-4</v>
      </c>
      <c r="K10" s="434" t="s">
        <v>282</v>
      </c>
    </row>
    <row r="11" spans="1:11" ht="14.4" customHeight="1" thickBot="1" x14ac:dyDescent="0.35">
      <c r="A11" s="444" t="s">
        <v>289</v>
      </c>
      <c r="B11" s="428">
        <v>144.059134131088</v>
      </c>
      <c r="C11" s="428">
        <v>145.99010000000001</v>
      </c>
      <c r="D11" s="429">
        <v>1.9309658689119999</v>
      </c>
      <c r="E11" s="435">
        <v>1.013403980806</v>
      </c>
      <c r="F11" s="428">
        <v>187.64416680688899</v>
      </c>
      <c r="G11" s="429">
        <v>46.911041701721999</v>
      </c>
      <c r="H11" s="431">
        <v>15.96308</v>
      </c>
      <c r="I11" s="428">
        <v>32.784910000000004</v>
      </c>
      <c r="J11" s="429">
        <v>-14.126131701722</v>
      </c>
      <c r="K11" s="436">
        <v>0.17471851407799999</v>
      </c>
    </row>
    <row r="12" spans="1:11" ht="14.4" customHeight="1" thickBot="1" x14ac:dyDescent="0.35">
      <c r="A12" s="445" t="s">
        <v>290</v>
      </c>
      <c r="B12" s="423">
        <v>115.956099177507</v>
      </c>
      <c r="C12" s="423">
        <v>118.01636000000001</v>
      </c>
      <c r="D12" s="424">
        <v>2.0602608224929999</v>
      </c>
      <c r="E12" s="425">
        <v>1.0177675933999999</v>
      </c>
      <c r="F12" s="423">
        <v>160.862341011322</v>
      </c>
      <c r="G12" s="424">
        <v>40.215585252830003</v>
      </c>
      <c r="H12" s="426">
        <v>13.4108</v>
      </c>
      <c r="I12" s="423">
        <v>27.615760000000002</v>
      </c>
      <c r="J12" s="424">
        <v>-12.59982525283</v>
      </c>
      <c r="K12" s="427">
        <v>0.17167324450400001</v>
      </c>
    </row>
    <row r="13" spans="1:11" ht="14.4" customHeight="1" thickBot="1" x14ac:dyDescent="0.35">
      <c r="A13" s="445" t="s">
        <v>291</v>
      </c>
      <c r="B13" s="423">
        <v>28.103034953580998</v>
      </c>
      <c r="C13" s="423">
        <v>27.973739999999999</v>
      </c>
      <c r="D13" s="424">
        <v>-0.12929495358099999</v>
      </c>
      <c r="E13" s="425">
        <v>0.99539925300599996</v>
      </c>
      <c r="F13" s="423">
        <v>26.781825795566998</v>
      </c>
      <c r="G13" s="424">
        <v>6.695456448891</v>
      </c>
      <c r="H13" s="426">
        <v>2.5522800000000001</v>
      </c>
      <c r="I13" s="423">
        <v>5.1691500000000001</v>
      </c>
      <c r="J13" s="424">
        <v>-1.5263064488910001</v>
      </c>
      <c r="K13" s="427">
        <v>0.19300961926400001</v>
      </c>
    </row>
    <row r="14" spans="1:11" ht="14.4" customHeight="1" thickBot="1" x14ac:dyDescent="0.35">
      <c r="A14" s="444" t="s">
        <v>292</v>
      </c>
      <c r="B14" s="428">
        <v>2118.29316622431</v>
      </c>
      <c r="C14" s="428">
        <v>1905.7286099999999</v>
      </c>
      <c r="D14" s="429">
        <v>-212.56455622431099</v>
      </c>
      <c r="E14" s="435">
        <v>0.89965290941999998</v>
      </c>
      <c r="F14" s="428">
        <v>2117.7227678873401</v>
      </c>
      <c r="G14" s="429">
        <v>529.43069197183604</v>
      </c>
      <c r="H14" s="431">
        <v>146.95581000000001</v>
      </c>
      <c r="I14" s="428">
        <v>320.94429000000002</v>
      </c>
      <c r="J14" s="429">
        <v>-208.48640197183499</v>
      </c>
      <c r="K14" s="436">
        <v>0.151551607635</v>
      </c>
    </row>
    <row r="15" spans="1:11" ht="14.4" customHeight="1" thickBot="1" x14ac:dyDescent="0.35">
      <c r="A15" s="445" t="s">
        <v>293</v>
      </c>
      <c r="B15" s="423">
        <v>57.999991384965</v>
      </c>
      <c r="C15" s="423">
        <v>53.413069999999998</v>
      </c>
      <c r="D15" s="424">
        <v>-4.5869213849649997</v>
      </c>
      <c r="E15" s="425">
        <v>0.92091513678799997</v>
      </c>
      <c r="F15" s="423">
        <v>63.999997984155002</v>
      </c>
      <c r="G15" s="424">
        <v>15.999999496038001</v>
      </c>
      <c r="H15" s="426">
        <v>0</v>
      </c>
      <c r="I15" s="423">
        <v>10.25656</v>
      </c>
      <c r="J15" s="424">
        <v>-5.7434394960380004</v>
      </c>
      <c r="K15" s="427">
        <v>0.16025875504699999</v>
      </c>
    </row>
    <row r="16" spans="1:11" ht="14.4" customHeight="1" thickBot="1" x14ac:dyDescent="0.35">
      <c r="A16" s="445" t="s">
        <v>294</v>
      </c>
      <c r="B16" s="423">
        <v>399.99978462413401</v>
      </c>
      <c r="C16" s="423">
        <v>172.1739</v>
      </c>
      <c r="D16" s="424">
        <v>-227.82588462413301</v>
      </c>
      <c r="E16" s="425">
        <v>0.43043498176299999</v>
      </c>
      <c r="F16" s="423">
        <v>149.999995275364</v>
      </c>
      <c r="G16" s="424">
        <v>37.499998818839998</v>
      </c>
      <c r="H16" s="426">
        <v>0</v>
      </c>
      <c r="I16" s="423">
        <v>0</v>
      </c>
      <c r="J16" s="424">
        <v>-37.499998818839998</v>
      </c>
      <c r="K16" s="427">
        <v>0</v>
      </c>
    </row>
    <row r="17" spans="1:11" ht="14.4" customHeight="1" thickBot="1" x14ac:dyDescent="0.35">
      <c r="A17" s="445" t="s">
        <v>295</v>
      </c>
      <c r="B17" s="423">
        <v>599.99982931462</v>
      </c>
      <c r="C17" s="423">
        <v>597.67963999999995</v>
      </c>
      <c r="D17" s="424">
        <v>-2.3201893146189998</v>
      </c>
      <c r="E17" s="425">
        <v>0.99613301670800003</v>
      </c>
      <c r="F17" s="423">
        <v>599.99998110145395</v>
      </c>
      <c r="G17" s="424">
        <v>149.999995275364</v>
      </c>
      <c r="H17" s="426">
        <v>53.119059999999998</v>
      </c>
      <c r="I17" s="423">
        <v>100.31905999999999</v>
      </c>
      <c r="J17" s="424">
        <v>-49.680935275362998</v>
      </c>
      <c r="K17" s="427">
        <v>0.16719843859899999</v>
      </c>
    </row>
    <row r="18" spans="1:11" ht="14.4" customHeight="1" thickBot="1" x14ac:dyDescent="0.35">
      <c r="A18" s="445" t="s">
        <v>296</v>
      </c>
      <c r="B18" s="423">
        <v>0</v>
      </c>
      <c r="C18" s="423">
        <v>0</v>
      </c>
      <c r="D18" s="424">
        <v>0</v>
      </c>
      <c r="E18" s="425">
        <v>1</v>
      </c>
      <c r="F18" s="423">
        <v>45</v>
      </c>
      <c r="G18" s="424">
        <v>11.25</v>
      </c>
      <c r="H18" s="426">
        <v>0</v>
      </c>
      <c r="I18" s="423">
        <v>0</v>
      </c>
      <c r="J18" s="424">
        <v>-11.25</v>
      </c>
      <c r="K18" s="427">
        <v>0</v>
      </c>
    </row>
    <row r="19" spans="1:11" ht="14.4" customHeight="1" thickBot="1" x14ac:dyDescent="0.35">
      <c r="A19" s="445" t="s">
        <v>297</v>
      </c>
      <c r="B19" s="423">
        <v>264.01972221030297</v>
      </c>
      <c r="C19" s="423">
        <v>256.24878999999999</v>
      </c>
      <c r="D19" s="424">
        <v>-7.7709322103030001</v>
      </c>
      <c r="E19" s="425">
        <v>0.97056684953200001</v>
      </c>
      <c r="F19" s="423">
        <v>354.92981404305698</v>
      </c>
      <c r="G19" s="424">
        <v>88.732453510764003</v>
      </c>
      <c r="H19" s="426">
        <v>37.264629999999997</v>
      </c>
      <c r="I19" s="423">
        <v>49.54016</v>
      </c>
      <c r="J19" s="424">
        <v>-39.192293510764003</v>
      </c>
      <c r="K19" s="427">
        <v>0.13957734188500001</v>
      </c>
    </row>
    <row r="20" spans="1:11" ht="14.4" customHeight="1" thickBot="1" x14ac:dyDescent="0.35">
      <c r="A20" s="445" t="s">
        <v>298</v>
      </c>
      <c r="B20" s="423">
        <v>133.11115353635901</v>
      </c>
      <c r="C20" s="423">
        <v>134.75585000000001</v>
      </c>
      <c r="D20" s="424">
        <v>1.644696463641</v>
      </c>
      <c r="E20" s="425">
        <v>1.0123558125659999</v>
      </c>
      <c r="F20" s="423">
        <v>215.94345656095101</v>
      </c>
      <c r="G20" s="424">
        <v>53.985864140236998</v>
      </c>
      <c r="H20" s="426">
        <v>6.6034600000000001</v>
      </c>
      <c r="I20" s="423">
        <v>18.522690000000001</v>
      </c>
      <c r="J20" s="424">
        <v>-35.463174140237001</v>
      </c>
      <c r="K20" s="427">
        <v>8.577564838E-2</v>
      </c>
    </row>
    <row r="21" spans="1:11" ht="14.4" customHeight="1" thickBot="1" x14ac:dyDescent="0.35">
      <c r="A21" s="445" t="s">
        <v>299</v>
      </c>
      <c r="B21" s="423">
        <v>9.000099799989</v>
      </c>
      <c r="C21" s="423">
        <v>0.24510000000000001</v>
      </c>
      <c r="D21" s="424">
        <v>-8.7549997999889992</v>
      </c>
      <c r="E21" s="425">
        <v>2.7233031349E-2</v>
      </c>
      <c r="F21" s="423">
        <v>0.24509999227900001</v>
      </c>
      <c r="G21" s="424">
        <v>6.1274998068999997E-2</v>
      </c>
      <c r="H21" s="426">
        <v>0</v>
      </c>
      <c r="I21" s="423">
        <v>0</v>
      </c>
      <c r="J21" s="424">
        <v>-6.1274998068999997E-2</v>
      </c>
      <c r="K21" s="427">
        <v>0</v>
      </c>
    </row>
    <row r="22" spans="1:11" ht="14.4" customHeight="1" thickBot="1" x14ac:dyDescent="0.35">
      <c r="A22" s="445" t="s">
        <v>300</v>
      </c>
      <c r="B22" s="423">
        <v>575.60342709220197</v>
      </c>
      <c r="C22" s="423">
        <v>587.53479000000004</v>
      </c>
      <c r="D22" s="424">
        <v>11.931362907798</v>
      </c>
      <c r="E22" s="425">
        <v>1.020728443136</v>
      </c>
      <c r="F22" s="423">
        <v>539.71703364557902</v>
      </c>
      <c r="G22" s="424">
        <v>134.92925841139501</v>
      </c>
      <c r="H22" s="426">
        <v>42.168170000000003</v>
      </c>
      <c r="I22" s="423">
        <v>124.75391999999999</v>
      </c>
      <c r="J22" s="424">
        <v>-10.175338411394</v>
      </c>
      <c r="K22" s="427">
        <v>0.23114690147399999</v>
      </c>
    </row>
    <row r="23" spans="1:11" ht="14.4" customHeight="1" thickBot="1" x14ac:dyDescent="0.35">
      <c r="A23" s="445" t="s">
        <v>301</v>
      </c>
      <c r="B23" s="423">
        <v>2.7098645096520002</v>
      </c>
      <c r="C23" s="423">
        <v>1.5385599999999999</v>
      </c>
      <c r="D23" s="424">
        <v>-1.1713045096520001</v>
      </c>
      <c r="E23" s="425">
        <v>0.56776270345500002</v>
      </c>
      <c r="F23" s="423">
        <v>15.999999496038001</v>
      </c>
      <c r="G23" s="424">
        <v>3.9999998740090001</v>
      </c>
      <c r="H23" s="426">
        <v>0.109</v>
      </c>
      <c r="I23" s="423">
        <v>1.3635299999999999</v>
      </c>
      <c r="J23" s="424">
        <v>-2.6364698740089998</v>
      </c>
      <c r="K23" s="427">
        <v>8.5220627684000003E-2</v>
      </c>
    </row>
    <row r="24" spans="1:11" ht="14.4" customHeight="1" thickBot="1" x14ac:dyDescent="0.35">
      <c r="A24" s="445" t="s">
        <v>302</v>
      </c>
      <c r="B24" s="423">
        <v>33.849374790581003</v>
      </c>
      <c r="C24" s="423">
        <v>60.676409999999997</v>
      </c>
      <c r="D24" s="424">
        <v>26.827035209418</v>
      </c>
      <c r="E24" s="425">
        <v>1.7925415277350001</v>
      </c>
      <c r="F24" s="423">
        <v>89.888434913751993</v>
      </c>
      <c r="G24" s="424">
        <v>22.472108728437998</v>
      </c>
      <c r="H24" s="426">
        <v>5.0503</v>
      </c>
      <c r="I24" s="423">
        <v>6.5513000000000003</v>
      </c>
      <c r="J24" s="424">
        <v>-15.920808728438001</v>
      </c>
      <c r="K24" s="427">
        <v>7.2882568332999997E-2</v>
      </c>
    </row>
    <row r="25" spans="1:11" ht="14.4" customHeight="1" thickBot="1" x14ac:dyDescent="0.35">
      <c r="A25" s="445" t="s">
        <v>303</v>
      </c>
      <c r="B25" s="423">
        <v>41.999918961504001</v>
      </c>
      <c r="C25" s="423">
        <v>41.462499999999999</v>
      </c>
      <c r="D25" s="424">
        <v>-0.53741896150400004</v>
      </c>
      <c r="E25" s="425">
        <v>0.98720428575100005</v>
      </c>
      <c r="F25" s="423">
        <v>41.998954874711004</v>
      </c>
      <c r="G25" s="424">
        <v>10.499738718676999</v>
      </c>
      <c r="H25" s="426">
        <v>2.6411899999999999</v>
      </c>
      <c r="I25" s="423">
        <v>9.6370699999999996</v>
      </c>
      <c r="J25" s="424">
        <v>-0.86266871867700001</v>
      </c>
      <c r="K25" s="427">
        <v>0.22945975748</v>
      </c>
    </row>
    <row r="26" spans="1:11" ht="14.4" customHeight="1" thickBot="1" x14ac:dyDescent="0.35">
      <c r="A26" s="444" t="s">
        <v>304</v>
      </c>
      <c r="B26" s="428">
        <v>66.666134213592002</v>
      </c>
      <c r="C26" s="428">
        <v>59.165959999999998</v>
      </c>
      <c r="D26" s="429">
        <v>-7.5001742135920004</v>
      </c>
      <c r="E26" s="435">
        <v>0.88749648825299998</v>
      </c>
      <c r="F26" s="428">
        <v>49.580151179299001</v>
      </c>
      <c r="G26" s="429">
        <v>12.395037794824001</v>
      </c>
      <c r="H26" s="431">
        <v>7.5003099999999998</v>
      </c>
      <c r="I26" s="428">
        <v>12.279949999999999</v>
      </c>
      <c r="J26" s="429">
        <v>-0.115087794824</v>
      </c>
      <c r="K26" s="436">
        <v>0.24767875264399999</v>
      </c>
    </row>
    <row r="27" spans="1:11" ht="14.4" customHeight="1" thickBot="1" x14ac:dyDescent="0.35">
      <c r="A27" s="445" t="s">
        <v>305</v>
      </c>
      <c r="B27" s="423">
        <v>2.872533181988</v>
      </c>
      <c r="C27" s="423">
        <v>7.2831999999999999</v>
      </c>
      <c r="D27" s="424">
        <v>4.4106668180110002</v>
      </c>
      <c r="E27" s="425">
        <v>2.5354624432769999</v>
      </c>
      <c r="F27" s="423">
        <v>0</v>
      </c>
      <c r="G27" s="424">
        <v>0</v>
      </c>
      <c r="H27" s="426">
        <v>0.71389999999999998</v>
      </c>
      <c r="I27" s="423">
        <v>0.71389999999999998</v>
      </c>
      <c r="J27" s="424">
        <v>0.71389999999999998</v>
      </c>
      <c r="K27" s="434" t="s">
        <v>282</v>
      </c>
    </row>
    <row r="28" spans="1:11" ht="14.4" customHeight="1" thickBot="1" x14ac:dyDescent="0.35">
      <c r="A28" s="445" t="s">
        <v>306</v>
      </c>
      <c r="B28" s="423">
        <v>1.574307030565</v>
      </c>
      <c r="C28" s="423">
        <v>1.35358</v>
      </c>
      <c r="D28" s="424">
        <v>-0.22072703056500001</v>
      </c>
      <c r="E28" s="425">
        <v>0.85979416576300005</v>
      </c>
      <c r="F28" s="423">
        <v>0.99999996850200001</v>
      </c>
      <c r="G28" s="424">
        <v>0.24999999212499999</v>
      </c>
      <c r="H28" s="426">
        <v>7.1029999999999996E-2</v>
      </c>
      <c r="I28" s="423">
        <v>0.18672</v>
      </c>
      <c r="J28" s="424">
        <v>-6.3279992125000004E-2</v>
      </c>
      <c r="K28" s="427">
        <v>0.18672000588099999</v>
      </c>
    </row>
    <row r="29" spans="1:11" ht="14.4" customHeight="1" thickBot="1" x14ac:dyDescent="0.35">
      <c r="A29" s="445" t="s">
        <v>307</v>
      </c>
      <c r="B29" s="423">
        <v>13.322351368114999</v>
      </c>
      <c r="C29" s="423">
        <v>17.906700000000001</v>
      </c>
      <c r="D29" s="424">
        <v>4.5843486318839997</v>
      </c>
      <c r="E29" s="425">
        <v>1.344109572342</v>
      </c>
      <c r="F29" s="423">
        <v>15.719037466403</v>
      </c>
      <c r="G29" s="424">
        <v>3.9297593665999999</v>
      </c>
      <c r="H29" s="426">
        <v>2.5774400000000002</v>
      </c>
      <c r="I29" s="423">
        <v>4.6081700000000003</v>
      </c>
      <c r="J29" s="424">
        <v>0.67841063339899998</v>
      </c>
      <c r="K29" s="427">
        <v>0.293158535301</v>
      </c>
    </row>
    <row r="30" spans="1:11" ht="14.4" customHeight="1" thickBot="1" x14ac:dyDescent="0.35">
      <c r="A30" s="445" t="s">
        <v>308</v>
      </c>
      <c r="B30" s="423">
        <v>16.628718342587</v>
      </c>
      <c r="C30" s="423">
        <v>12.059010000000001</v>
      </c>
      <c r="D30" s="424">
        <v>-4.569708342587</v>
      </c>
      <c r="E30" s="425">
        <v>0.72519178878099999</v>
      </c>
      <c r="F30" s="423">
        <v>10.999999653526</v>
      </c>
      <c r="G30" s="424">
        <v>2.749999913381</v>
      </c>
      <c r="H30" s="426">
        <v>1.3332900000000001</v>
      </c>
      <c r="I30" s="423">
        <v>3.0832099999999998</v>
      </c>
      <c r="J30" s="424">
        <v>0.333210086618</v>
      </c>
      <c r="K30" s="427">
        <v>0.28029182700999999</v>
      </c>
    </row>
    <row r="31" spans="1:11" ht="14.4" customHeight="1" thickBot="1" x14ac:dyDescent="0.35">
      <c r="A31" s="445" t="s">
        <v>309</v>
      </c>
      <c r="B31" s="423">
        <v>4.9995948694530004</v>
      </c>
      <c r="C31" s="423">
        <v>2.2378</v>
      </c>
      <c r="D31" s="424">
        <v>-2.7617948694529999</v>
      </c>
      <c r="E31" s="425">
        <v>0.44759626698400001</v>
      </c>
      <c r="F31" s="423">
        <v>4.9999998425119996</v>
      </c>
      <c r="G31" s="424">
        <v>1.2499999606279999</v>
      </c>
      <c r="H31" s="426">
        <v>0</v>
      </c>
      <c r="I31" s="423">
        <v>0</v>
      </c>
      <c r="J31" s="424">
        <v>-1.2499999606279999</v>
      </c>
      <c r="K31" s="427">
        <v>0</v>
      </c>
    </row>
    <row r="32" spans="1:11" ht="14.4" customHeight="1" thickBot="1" x14ac:dyDescent="0.35">
      <c r="A32" s="445" t="s">
        <v>310</v>
      </c>
      <c r="B32" s="423">
        <v>4.129036613387</v>
      </c>
      <c r="C32" s="423">
        <v>3.13998</v>
      </c>
      <c r="D32" s="424">
        <v>-0.98905661338700002</v>
      </c>
      <c r="E32" s="425">
        <v>0.76046310410899998</v>
      </c>
      <c r="F32" s="423">
        <v>3.2655632784650002</v>
      </c>
      <c r="G32" s="424">
        <v>0.81639081961600002</v>
      </c>
      <c r="H32" s="426">
        <v>0</v>
      </c>
      <c r="I32" s="423">
        <v>0</v>
      </c>
      <c r="J32" s="424">
        <v>-0.81639081961600002</v>
      </c>
      <c r="K32" s="427">
        <v>0</v>
      </c>
    </row>
    <row r="33" spans="1:11" ht="14.4" customHeight="1" thickBot="1" x14ac:dyDescent="0.35">
      <c r="A33" s="445" t="s">
        <v>311</v>
      </c>
      <c r="B33" s="423">
        <v>0</v>
      </c>
      <c r="C33" s="423">
        <v>0</v>
      </c>
      <c r="D33" s="424">
        <v>0</v>
      </c>
      <c r="E33" s="425">
        <v>1</v>
      </c>
      <c r="F33" s="423">
        <v>0</v>
      </c>
      <c r="G33" s="424">
        <v>0</v>
      </c>
      <c r="H33" s="426">
        <v>0</v>
      </c>
      <c r="I33" s="423">
        <v>0.42349999999999999</v>
      </c>
      <c r="J33" s="424">
        <v>0.42349999999999999</v>
      </c>
      <c r="K33" s="434" t="s">
        <v>312</v>
      </c>
    </row>
    <row r="34" spans="1:11" ht="14.4" customHeight="1" thickBot="1" x14ac:dyDescent="0.35">
      <c r="A34" s="445" t="s">
        <v>313</v>
      </c>
      <c r="B34" s="423">
        <v>14.766335388641</v>
      </c>
      <c r="C34" s="423">
        <v>8.1017499999999991</v>
      </c>
      <c r="D34" s="424">
        <v>-6.664585388641</v>
      </c>
      <c r="E34" s="425">
        <v>0.54866355035000003</v>
      </c>
      <c r="F34" s="423">
        <v>10.595551064383001</v>
      </c>
      <c r="G34" s="424">
        <v>2.6488877660950001</v>
      </c>
      <c r="H34" s="426">
        <v>0.65339999999999998</v>
      </c>
      <c r="I34" s="423">
        <v>1.0769</v>
      </c>
      <c r="J34" s="424">
        <v>-1.5719877660949999</v>
      </c>
      <c r="K34" s="427">
        <v>0.101636997779</v>
      </c>
    </row>
    <row r="35" spans="1:11" ht="14.4" customHeight="1" thickBot="1" x14ac:dyDescent="0.35">
      <c r="A35" s="445" t="s">
        <v>314</v>
      </c>
      <c r="B35" s="423">
        <v>8.3732574188529991</v>
      </c>
      <c r="C35" s="423">
        <v>7.0839400000000001</v>
      </c>
      <c r="D35" s="424">
        <v>-1.2893174188530001</v>
      </c>
      <c r="E35" s="425">
        <v>0.84601961287399996</v>
      </c>
      <c r="F35" s="423">
        <v>2.9999999055069999</v>
      </c>
      <c r="G35" s="424">
        <v>0.74999997637600002</v>
      </c>
      <c r="H35" s="426">
        <v>2.1512500000000001</v>
      </c>
      <c r="I35" s="423">
        <v>2.1875499999999999</v>
      </c>
      <c r="J35" s="424">
        <v>1.4375500236230001</v>
      </c>
      <c r="K35" s="427">
        <v>0.72918335629999997</v>
      </c>
    </row>
    <row r="36" spans="1:11" ht="14.4" customHeight="1" thickBot="1" x14ac:dyDescent="0.35">
      <c r="A36" s="444" t="s">
        <v>315</v>
      </c>
      <c r="B36" s="428">
        <v>18.244089757295999</v>
      </c>
      <c r="C36" s="428">
        <v>28.31287</v>
      </c>
      <c r="D36" s="429">
        <v>10.068780242703999</v>
      </c>
      <c r="E36" s="435">
        <v>1.551892715758</v>
      </c>
      <c r="F36" s="428">
        <v>37.342427302205998</v>
      </c>
      <c r="G36" s="429">
        <v>9.3356068255510003</v>
      </c>
      <c r="H36" s="431">
        <v>12.27017</v>
      </c>
      <c r="I36" s="428">
        <v>12.27017</v>
      </c>
      <c r="J36" s="429">
        <v>2.9345631744479999</v>
      </c>
      <c r="K36" s="436">
        <v>0.32858522828999998</v>
      </c>
    </row>
    <row r="37" spans="1:11" ht="14.4" customHeight="1" thickBot="1" x14ac:dyDescent="0.35">
      <c r="A37" s="445" t="s">
        <v>316</v>
      </c>
      <c r="B37" s="423">
        <v>0.93244233989900005</v>
      </c>
      <c r="C37" s="423">
        <v>1.49</v>
      </c>
      <c r="D37" s="424">
        <v>0.55755766009999996</v>
      </c>
      <c r="E37" s="425">
        <v>1.597954035593</v>
      </c>
      <c r="F37" s="423">
        <v>0</v>
      </c>
      <c r="G37" s="424">
        <v>0</v>
      </c>
      <c r="H37" s="426">
        <v>0</v>
      </c>
      <c r="I37" s="423">
        <v>0</v>
      </c>
      <c r="J37" s="424">
        <v>0</v>
      </c>
      <c r="K37" s="427">
        <v>3</v>
      </c>
    </row>
    <row r="38" spans="1:11" ht="14.4" customHeight="1" thickBot="1" x14ac:dyDescent="0.35">
      <c r="A38" s="445" t="s">
        <v>317</v>
      </c>
      <c r="B38" s="423">
        <v>5.8283241405249999</v>
      </c>
      <c r="C38" s="423">
        <v>0.24199999999999999</v>
      </c>
      <c r="D38" s="424">
        <v>-5.5863241405249999</v>
      </c>
      <c r="E38" s="425">
        <v>4.1521369464000001E-2</v>
      </c>
      <c r="F38" s="423">
        <v>1.3097232742839999</v>
      </c>
      <c r="G38" s="424">
        <v>0.32743081857099998</v>
      </c>
      <c r="H38" s="426">
        <v>0</v>
      </c>
      <c r="I38" s="423">
        <v>0</v>
      </c>
      <c r="J38" s="424">
        <v>-0.32743081857099998</v>
      </c>
      <c r="K38" s="427">
        <v>0</v>
      </c>
    </row>
    <row r="39" spans="1:11" ht="14.4" customHeight="1" thickBot="1" x14ac:dyDescent="0.35">
      <c r="A39" s="445" t="s">
        <v>318</v>
      </c>
      <c r="B39" s="423">
        <v>8.4827637828259999</v>
      </c>
      <c r="C39" s="423">
        <v>25.239820000000002</v>
      </c>
      <c r="D39" s="424">
        <v>16.757056217173002</v>
      </c>
      <c r="E39" s="425">
        <v>2.975424124281</v>
      </c>
      <c r="F39" s="423">
        <v>33.032704122414003</v>
      </c>
      <c r="G39" s="424">
        <v>8.2581760306029999</v>
      </c>
      <c r="H39" s="426">
        <v>12.21067</v>
      </c>
      <c r="I39" s="423">
        <v>12.21067</v>
      </c>
      <c r="J39" s="424">
        <v>3.952493969396</v>
      </c>
      <c r="K39" s="427">
        <v>0.36965396337899997</v>
      </c>
    </row>
    <row r="40" spans="1:11" ht="14.4" customHeight="1" thickBot="1" x14ac:dyDescent="0.35">
      <c r="A40" s="445" t="s">
        <v>319</v>
      </c>
      <c r="B40" s="423">
        <v>0</v>
      </c>
      <c r="C40" s="423">
        <v>0.90749999999999997</v>
      </c>
      <c r="D40" s="424">
        <v>0.90749999999999997</v>
      </c>
      <c r="E40" s="433" t="s">
        <v>282</v>
      </c>
      <c r="F40" s="423">
        <v>0</v>
      </c>
      <c r="G40" s="424">
        <v>0</v>
      </c>
      <c r="H40" s="426">
        <v>0</v>
      </c>
      <c r="I40" s="423">
        <v>0</v>
      </c>
      <c r="J40" s="424">
        <v>0</v>
      </c>
      <c r="K40" s="434" t="s">
        <v>282</v>
      </c>
    </row>
    <row r="41" spans="1:11" ht="14.4" customHeight="1" thickBot="1" x14ac:dyDescent="0.35">
      <c r="A41" s="445" t="s">
        <v>320</v>
      </c>
      <c r="B41" s="423">
        <v>3.0005594940439999</v>
      </c>
      <c r="C41" s="423">
        <v>0.43354999999999999</v>
      </c>
      <c r="D41" s="424">
        <v>-2.567009494044</v>
      </c>
      <c r="E41" s="425">
        <v>0.14448971962000001</v>
      </c>
      <c r="F41" s="423">
        <v>2.9999999055069999</v>
      </c>
      <c r="G41" s="424">
        <v>0.74999997637600002</v>
      </c>
      <c r="H41" s="426">
        <v>5.9499999999999997E-2</v>
      </c>
      <c r="I41" s="423">
        <v>5.9499999999999997E-2</v>
      </c>
      <c r="J41" s="424">
        <v>-0.69049997637600002</v>
      </c>
      <c r="K41" s="427">
        <v>1.9833333958E-2</v>
      </c>
    </row>
    <row r="42" spans="1:11" ht="14.4" customHeight="1" thickBot="1" x14ac:dyDescent="0.35">
      <c r="A42" s="444" t="s">
        <v>321</v>
      </c>
      <c r="B42" s="428">
        <v>284.03338688130998</v>
      </c>
      <c r="C42" s="428">
        <v>178.96645000000001</v>
      </c>
      <c r="D42" s="429">
        <v>-105.06693688131</v>
      </c>
      <c r="E42" s="435">
        <v>0.63008948337000004</v>
      </c>
      <c r="F42" s="428">
        <v>178.999994361934</v>
      </c>
      <c r="G42" s="429">
        <v>44.749998590483003</v>
      </c>
      <c r="H42" s="431">
        <v>9.0798500000000004</v>
      </c>
      <c r="I42" s="428">
        <v>16.645109999999999</v>
      </c>
      <c r="J42" s="429">
        <v>-28.104888590483</v>
      </c>
      <c r="K42" s="436">
        <v>9.2989444268999993E-2</v>
      </c>
    </row>
    <row r="43" spans="1:11" ht="14.4" customHeight="1" thickBot="1" x14ac:dyDescent="0.35">
      <c r="A43" s="445" t="s">
        <v>322</v>
      </c>
      <c r="B43" s="423">
        <v>13.039426427111</v>
      </c>
      <c r="C43" s="423">
        <v>5.4602199999999996</v>
      </c>
      <c r="D43" s="424">
        <v>-7.579206427111</v>
      </c>
      <c r="E43" s="425">
        <v>0.41874694646400001</v>
      </c>
      <c r="F43" s="423">
        <v>7.9999997480190004</v>
      </c>
      <c r="G43" s="424">
        <v>1.999999937004</v>
      </c>
      <c r="H43" s="426">
        <v>0.54208000000000001</v>
      </c>
      <c r="I43" s="423">
        <v>1.82409</v>
      </c>
      <c r="J43" s="424">
        <v>-0.17590993700400001</v>
      </c>
      <c r="K43" s="427">
        <v>0.22801125718099999</v>
      </c>
    </row>
    <row r="44" spans="1:11" ht="14.4" customHeight="1" thickBot="1" x14ac:dyDescent="0.35">
      <c r="A44" s="445" t="s">
        <v>323</v>
      </c>
      <c r="B44" s="423">
        <v>0</v>
      </c>
      <c r="C44" s="423">
        <v>0</v>
      </c>
      <c r="D44" s="424">
        <v>0</v>
      </c>
      <c r="E44" s="425">
        <v>1</v>
      </c>
      <c r="F44" s="423">
        <v>0.99999996850200001</v>
      </c>
      <c r="G44" s="424">
        <v>0.24999999212499999</v>
      </c>
      <c r="H44" s="426">
        <v>0</v>
      </c>
      <c r="I44" s="423">
        <v>0</v>
      </c>
      <c r="J44" s="424">
        <v>-0.24999999212499999</v>
      </c>
      <c r="K44" s="427">
        <v>0</v>
      </c>
    </row>
    <row r="45" spans="1:11" ht="14.4" customHeight="1" thickBot="1" x14ac:dyDescent="0.35">
      <c r="A45" s="445" t="s">
        <v>324</v>
      </c>
      <c r="B45" s="423">
        <v>0</v>
      </c>
      <c r="C45" s="423">
        <v>0.59599999999999997</v>
      </c>
      <c r="D45" s="424">
        <v>0.59599999999999997</v>
      </c>
      <c r="E45" s="433" t="s">
        <v>312</v>
      </c>
      <c r="F45" s="423">
        <v>0</v>
      </c>
      <c r="G45" s="424">
        <v>0</v>
      </c>
      <c r="H45" s="426">
        <v>0</v>
      </c>
      <c r="I45" s="423">
        <v>0</v>
      </c>
      <c r="J45" s="424">
        <v>0</v>
      </c>
      <c r="K45" s="434" t="s">
        <v>282</v>
      </c>
    </row>
    <row r="46" spans="1:11" ht="14.4" customHeight="1" thickBot="1" x14ac:dyDescent="0.35">
      <c r="A46" s="445" t="s">
        <v>325</v>
      </c>
      <c r="B46" s="423">
        <v>45.000096194057001</v>
      </c>
      <c r="C46" s="423">
        <v>62.767389999999999</v>
      </c>
      <c r="D46" s="424">
        <v>17.767293805942</v>
      </c>
      <c r="E46" s="425">
        <v>1.3948279072400001</v>
      </c>
      <c r="F46" s="423">
        <v>61.999998047150001</v>
      </c>
      <c r="G46" s="424">
        <v>15.499999511786999</v>
      </c>
      <c r="H46" s="426">
        <v>0.31097999999999998</v>
      </c>
      <c r="I46" s="423">
        <v>0.31097999999999998</v>
      </c>
      <c r="J46" s="424">
        <v>-15.189019511787</v>
      </c>
      <c r="K46" s="427">
        <v>5.015806609E-3</v>
      </c>
    </row>
    <row r="47" spans="1:11" ht="14.4" customHeight="1" thickBot="1" x14ac:dyDescent="0.35">
      <c r="A47" s="445" t="s">
        <v>326</v>
      </c>
      <c r="B47" s="423">
        <v>210.99590291523401</v>
      </c>
      <c r="C47" s="423">
        <v>76.497079999999997</v>
      </c>
      <c r="D47" s="424">
        <v>-134.49882291523301</v>
      </c>
      <c r="E47" s="425">
        <v>0.36255244269199999</v>
      </c>
      <c r="F47" s="423">
        <v>76.999997574686006</v>
      </c>
      <c r="G47" s="424">
        <v>19.249999393671001</v>
      </c>
      <c r="H47" s="426">
        <v>7.1477899999999996</v>
      </c>
      <c r="I47" s="423">
        <v>12.35172</v>
      </c>
      <c r="J47" s="424">
        <v>-6.8982793936710003</v>
      </c>
      <c r="K47" s="427">
        <v>0.160411953104</v>
      </c>
    </row>
    <row r="48" spans="1:11" ht="14.4" customHeight="1" thickBot="1" x14ac:dyDescent="0.35">
      <c r="A48" s="445" t="s">
        <v>327</v>
      </c>
      <c r="B48" s="423">
        <v>14.997961344907999</v>
      </c>
      <c r="C48" s="423">
        <v>33.645760000000003</v>
      </c>
      <c r="D48" s="424">
        <v>18.647798655091002</v>
      </c>
      <c r="E48" s="425">
        <v>2.2433555618819998</v>
      </c>
      <c r="F48" s="423">
        <v>30.999999023575</v>
      </c>
      <c r="G48" s="424">
        <v>7.7499997558929996</v>
      </c>
      <c r="H48" s="426">
        <v>1.079</v>
      </c>
      <c r="I48" s="423">
        <v>2.1583199999999998</v>
      </c>
      <c r="J48" s="424">
        <v>-5.5916797558929998</v>
      </c>
      <c r="K48" s="427">
        <v>6.9623227999000004E-2</v>
      </c>
    </row>
    <row r="49" spans="1:11" ht="14.4" customHeight="1" thickBot="1" x14ac:dyDescent="0.35">
      <c r="A49" s="444" t="s">
        <v>328</v>
      </c>
      <c r="B49" s="428">
        <v>0</v>
      </c>
      <c r="C49" s="428">
        <v>11.709</v>
      </c>
      <c r="D49" s="429">
        <v>11.709</v>
      </c>
      <c r="E49" s="430" t="s">
        <v>282</v>
      </c>
      <c r="F49" s="428">
        <v>0</v>
      </c>
      <c r="G49" s="429">
        <v>0</v>
      </c>
      <c r="H49" s="431">
        <v>0</v>
      </c>
      <c r="I49" s="428">
        <v>0</v>
      </c>
      <c r="J49" s="429">
        <v>0</v>
      </c>
      <c r="K49" s="432" t="s">
        <v>282</v>
      </c>
    </row>
    <row r="50" spans="1:11" ht="14.4" customHeight="1" thickBot="1" x14ac:dyDescent="0.35">
      <c r="A50" s="445" t="s">
        <v>329</v>
      </c>
      <c r="B50" s="423">
        <v>0</v>
      </c>
      <c r="C50" s="423">
        <v>11.709</v>
      </c>
      <c r="D50" s="424">
        <v>11.709</v>
      </c>
      <c r="E50" s="433" t="s">
        <v>282</v>
      </c>
      <c r="F50" s="423">
        <v>0</v>
      </c>
      <c r="G50" s="424">
        <v>0</v>
      </c>
      <c r="H50" s="426">
        <v>0</v>
      </c>
      <c r="I50" s="423">
        <v>0</v>
      </c>
      <c r="J50" s="424">
        <v>0</v>
      </c>
      <c r="K50" s="434" t="s">
        <v>282</v>
      </c>
    </row>
    <row r="51" spans="1:11" ht="14.4" customHeight="1" thickBot="1" x14ac:dyDescent="0.35">
      <c r="A51" s="443" t="s">
        <v>42</v>
      </c>
      <c r="B51" s="423">
        <v>400.31979615295302</v>
      </c>
      <c r="C51" s="423">
        <v>357.98399999999998</v>
      </c>
      <c r="D51" s="424">
        <v>-42.335796152952</v>
      </c>
      <c r="E51" s="425">
        <v>0.89424505967500001</v>
      </c>
      <c r="F51" s="423">
        <v>380.09268640919203</v>
      </c>
      <c r="G51" s="424">
        <v>95.023171602296998</v>
      </c>
      <c r="H51" s="426">
        <v>33.96</v>
      </c>
      <c r="I51" s="423">
        <v>105.10299999999999</v>
      </c>
      <c r="J51" s="424">
        <v>10.079828397702</v>
      </c>
      <c r="K51" s="427">
        <v>0.27651939581599999</v>
      </c>
    </row>
    <row r="52" spans="1:11" ht="14.4" customHeight="1" thickBot="1" x14ac:dyDescent="0.35">
      <c r="A52" s="444" t="s">
        <v>330</v>
      </c>
      <c r="B52" s="428">
        <v>400.31979615295302</v>
      </c>
      <c r="C52" s="428">
        <v>357.98399999999998</v>
      </c>
      <c r="D52" s="429">
        <v>-42.335796152952</v>
      </c>
      <c r="E52" s="435">
        <v>0.89424505967500001</v>
      </c>
      <c r="F52" s="428">
        <v>380.09268640919203</v>
      </c>
      <c r="G52" s="429">
        <v>95.023171602296998</v>
      </c>
      <c r="H52" s="431">
        <v>33.96</v>
      </c>
      <c r="I52" s="428">
        <v>105.10299999999999</v>
      </c>
      <c r="J52" s="429">
        <v>10.079828397702</v>
      </c>
      <c r="K52" s="436">
        <v>0.27651939581599999</v>
      </c>
    </row>
    <row r="53" spans="1:11" ht="14.4" customHeight="1" thickBot="1" x14ac:dyDescent="0.35">
      <c r="A53" s="445" t="s">
        <v>331</v>
      </c>
      <c r="B53" s="423">
        <v>124.073716642102</v>
      </c>
      <c r="C53" s="423">
        <v>104.262</v>
      </c>
      <c r="D53" s="424">
        <v>-19.811716642101</v>
      </c>
      <c r="E53" s="425">
        <v>0.84032301781300001</v>
      </c>
      <c r="F53" s="423">
        <v>107.09269500803001</v>
      </c>
      <c r="G53" s="424">
        <v>26.773173752007001</v>
      </c>
      <c r="H53" s="426">
        <v>8.98</v>
      </c>
      <c r="I53" s="423">
        <v>26.44</v>
      </c>
      <c r="J53" s="424">
        <v>-0.333173752007</v>
      </c>
      <c r="K53" s="427">
        <v>0.24688892176999999</v>
      </c>
    </row>
    <row r="54" spans="1:11" ht="14.4" customHeight="1" thickBot="1" x14ac:dyDescent="0.35">
      <c r="A54" s="445" t="s">
        <v>332</v>
      </c>
      <c r="B54" s="423">
        <v>200.04435548869299</v>
      </c>
      <c r="C54" s="423">
        <v>183.03</v>
      </c>
      <c r="D54" s="424">
        <v>-17.014355488692999</v>
      </c>
      <c r="E54" s="425">
        <v>0.91494708537400005</v>
      </c>
      <c r="F54" s="423">
        <v>199.99999370048499</v>
      </c>
      <c r="G54" s="424">
        <v>49.999998425120999</v>
      </c>
      <c r="H54" s="426">
        <v>16.132000000000001</v>
      </c>
      <c r="I54" s="423">
        <v>48.05</v>
      </c>
      <c r="J54" s="424">
        <v>-1.9499984251210001</v>
      </c>
      <c r="K54" s="427">
        <v>0.24025000756699999</v>
      </c>
    </row>
    <row r="55" spans="1:11" ht="14.4" customHeight="1" thickBot="1" x14ac:dyDescent="0.35">
      <c r="A55" s="445" t="s">
        <v>333</v>
      </c>
      <c r="B55" s="423">
        <v>76.201724022156995</v>
      </c>
      <c r="C55" s="423">
        <v>70.691999999999993</v>
      </c>
      <c r="D55" s="424">
        <v>-5.5097240221570001</v>
      </c>
      <c r="E55" s="425">
        <v>0.92769554635499996</v>
      </c>
      <c r="F55" s="423">
        <v>72.999997700677</v>
      </c>
      <c r="G55" s="424">
        <v>18.249999425169001</v>
      </c>
      <c r="H55" s="426">
        <v>8.8480000000000008</v>
      </c>
      <c r="I55" s="423">
        <v>30.613</v>
      </c>
      <c r="J55" s="424">
        <v>12.36300057483</v>
      </c>
      <c r="K55" s="427">
        <v>0.419356177592</v>
      </c>
    </row>
    <row r="56" spans="1:11" ht="14.4" customHeight="1" thickBot="1" x14ac:dyDescent="0.35">
      <c r="A56" s="446" t="s">
        <v>334</v>
      </c>
      <c r="B56" s="428">
        <v>467.55077009187102</v>
      </c>
      <c r="C56" s="428">
        <v>600.37422000000004</v>
      </c>
      <c r="D56" s="429">
        <v>132.82344990812899</v>
      </c>
      <c r="E56" s="435">
        <v>1.2840834801359999</v>
      </c>
      <c r="F56" s="428">
        <v>552.74385624042202</v>
      </c>
      <c r="G56" s="429">
        <v>138.18596406010599</v>
      </c>
      <c r="H56" s="431">
        <v>35.788359999999997</v>
      </c>
      <c r="I56" s="428">
        <v>119.11405000000001</v>
      </c>
      <c r="J56" s="429">
        <v>-19.071914060105001</v>
      </c>
      <c r="K56" s="436">
        <v>0.21549592755300001</v>
      </c>
    </row>
    <row r="57" spans="1:11" ht="14.4" customHeight="1" thickBot="1" x14ac:dyDescent="0.35">
      <c r="A57" s="443" t="s">
        <v>45</v>
      </c>
      <c r="B57" s="423">
        <v>36.838875787467003</v>
      </c>
      <c r="C57" s="423">
        <v>170.94602</v>
      </c>
      <c r="D57" s="424">
        <v>134.10714421253201</v>
      </c>
      <c r="E57" s="425">
        <v>4.6403701618420001</v>
      </c>
      <c r="F57" s="423">
        <v>177.36953063971799</v>
      </c>
      <c r="G57" s="424">
        <v>44.342382659929001</v>
      </c>
      <c r="H57" s="426">
        <v>2.4491399999999999</v>
      </c>
      <c r="I57" s="423">
        <v>8.3781400000000001</v>
      </c>
      <c r="J57" s="424">
        <v>-35.964242659928999</v>
      </c>
      <c r="K57" s="427">
        <v>4.7235508656E-2</v>
      </c>
    </row>
    <row r="58" spans="1:11" ht="14.4" customHeight="1" thickBot="1" x14ac:dyDescent="0.35">
      <c r="A58" s="447" t="s">
        <v>335</v>
      </c>
      <c r="B58" s="423">
        <v>36.838875787467003</v>
      </c>
      <c r="C58" s="423">
        <v>170.94602</v>
      </c>
      <c r="D58" s="424">
        <v>134.10714421253201</v>
      </c>
      <c r="E58" s="425">
        <v>4.6403701618420001</v>
      </c>
      <c r="F58" s="423">
        <v>177.36953063971799</v>
      </c>
      <c r="G58" s="424">
        <v>44.342382659929001</v>
      </c>
      <c r="H58" s="426">
        <v>2.4491399999999999</v>
      </c>
      <c r="I58" s="423">
        <v>8.3781400000000001</v>
      </c>
      <c r="J58" s="424">
        <v>-35.964242659928999</v>
      </c>
      <c r="K58" s="427">
        <v>4.7235508656E-2</v>
      </c>
    </row>
    <row r="59" spans="1:11" ht="14.4" customHeight="1" thickBot="1" x14ac:dyDescent="0.35">
      <c r="A59" s="445" t="s">
        <v>336</v>
      </c>
      <c r="B59" s="423">
        <v>6.0951600582819996</v>
      </c>
      <c r="C59" s="423">
        <v>123.78946000000001</v>
      </c>
      <c r="D59" s="424">
        <v>117.69429994171701</v>
      </c>
      <c r="E59" s="425">
        <v>20.309468302113</v>
      </c>
      <c r="F59" s="423">
        <v>107.81204629163599</v>
      </c>
      <c r="G59" s="424">
        <v>26.953011572908999</v>
      </c>
      <c r="H59" s="426">
        <v>0.83499999999999996</v>
      </c>
      <c r="I59" s="423">
        <v>6.7640000000000002</v>
      </c>
      <c r="J59" s="424">
        <v>-20.189011572908999</v>
      </c>
      <c r="K59" s="427">
        <v>6.2738814747999999E-2</v>
      </c>
    </row>
    <row r="60" spans="1:11" ht="14.4" customHeight="1" thickBot="1" x14ac:dyDescent="0.35">
      <c r="A60" s="445" t="s">
        <v>337</v>
      </c>
      <c r="B60" s="423">
        <v>3.2573686531120001</v>
      </c>
      <c r="C60" s="423">
        <v>1.121</v>
      </c>
      <c r="D60" s="424">
        <v>-2.1363686531120001</v>
      </c>
      <c r="E60" s="425">
        <v>0.34414280954299997</v>
      </c>
      <c r="F60" s="423">
        <v>0.34669936658400002</v>
      </c>
      <c r="G60" s="424">
        <v>8.6674841646000006E-2</v>
      </c>
      <c r="H60" s="426">
        <v>0.36299999999999999</v>
      </c>
      <c r="I60" s="423">
        <v>0.36299999999999999</v>
      </c>
      <c r="J60" s="424">
        <v>0.27632515835299998</v>
      </c>
      <c r="K60" s="427">
        <v>1.0470166230069999</v>
      </c>
    </row>
    <row r="61" spans="1:11" ht="14.4" customHeight="1" thickBot="1" x14ac:dyDescent="0.35">
      <c r="A61" s="445" t="s">
        <v>338</v>
      </c>
      <c r="B61" s="423">
        <v>25.999956104110002</v>
      </c>
      <c r="C61" s="423">
        <v>40.499420000000001</v>
      </c>
      <c r="D61" s="424">
        <v>14.499463895889001</v>
      </c>
      <c r="E61" s="425">
        <v>1.557672629824</v>
      </c>
      <c r="F61" s="423">
        <v>64.999997952656997</v>
      </c>
      <c r="G61" s="424">
        <v>16.249999488164001</v>
      </c>
      <c r="H61" s="426">
        <v>0</v>
      </c>
      <c r="I61" s="423">
        <v>0</v>
      </c>
      <c r="J61" s="424">
        <v>-16.249999488164001</v>
      </c>
      <c r="K61" s="427">
        <v>0</v>
      </c>
    </row>
    <row r="62" spans="1:11" ht="14.4" customHeight="1" thickBot="1" x14ac:dyDescent="0.35">
      <c r="A62" s="445" t="s">
        <v>339</v>
      </c>
      <c r="B62" s="423">
        <v>1.486390971961</v>
      </c>
      <c r="C62" s="423">
        <v>5.5361399999999996</v>
      </c>
      <c r="D62" s="424">
        <v>4.0497490280379997</v>
      </c>
      <c r="E62" s="425">
        <v>3.724551685547</v>
      </c>
      <c r="F62" s="423">
        <v>4.2107870288390004</v>
      </c>
      <c r="G62" s="424">
        <v>1.052696757209</v>
      </c>
      <c r="H62" s="426">
        <v>1.2511399999999999</v>
      </c>
      <c r="I62" s="423">
        <v>1.2511399999999999</v>
      </c>
      <c r="J62" s="424">
        <v>0.19844324279</v>
      </c>
      <c r="K62" s="427">
        <v>0.29712735206699997</v>
      </c>
    </row>
    <row r="63" spans="1:11" ht="14.4" customHeight="1" thickBot="1" x14ac:dyDescent="0.35">
      <c r="A63" s="448" t="s">
        <v>46</v>
      </c>
      <c r="B63" s="428">
        <v>0</v>
      </c>
      <c r="C63" s="428">
        <v>90.411000000000001</v>
      </c>
      <c r="D63" s="429">
        <v>90.411000000000001</v>
      </c>
      <c r="E63" s="430" t="s">
        <v>282</v>
      </c>
      <c r="F63" s="428">
        <v>0</v>
      </c>
      <c r="G63" s="429">
        <v>0</v>
      </c>
      <c r="H63" s="431">
        <v>2.5</v>
      </c>
      <c r="I63" s="428">
        <v>4.3140000000000001</v>
      </c>
      <c r="J63" s="429">
        <v>4.3140000000000001</v>
      </c>
      <c r="K63" s="432" t="s">
        <v>282</v>
      </c>
    </row>
    <row r="64" spans="1:11" ht="14.4" customHeight="1" thickBot="1" x14ac:dyDescent="0.35">
      <c r="A64" s="444" t="s">
        <v>340</v>
      </c>
      <c r="B64" s="428">
        <v>0</v>
      </c>
      <c r="C64" s="428">
        <v>90.411000000000001</v>
      </c>
      <c r="D64" s="429">
        <v>90.411000000000001</v>
      </c>
      <c r="E64" s="430" t="s">
        <v>282</v>
      </c>
      <c r="F64" s="428">
        <v>0</v>
      </c>
      <c r="G64" s="429">
        <v>0</v>
      </c>
      <c r="H64" s="431">
        <v>2.5</v>
      </c>
      <c r="I64" s="428">
        <v>4.3140000000000001</v>
      </c>
      <c r="J64" s="429">
        <v>4.3140000000000001</v>
      </c>
      <c r="K64" s="432" t="s">
        <v>282</v>
      </c>
    </row>
    <row r="65" spans="1:11" ht="14.4" customHeight="1" thickBot="1" x14ac:dyDescent="0.35">
      <c r="A65" s="445" t="s">
        <v>341</v>
      </c>
      <c r="B65" s="423">
        <v>0</v>
      </c>
      <c r="C65" s="423">
        <v>84.813999999999993</v>
      </c>
      <c r="D65" s="424">
        <v>84.813999999999993</v>
      </c>
      <c r="E65" s="433" t="s">
        <v>282</v>
      </c>
      <c r="F65" s="423">
        <v>0</v>
      </c>
      <c r="G65" s="424">
        <v>0</v>
      </c>
      <c r="H65" s="426">
        <v>0</v>
      </c>
      <c r="I65" s="423">
        <v>1.8140000000000001</v>
      </c>
      <c r="J65" s="424">
        <v>1.8140000000000001</v>
      </c>
      <c r="K65" s="434" t="s">
        <v>282</v>
      </c>
    </row>
    <row r="66" spans="1:11" ht="14.4" customHeight="1" thickBot="1" x14ac:dyDescent="0.35">
      <c r="A66" s="445" t="s">
        <v>342</v>
      </c>
      <c r="B66" s="423">
        <v>0</v>
      </c>
      <c r="C66" s="423">
        <v>5.5970000000000004</v>
      </c>
      <c r="D66" s="424">
        <v>5.5970000000000004</v>
      </c>
      <c r="E66" s="433" t="s">
        <v>282</v>
      </c>
      <c r="F66" s="423">
        <v>0</v>
      </c>
      <c r="G66" s="424">
        <v>0</v>
      </c>
      <c r="H66" s="426">
        <v>2.5</v>
      </c>
      <c r="I66" s="423">
        <v>2.5</v>
      </c>
      <c r="J66" s="424">
        <v>2.5</v>
      </c>
      <c r="K66" s="434" t="s">
        <v>282</v>
      </c>
    </row>
    <row r="67" spans="1:11" ht="14.4" customHeight="1" thickBot="1" x14ac:dyDescent="0.35">
      <c r="A67" s="443" t="s">
        <v>47</v>
      </c>
      <c r="B67" s="423">
        <v>430.71189430440302</v>
      </c>
      <c r="C67" s="423">
        <v>339.0172</v>
      </c>
      <c r="D67" s="424">
        <v>-91.694694304403001</v>
      </c>
      <c r="E67" s="425">
        <v>0.78710898046400002</v>
      </c>
      <c r="F67" s="423">
        <v>375.37432560070499</v>
      </c>
      <c r="G67" s="424">
        <v>93.843581400176006</v>
      </c>
      <c r="H67" s="426">
        <v>30.839220000000001</v>
      </c>
      <c r="I67" s="423">
        <v>106.42191</v>
      </c>
      <c r="J67" s="424">
        <v>12.578328599822999</v>
      </c>
      <c r="K67" s="427">
        <v>0.28350876110000001</v>
      </c>
    </row>
    <row r="68" spans="1:11" ht="14.4" customHeight="1" thickBot="1" x14ac:dyDescent="0.35">
      <c r="A68" s="444" t="s">
        <v>343</v>
      </c>
      <c r="B68" s="428">
        <v>8.2737648577E-2</v>
      </c>
      <c r="C68" s="428">
        <v>0.10299999999999999</v>
      </c>
      <c r="D68" s="429">
        <v>2.0262351421999999E-2</v>
      </c>
      <c r="E68" s="435">
        <v>1.244898806908</v>
      </c>
      <c r="F68" s="428">
        <v>0.10486887285300001</v>
      </c>
      <c r="G68" s="429">
        <v>2.6217218213E-2</v>
      </c>
      <c r="H68" s="431">
        <v>0</v>
      </c>
      <c r="I68" s="428">
        <v>0</v>
      </c>
      <c r="J68" s="429">
        <v>-2.6217218213E-2</v>
      </c>
      <c r="K68" s="436">
        <v>0</v>
      </c>
    </row>
    <row r="69" spans="1:11" ht="14.4" customHeight="1" thickBot="1" x14ac:dyDescent="0.35">
      <c r="A69" s="445" t="s">
        <v>344</v>
      </c>
      <c r="B69" s="423">
        <v>8.2737648577E-2</v>
      </c>
      <c r="C69" s="423">
        <v>0.10299999999999999</v>
      </c>
      <c r="D69" s="424">
        <v>2.0262351421999999E-2</v>
      </c>
      <c r="E69" s="425">
        <v>1.244898806908</v>
      </c>
      <c r="F69" s="423">
        <v>0.10486887285300001</v>
      </c>
      <c r="G69" s="424">
        <v>2.6217218213E-2</v>
      </c>
      <c r="H69" s="426">
        <v>0</v>
      </c>
      <c r="I69" s="423">
        <v>0</v>
      </c>
      <c r="J69" s="424">
        <v>-2.6217218213E-2</v>
      </c>
      <c r="K69" s="427">
        <v>0</v>
      </c>
    </row>
    <row r="70" spans="1:11" ht="14.4" customHeight="1" thickBot="1" x14ac:dyDescent="0.35">
      <c r="A70" s="444" t="s">
        <v>345</v>
      </c>
      <c r="B70" s="428">
        <v>15.744386076068</v>
      </c>
      <c r="C70" s="428">
        <v>16.01163</v>
      </c>
      <c r="D70" s="429">
        <v>0.26724392393099999</v>
      </c>
      <c r="E70" s="435">
        <v>1.016973918363</v>
      </c>
      <c r="F70" s="428">
        <v>16.809319618993001</v>
      </c>
      <c r="G70" s="429">
        <v>4.2023299047479998</v>
      </c>
      <c r="H70" s="431">
        <v>0.97421999999999997</v>
      </c>
      <c r="I70" s="428">
        <v>2.5548500000000001</v>
      </c>
      <c r="J70" s="429">
        <v>-1.647479904748</v>
      </c>
      <c r="K70" s="436">
        <v>0.151990089897</v>
      </c>
    </row>
    <row r="71" spans="1:11" ht="14.4" customHeight="1" thickBot="1" x14ac:dyDescent="0.35">
      <c r="A71" s="445" t="s">
        <v>346</v>
      </c>
      <c r="B71" s="423">
        <v>3.4113521736469998</v>
      </c>
      <c r="C71" s="423">
        <v>3.6995</v>
      </c>
      <c r="D71" s="424">
        <v>0.28814782635199998</v>
      </c>
      <c r="E71" s="425">
        <v>1.084467334852</v>
      </c>
      <c r="F71" s="423">
        <v>3.678170838932</v>
      </c>
      <c r="G71" s="424">
        <v>0.91954270973300001</v>
      </c>
      <c r="H71" s="426">
        <v>0.2185</v>
      </c>
      <c r="I71" s="423">
        <v>0.99950000000000006</v>
      </c>
      <c r="J71" s="424">
        <v>7.9957290266E-2</v>
      </c>
      <c r="K71" s="427">
        <v>0.27173832966599998</v>
      </c>
    </row>
    <row r="72" spans="1:11" ht="14.4" customHeight="1" thickBot="1" x14ac:dyDescent="0.35">
      <c r="A72" s="445" t="s">
        <v>347</v>
      </c>
      <c r="B72" s="423">
        <v>12.33303390242</v>
      </c>
      <c r="C72" s="423">
        <v>12.31213</v>
      </c>
      <c r="D72" s="424">
        <v>-2.0903902419999999E-2</v>
      </c>
      <c r="E72" s="425">
        <v>0.99830504784200003</v>
      </c>
      <c r="F72" s="423">
        <v>13.131148780061</v>
      </c>
      <c r="G72" s="424">
        <v>3.282787195015</v>
      </c>
      <c r="H72" s="426">
        <v>0.75571999999999995</v>
      </c>
      <c r="I72" s="423">
        <v>1.55535</v>
      </c>
      <c r="J72" s="424">
        <v>-1.727437195015</v>
      </c>
      <c r="K72" s="427">
        <v>0.11844736710000001</v>
      </c>
    </row>
    <row r="73" spans="1:11" ht="14.4" customHeight="1" thickBot="1" x14ac:dyDescent="0.35">
      <c r="A73" s="444" t="s">
        <v>348</v>
      </c>
      <c r="B73" s="428">
        <v>21.548007502813999</v>
      </c>
      <c r="C73" s="428">
        <v>20.52</v>
      </c>
      <c r="D73" s="429">
        <v>-1.0280075028140001</v>
      </c>
      <c r="E73" s="435">
        <v>0.95229222457399998</v>
      </c>
      <c r="F73" s="428">
        <v>17.999999433043001</v>
      </c>
      <c r="G73" s="429">
        <v>4.4999998582599998</v>
      </c>
      <c r="H73" s="431">
        <v>0</v>
      </c>
      <c r="I73" s="428">
        <v>4.59</v>
      </c>
      <c r="J73" s="429">
        <v>9.0000141739000006E-2</v>
      </c>
      <c r="K73" s="436">
        <v>0.25500000803099998</v>
      </c>
    </row>
    <row r="74" spans="1:11" ht="14.4" customHeight="1" thickBot="1" x14ac:dyDescent="0.35">
      <c r="A74" s="445" t="s">
        <v>349</v>
      </c>
      <c r="B74" s="423">
        <v>21.273314108478999</v>
      </c>
      <c r="C74" s="423">
        <v>20.52</v>
      </c>
      <c r="D74" s="424">
        <v>-0.75331410847900004</v>
      </c>
      <c r="E74" s="425">
        <v>0.96458877518300001</v>
      </c>
      <c r="F74" s="423">
        <v>17.999999433043001</v>
      </c>
      <c r="G74" s="424">
        <v>4.4999998582599998</v>
      </c>
      <c r="H74" s="426">
        <v>0</v>
      </c>
      <c r="I74" s="423">
        <v>4.59</v>
      </c>
      <c r="J74" s="424">
        <v>9.0000141739000006E-2</v>
      </c>
      <c r="K74" s="427">
        <v>0.25500000803099998</v>
      </c>
    </row>
    <row r="75" spans="1:11" ht="14.4" customHeight="1" thickBot="1" x14ac:dyDescent="0.35">
      <c r="A75" s="445" t="s">
        <v>350</v>
      </c>
      <c r="B75" s="423">
        <v>0.27469339433399997</v>
      </c>
      <c r="C75" s="423">
        <v>0</v>
      </c>
      <c r="D75" s="424">
        <v>-0.27469339433399997</v>
      </c>
      <c r="E75" s="425">
        <v>0</v>
      </c>
      <c r="F75" s="423">
        <v>0</v>
      </c>
      <c r="G75" s="424">
        <v>0</v>
      </c>
      <c r="H75" s="426">
        <v>0</v>
      </c>
      <c r="I75" s="423">
        <v>0</v>
      </c>
      <c r="J75" s="424">
        <v>0</v>
      </c>
      <c r="K75" s="427">
        <v>3</v>
      </c>
    </row>
    <row r="76" spans="1:11" ht="14.4" customHeight="1" thickBot="1" x14ac:dyDescent="0.35">
      <c r="A76" s="444" t="s">
        <v>351</v>
      </c>
      <c r="B76" s="428">
        <v>325.47536506302998</v>
      </c>
      <c r="C76" s="428">
        <v>222.75806</v>
      </c>
      <c r="D76" s="429">
        <v>-102.71730506303</v>
      </c>
      <c r="E76" s="435">
        <v>0.68440835746999995</v>
      </c>
      <c r="F76" s="428">
        <v>273.05511842977398</v>
      </c>
      <c r="G76" s="429">
        <v>68.263779607442999</v>
      </c>
      <c r="H76" s="431">
        <v>23.972999999999999</v>
      </c>
      <c r="I76" s="428">
        <v>69.452560000000005</v>
      </c>
      <c r="J76" s="429">
        <v>1.1887803925560001</v>
      </c>
      <c r="K76" s="436">
        <v>0.25435362793900002</v>
      </c>
    </row>
    <row r="77" spans="1:11" ht="14.4" customHeight="1" thickBot="1" x14ac:dyDescent="0.35">
      <c r="A77" s="445" t="s">
        <v>352</v>
      </c>
      <c r="B77" s="423">
        <v>276.30675760059199</v>
      </c>
      <c r="C77" s="423">
        <v>171.89385999999999</v>
      </c>
      <c r="D77" s="424">
        <v>-104.412897600592</v>
      </c>
      <c r="E77" s="425">
        <v>0.62211239961200004</v>
      </c>
      <c r="F77" s="423">
        <v>221.84644712114999</v>
      </c>
      <c r="G77" s="424">
        <v>55.461611780287001</v>
      </c>
      <c r="H77" s="426">
        <v>18.887869999999999</v>
      </c>
      <c r="I77" s="423">
        <v>55.811770000000003</v>
      </c>
      <c r="J77" s="424">
        <v>0.35015821971200001</v>
      </c>
      <c r="K77" s="427">
        <v>0.251578381011</v>
      </c>
    </row>
    <row r="78" spans="1:11" ht="14.4" customHeight="1" thickBot="1" x14ac:dyDescent="0.35">
      <c r="A78" s="445" t="s">
        <v>353</v>
      </c>
      <c r="B78" s="423">
        <v>49.168607462437002</v>
      </c>
      <c r="C78" s="423">
        <v>50.864199999999997</v>
      </c>
      <c r="D78" s="424">
        <v>1.695592537562</v>
      </c>
      <c r="E78" s="425">
        <v>1.0344852666169999</v>
      </c>
      <c r="F78" s="423">
        <v>51.208671308623998</v>
      </c>
      <c r="G78" s="424">
        <v>12.802167827156</v>
      </c>
      <c r="H78" s="426">
        <v>5.0851300000000004</v>
      </c>
      <c r="I78" s="423">
        <v>13.640790000000001</v>
      </c>
      <c r="J78" s="424">
        <v>0.838622172843</v>
      </c>
      <c r="K78" s="427">
        <v>0.26637656575300001</v>
      </c>
    </row>
    <row r="79" spans="1:11" ht="14.4" customHeight="1" thickBot="1" x14ac:dyDescent="0.35">
      <c r="A79" s="444" t="s">
        <v>354</v>
      </c>
      <c r="B79" s="428">
        <v>67.861398013913004</v>
      </c>
      <c r="C79" s="428">
        <v>79.624510000000001</v>
      </c>
      <c r="D79" s="429">
        <v>11.763111986086001</v>
      </c>
      <c r="E79" s="435">
        <v>1.173340254258</v>
      </c>
      <c r="F79" s="428">
        <v>67.405019246039998</v>
      </c>
      <c r="G79" s="429">
        <v>16.85125481151</v>
      </c>
      <c r="H79" s="431">
        <v>5.8920000000000003</v>
      </c>
      <c r="I79" s="428">
        <v>29.8245</v>
      </c>
      <c r="J79" s="429">
        <v>12.973245188489001</v>
      </c>
      <c r="K79" s="436">
        <v>0.44246704968799999</v>
      </c>
    </row>
    <row r="80" spans="1:11" ht="14.4" customHeight="1" thickBot="1" x14ac:dyDescent="0.35">
      <c r="A80" s="445" t="s">
        <v>355</v>
      </c>
      <c r="B80" s="423">
        <v>0</v>
      </c>
      <c r="C80" s="423">
        <v>11.444000000000001</v>
      </c>
      <c r="D80" s="424">
        <v>11.444000000000001</v>
      </c>
      <c r="E80" s="433" t="s">
        <v>312</v>
      </c>
      <c r="F80" s="423">
        <v>0</v>
      </c>
      <c r="G80" s="424">
        <v>0</v>
      </c>
      <c r="H80" s="426">
        <v>0</v>
      </c>
      <c r="I80" s="423">
        <v>0</v>
      </c>
      <c r="J80" s="424">
        <v>0</v>
      </c>
      <c r="K80" s="427">
        <v>3</v>
      </c>
    </row>
    <row r="81" spans="1:11" ht="14.4" customHeight="1" thickBot="1" x14ac:dyDescent="0.35">
      <c r="A81" s="445" t="s">
        <v>356</v>
      </c>
      <c r="B81" s="423">
        <v>65.167906593225993</v>
      </c>
      <c r="C81" s="423">
        <v>66.213049999999996</v>
      </c>
      <c r="D81" s="424">
        <v>1.0451434067730001</v>
      </c>
      <c r="E81" s="425">
        <v>1.0160377010920001</v>
      </c>
      <c r="F81" s="423">
        <v>62.566935763427999</v>
      </c>
      <c r="G81" s="424">
        <v>15.641733940857</v>
      </c>
      <c r="H81" s="426">
        <v>5.8920000000000003</v>
      </c>
      <c r="I81" s="423">
        <v>29.8245</v>
      </c>
      <c r="J81" s="424">
        <v>14.182766059142001</v>
      </c>
      <c r="K81" s="427">
        <v>0.47668148737100002</v>
      </c>
    </row>
    <row r="82" spans="1:11" ht="14.4" customHeight="1" thickBot="1" x14ac:dyDescent="0.35">
      <c r="A82" s="445" t="s">
        <v>357</v>
      </c>
      <c r="B82" s="423">
        <v>2.0007288334809998</v>
      </c>
      <c r="C82" s="423">
        <v>0</v>
      </c>
      <c r="D82" s="424">
        <v>-2.0007288334809998</v>
      </c>
      <c r="E82" s="425">
        <v>0</v>
      </c>
      <c r="F82" s="423">
        <v>0</v>
      </c>
      <c r="G82" s="424">
        <v>0</v>
      </c>
      <c r="H82" s="426">
        <v>0</v>
      </c>
      <c r="I82" s="423">
        <v>0</v>
      </c>
      <c r="J82" s="424">
        <v>0</v>
      </c>
      <c r="K82" s="427">
        <v>3</v>
      </c>
    </row>
    <row r="83" spans="1:11" ht="14.4" customHeight="1" thickBot="1" x14ac:dyDescent="0.35">
      <c r="A83" s="445" t="s">
        <v>358</v>
      </c>
      <c r="B83" s="423">
        <v>0.69276258720499995</v>
      </c>
      <c r="C83" s="423">
        <v>0.58079999999999998</v>
      </c>
      <c r="D83" s="424">
        <v>-0.11196258720500001</v>
      </c>
      <c r="E83" s="425">
        <v>0.83838245702900005</v>
      </c>
      <c r="F83" s="423">
        <v>1.652689792596</v>
      </c>
      <c r="G83" s="424">
        <v>0.413172448149</v>
      </c>
      <c r="H83" s="426">
        <v>0</v>
      </c>
      <c r="I83" s="423">
        <v>0</v>
      </c>
      <c r="J83" s="424">
        <v>-0.413172448149</v>
      </c>
      <c r="K83" s="427">
        <v>0</v>
      </c>
    </row>
    <row r="84" spans="1:11" ht="14.4" customHeight="1" thickBot="1" x14ac:dyDescent="0.35">
      <c r="A84" s="445" t="s">
        <v>359</v>
      </c>
      <c r="B84" s="423">
        <v>0</v>
      </c>
      <c r="C84" s="423">
        <v>1.38666</v>
      </c>
      <c r="D84" s="424">
        <v>1.38666</v>
      </c>
      <c r="E84" s="433" t="s">
        <v>312</v>
      </c>
      <c r="F84" s="423">
        <v>3.1853936900150002</v>
      </c>
      <c r="G84" s="424">
        <v>0.79634842250299998</v>
      </c>
      <c r="H84" s="426">
        <v>0</v>
      </c>
      <c r="I84" s="423">
        <v>0</v>
      </c>
      <c r="J84" s="424">
        <v>-0.79634842250299998</v>
      </c>
      <c r="K84" s="427">
        <v>0</v>
      </c>
    </row>
    <row r="85" spans="1:11" ht="14.4" customHeight="1" thickBot="1" x14ac:dyDescent="0.35">
      <c r="A85" s="442" t="s">
        <v>48</v>
      </c>
      <c r="B85" s="423">
        <v>10074.049832651401</v>
      </c>
      <c r="C85" s="423">
        <v>10464.76491</v>
      </c>
      <c r="D85" s="424">
        <v>390.71507734864502</v>
      </c>
      <c r="E85" s="425">
        <v>1.038784310564</v>
      </c>
      <c r="F85" s="423">
        <v>10147.9996803626</v>
      </c>
      <c r="G85" s="424">
        <v>2536.99992009065</v>
      </c>
      <c r="H85" s="426">
        <v>843.18367999999998</v>
      </c>
      <c r="I85" s="423">
        <v>2474.5957400000002</v>
      </c>
      <c r="J85" s="424">
        <v>-62.404180090647003</v>
      </c>
      <c r="K85" s="427">
        <v>0.24385059301699999</v>
      </c>
    </row>
    <row r="86" spans="1:11" ht="14.4" customHeight="1" thickBot="1" x14ac:dyDescent="0.35">
      <c r="A86" s="448" t="s">
        <v>360</v>
      </c>
      <c r="B86" s="428">
        <v>7468.9999999998699</v>
      </c>
      <c r="C86" s="428">
        <v>7775.7179999999998</v>
      </c>
      <c r="D86" s="429">
        <v>306.71800000013701</v>
      </c>
      <c r="E86" s="435">
        <v>1.0410654706110001</v>
      </c>
      <c r="F86" s="428">
        <v>7522.9997630437301</v>
      </c>
      <c r="G86" s="429">
        <v>1880.74994076093</v>
      </c>
      <c r="H86" s="431">
        <v>624.58199999999999</v>
      </c>
      <c r="I86" s="428">
        <v>1833.038</v>
      </c>
      <c r="J86" s="429">
        <v>-47.711940760931</v>
      </c>
      <c r="K86" s="436">
        <v>0.24365785693600001</v>
      </c>
    </row>
    <row r="87" spans="1:11" ht="14.4" customHeight="1" thickBot="1" x14ac:dyDescent="0.35">
      <c r="A87" s="444" t="s">
        <v>361</v>
      </c>
      <c r="B87" s="428">
        <v>7442.9999999998699</v>
      </c>
      <c r="C87" s="428">
        <v>7766.7830000000004</v>
      </c>
      <c r="D87" s="429">
        <v>323.78300000013797</v>
      </c>
      <c r="E87" s="435">
        <v>1.0435016794300001</v>
      </c>
      <c r="F87" s="428">
        <v>7499.9997637681699</v>
      </c>
      <c r="G87" s="429">
        <v>1874.99994094204</v>
      </c>
      <c r="H87" s="431">
        <v>624.34400000000005</v>
      </c>
      <c r="I87" s="428">
        <v>1832.65</v>
      </c>
      <c r="J87" s="429">
        <v>-42.349940942041997</v>
      </c>
      <c r="K87" s="436">
        <v>0.244353341029</v>
      </c>
    </row>
    <row r="88" spans="1:11" ht="14.4" customHeight="1" thickBot="1" x14ac:dyDescent="0.35">
      <c r="A88" s="445" t="s">
        <v>362</v>
      </c>
      <c r="B88" s="423">
        <v>7442.9999999998699</v>
      </c>
      <c r="C88" s="423">
        <v>7766.7830000000004</v>
      </c>
      <c r="D88" s="424">
        <v>323.78300000013797</v>
      </c>
      <c r="E88" s="425">
        <v>1.0435016794300001</v>
      </c>
      <c r="F88" s="423">
        <v>7499.9997637681699</v>
      </c>
      <c r="G88" s="424">
        <v>1874.99994094204</v>
      </c>
      <c r="H88" s="426">
        <v>624.34400000000005</v>
      </c>
      <c r="I88" s="423">
        <v>1832.65</v>
      </c>
      <c r="J88" s="424">
        <v>-42.349940942041997</v>
      </c>
      <c r="K88" s="427">
        <v>0.244353341029</v>
      </c>
    </row>
    <row r="89" spans="1:11" ht="14.4" customHeight="1" thickBot="1" x14ac:dyDescent="0.35">
      <c r="A89" s="444" t="s">
        <v>363</v>
      </c>
      <c r="B89" s="428">
        <v>0</v>
      </c>
      <c r="C89" s="428">
        <v>2.6280000000000001</v>
      </c>
      <c r="D89" s="429">
        <v>2.6280000000000001</v>
      </c>
      <c r="E89" s="430" t="s">
        <v>282</v>
      </c>
      <c r="F89" s="428">
        <v>0</v>
      </c>
      <c r="G89" s="429">
        <v>0</v>
      </c>
      <c r="H89" s="431">
        <v>0.23799999999999999</v>
      </c>
      <c r="I89" s="428">
        <v>0.38800000000000001</v>
      </c>
      <c r="J89" s="429">
        <v>0.38800000000000001</v>
      </c>
      <c r="K89" s="432" t="s">
        <v>282</v>
      </c>
    </row>
    <row r="90" spans="1:11" ht="14.4" customHeight="1" thickBot="1" x14ac:dyDescent="0.35">
      <c r="A90" s="445" t="s">
        <v>364</v>
      </c>
      <c r="B90" s="423">
        <v>0</v>
      </c>
      <c r="C90" s="423">
        <v>2.6280000000000001</v>
      </c>
      <c r="D90" s="424">
        <v>2.6280000000000001</v>
      </c>
      <c r="E90" s="433" t="s">
        <v>282</v>
      </c>
      <c r="F90" s="423">
        <v>0</v>
      </c>
      <c r="G90" s="424">
        <v>0</v>
      </c>
      <c r="H90" s="426">
        <v>0.23799999999999999</v>
      </c>
      <c r="I90" s="423">
        <v>0.38800000000000001</v>
      </c>
      <c r="J90" s="424">
        <v>0.38800000000000001</v>
      </c>
      <c r="K90" s="434" t="s">
        <v>282</v>
      </c>
    </row>
    <row r="91" spans="1:11" ht="14.4" customHeight="1" thickBot="1" x14ac:dyDescent="0.35">
      <c r="A91" s="444" t="s">
        <v>365</v>
      </c>
      <c r="B91" s="428">
        <v>25.999999999999002</v>
      </c>
      <c r="C91" s="428">
        <v>6.3070000000000004</v>
      </c>
      <c r="D91" s="429">
        <v>-19.692999999999</v>
      </c>
      <c r="E91" s="435">
        <v>0.24257692307600001</v>
      </c>
      <c r="F91" s="428">
        <v>22.999999275554998</v>
      </c>
      <c r="G91" s="429">
        <v>5.7499998188879999</v>
      </c>
      <c r="H91" s="431">
        <v>0</v>
      </c>
      <c r="I91" s="428">
        <v>0</v>
      </c>
      <c r="J91" s="429">
        <v>-5.7499998188879999</v>
      </c>
      <c r="K91" s="436">
        <v>0</v>
      </c>
    </row>
    <row r="92" spans="1:11" ht="14.4" customHeight="1" thickBot="1" x14ac:dyDescent="0.35">
      <c r="A92" s="445" t="s">
        <v>366</v>
      </c>
      <c r="B92" s="423">
        <v>25.999999999999002</v>
      </c>
      <c r="C92" s="423">
        <v>6.3070000000000004</v>
      </c>
      <c r="D92" s="424">
        <v>-19.692999999999</v>
      </c>
      <c r="E92" s="425">
        <v>0.24257692307600001</v>
      </c>
      <c r="F92" s="423">
        <v>22.999999275554998</v>
      </c>
      <c r="G92" s="424">
        <v>5.7499998188879999</v>
      </c>
      <c r="H92" s="426">
        <v>0</v>
      </c>
      <c r="I92" s="423">
        <v>0</v>
      </c>
      <c r="J92" s="424">
        <v>-5.7499998188879999</v>
      </c>
      <c r="K92" s="427">
        <v>0</v>
      </c>
    </row>
    <row r="93" spans="1:11" ht="14.4" customHeight="1" thickBot="1" x14ac:dyDescent="0.35">
      <c r="A93" s="443" t="s">
        <v>367</v>
      </c>
      <c r="B93" s="423">
        <v>2531.0498326514899</v>
      </c>
      <c r="C93" s="423">
        <v>2611.2853799999998</v>
      </c>
      <c r="D93" s="424">
        <v>80.235547348506003</v>
      </c>
      <c r="E93" s="425">
        <v>1.03170050084</v>
      </c>
      <c r="F93" s="423">
        <v>2549.99991968118</v>
      </c>
      <c r="G93" s="424">
        <v>637.499979920295</v>
      </c>
      <c r="H93" s="426">
        <v>212.35749999999999</v>
      </c>
      <c r="I93" s="423">
        <v>623.23150000000101</v>
      </c>
      <c r="J93" s="424">
        <v>-14.268479920294</v>
      </c>
      <c r="K93" s="427">
        <v>0.24440451750200001</v>
      </c>
    </row>
    <row r="94" spans="1:11" ht="14.4" customHeight="1" thickBot="1" x14ac:dyDescent="0.35">
      <c r="A94" s="444" t="s">
        <v>368</v>
      </c>
      <c r="B94" s="428">
        <v>670.04983265153305</v>
      </c>
      <c r="C94" s="428">
        <v>699.25063</v>
      </c>
      <c r="D94" s="429">
        <v>29.200797348466999</v>
      </c>
      <c r="E94" s="435">
        <v>1.0435800382680001</v>
      </c>
      <c r="F94" s="428">
        <v>674.99997873913605</v>
      </c>
      <c r="G94" s="429">
        <v>168.74999468478401</v>
      </c>
      <c r="H94" s="431">
        <v>56.212000000000003</v>
      </c>
      <c r="I94" s="428">
        <v>164.97200000000001</v>
      </c>
      <c r="J94" s="429">
        <v>-3.7779946847830002</v>
      </c>
      <c r="K94" s="436">
        <v>0.244402970661</v>
      </c>
    </row>
    <row r="95" spans="1:11" ht="14.4" customHeight="1" thickBot="1" x14ac:dyDescent="0.35">
      <c r="A95" s="445" t="s">
        <v>369</v>
      </c>
      <c r="B95" s="423">
        <v>670.04983265153305</v>
      </c>
      <c r="C95" s="423">
        <v>699.25063</v>
      </c>
      <c r="D95" s="424">
        <v>29.200797348466999</v>
      </c>
      <c r="E95" s="425">
        <v>1.0435800382680001</v>
      </c>
      <c r="F95" s="423">
        <v>674.99997873913605</v>
      </c>
      <c r="G95" s="424">
        <v>168.74999468478401</v>
      </c>
      <c r="H95" s="426">
        <v>56.212000000000003</v>
      </c>
      <c r="I95" s="423">
        <v>164.97200000000001</v>
      </c>
      <c r="J95" s="424">
        <v>-3.7779946847830002</v>
      </c>
      <c r="K95" s="427">
        <v>0.244402970661</v>
      </c>
    </row>
    <row r="96" spans="1:11" ht="14.4" customHeight="1" thickBot="1" x14ac:dyDescent="0.35">
      <c r="A96" s="444" t="s">
        <v>370</v>
      </c>
      <c r="B96" s="428">
        <v>1860.99999999996</v>
      </c>
      <c r="C96" s="428">
        <v>1912.03475</v>
      </c>
      <c r="D96" s="429">
        <v>51.034750000038002</v>
      </c>
      <c r="E96" s="435">
        <v>1.0274232939279999</v>
      </c>
      <c r="F96" s="428">
        <v>1874.99994094204</v>
      </c>
      <c r="G96" s="429">
        <v>468.74998523551102</v>
      </c>
      <c r="H96" s="431">
        <v>156.1455</v>
      </c>
      <c r="I96" s="428">
        <v>458.2595</v>
      </c>
      <c r="J96" s="429">
        <v>-10.49048523551</v>
      </c>
      <c r="K96" s="436">
        <v>0.244405074364</v>
      </c>
    </row>
    <row r="97" spans="1:11" ht="14.4" customHeight="1" thickBot="1" x14ac:dyDescent="0.35">
      <c r="A97" s="445" t="s">
        <v>371</v>
      </c>
      <c r="B97" s="423">
        <v>1860.99999999996</v>
      </c>
      <c r="C97" s="423">
        <v>1912.03475</v>
      </c>
      <c r="D97" s="424">
        <v>51.034750000038002</v>
      </c>
      <c r="E97" s="425">
        <v>1.0274232939279999</v>
      </c>
      <c r="F97" s="423">
        <v>1874.99994094204</v>
      </c>
      <c r="G97" s="424">
        <v>468.74998523551102</v>
      </c>
      <c r="H97" s="426">
        <v>156.1455</v>
      </c>
      <c r="I97" s="423">
        <v>458.2595</v>
      </c>
      <c r="J97" s="424">
        <v>-10.49048523551</v>
      </c>
      <c r="K97" s="427">
        <v>0.244405074364</v>
      </c>
    </row>
    <row r="98" spans="1:11" ht="14.4" customHeight="1" thickBot="1" x14ac:dyDescent="0.35">
      <c r="A98" s="443" t="s">
        <v>372</v>
      </c>
      <c r="B98" s="423">
        <v>73.999999999997996</v>
      </c>
      <c r="C98" s="423">
        <v>77.761529999999993</v>
      </c>
      <c r="D98" s="424">
        <v>3.7615300000010001</v>
      </c>
      <c r="E98" s="425">
        <v>1.050831486486</v>
      </c>
      <c r="F98" s="423">
        <v>74.999997637681005</v>
      </c>
      <c r="G98" s="424">
        <v>18.749999409419999</v>
      </c>
      <c r="H98" s="426">
        <v>6.2441800000000001</v>
      </c>
      <c r="I98" s="423">
        <v>18.326239999999999</v>
      </c>
      <c r="J98" s="424">
        <v>-0.42375940942000001</v>
      </c>
      <c r="K98" s="427">
        <v>0.24434987436300001</v>
      </c>
    </row>
    <row r="99" spans="1:11" ht="14.4" customHeight="1" thickBot="1" x14ac:dyDescent="0.35">
      <c r="A99" s="444" t="s">
        <v>373</v>
      </c>
      <c r="B99" s="428">
        <v>73.999999999997996</v>
      </c>
      <c r="C99" s="428">
        <v>77.761529999999993</v>
      </c>
      <c r="D99" s="429">
        <v>3.7615300000010001</v>
      </c>
      <c r="E99" s="435">
        <v>1.050831486486</v>
      </c>
      <c r="F99" s="428">
        <v>74.999997637681005</v>
      </c>
      <c r="G99" s="429">
        <v>18.749999409419999</v>
      </c>
      <c r="H99" s="431">
        <v>6.2441800000000001</v>
      </c>
      <c r="I99" s="428">
        <v>18.326239999999999</v>
      </c>
      <c r="J99" s="429">
        <v>-0.42375940942000001</v>
      </c>
      <c r="K99" s="436">
        <v>0.24434987436300001</v>
      </c>
    </row>
    <row r="100" spans="1:11" ht="14.4" customHeight="1" thickBot="1" x14ac:dyDescent="0.35">
      <c r="A100" s="445" t="s">
        <v>374</v>
      </c>
      <c r="B100" s="423">
        <v>73.999999999997996</v>
      </c>
      <c r="C100" s="423">
        <v>77.761529999999993</v>
      </c>
      <c r="D100" s="424">
        <v>3.7615300000010001</v>
      </c>
      <c r="E100" s="425">
        <v>1.050831486486</v>
      </c>
      <c r="F100" s="423">
        <v>74.999997637681005</v>
      </c>
      <c r="G100" s="424">
        <v>18.749999409419999</v>
      </c>
      <c r="H100" s="426">
        <v>6.2441800000000001</v>
      </c>
      <c r="I100" s="423">
        <v>18.326239999999999</v>
      </c>
      <c r="J100" s="424">
        <v>-0.42375940942000001</v>
      </c>
      <c r="K100" s="427">
        <v>0.24434987436300001</v>
      </c>
    </row>
    <row r="101" spans="1:11" ht="14.4" customHeight="1" thickBot="1" x14ac:dyDescent="0.35">
      <c r="A101" s="442" t="s">
        <v>375</v>
      </c>
      <c r="B101" s="423">
        <v>0</v>
      </c>
      <c r="C101" s="423">
        <v>85.842330000000004</v>
      </c>
      <c r="D101" s="424">
        <v>85.842330000000004</v>
      </c>
      <c r="E101" s="433" t="s">
        <v>282</v>
      </c>
      <c r="F101" s="423">
        <v>0</v>
      </c>
      <c r="G101" s="424">
        <v>0</v>
      </c>
      <c r="H101" s="426">
        <v>0</v>
      </c>
      <c r="I101" s="423">
        <v>5.8972499999999997</v>
      </c>
      <c r="J101" s="424">
        <v>5.8972499999999997</v>
      </c>
      <c r="K101" s="434" t="s">
        <v>282</v>
      </c>
    </row>
    <row r="102" spans="1:11" ht="14.4" customHeight="1" thickBot="1" x14ac:dyDescent="0.35">
      <c r="A102" s="443" t="s">
        <v>376</v>
      </c>
      <c r="B102" s="423">
        <v>0</v>
      </c>
      <c r="C102" s="423">
        <v>9.3529999999999998</v>
      </c>
      <c r="D102" s="424">
        <v>9.3529999999999998</v>
      </c>
      <c r="E102" s="433" t="s">
        <v>282</v>
      </c>
      <c r="F102" s="423">
        <v>0</v>
      </c>
      <c r="G102" s="424">
        <v>0</v>
      </c>
      <c r="H102" s="426">
        <v>0</v>
      </c>
      <c r="I102" s="423">
        <v>0</v>
      </c>
      <c r="J102" s="424">
        <v>0</v>
      </c>
      <c r="K102" s="434" t="s">
        <v>282</v>
      </c>
    </row>
    <row r="103" spans="1:11" ht="14.4" customHeight="1" thickBot="1" x14ac:dyDescent="0.35">
      <c r="A103" s="444" t="s">
        <v>377</v>
      </c>
      <c r="B103" s="428">
        <v>0</v>
      </c>
      <c r="C103" s="428">
        <v>9.3529999999999998</v>
      </c>
      <c r="D103" s="429">
        <v>9.3529999999999998</v>
      </c>
      <c r="E103" s="430" t="s">
        <v>282</v>
      </c>
      <c r="F103" s="428">
        <v>0</v>
      </c>
      <c r="G103" s="429">
        <v>0</v>
      </c>
      <c r="H103" s="431">
        <v>0</v>
      </c>
      <c r="I103" s="428">
        <v>0</v>
      </c>
      <c r="J103" s="429">
        <v>0</v>
      </c>
      <c r="K103" s="432" t="s">
        <v>282</v>
      </c>
    </row>
    <row r="104" spans="1:11" ht="14.4" customHeight="1" thickBot="1" x14ac:dyDescent="0.35">
      <c r="A104" s="445" t="s">
        <v>378</v>
      </c>
      <c r="B104" s="423">
        <v>0</v>
      </c>
      <c r="C104" s="423">
        <v>9.3529999999999998</v>
      </c>
      <c r="D104" s="424">
        <v>9.3529999999999998</v>
      </c>
      <c r="E104" s="433" t="s">
        <v>282</v>
      </c>
      <c r="F104" s="423">
        <v>0</v>
      </c>
      <c r="G104" s="424">
        <v>0</v>
      </c>
      <c r="H104" s="426">
        <v>0</v>
      </c>
      <c r="I104" s="423">
        <v>0</v>
      </c>
      <c r="J104" s="424">
        <v>0</v>
      </c>
      <c r="K104" s="434" t="s">
        <v>282</v>
      </c>
    </row>
    <row r="105" spans="1:11" ht="14.4" customHeight="1" thickBot="1" x14ac:dyDescent="0.35">
      <c r="A105" s="443" t="s">
        <v>379</v>
      </c>
      <c r="B105" s="423">
        <v>0</v>
      </c>
      <c r="C105" s="423">
        <v>76.489329999999995</v>
      </c>
      <c r="D105" s="424">
        <v>76.489329999999995</v>
      </c>
      <c r="E105" s="433" t="s">
        <v>282</v>
      </c>
      <c r="F105" s="423">
        <v>0</v>
      </c>
      <c r="G105" s="424">
        <v>0</v>
      </c>
      <c r="H105" s="426">
        <v>0</v>
      </c>
      <c r="I105" s="423">
        <v>5.8972499999999997</v>
      </c>
      <c r="J105" s="424">
        <v>5.8972499999999997</v>
      </c>
      <c r="K105" s="434" t="s">
        <v>282</v>
      </c>
    </row>
    <row r="106" spans="1:11" ht="14.4" customHeight="1" thickBot="1" x14ac:dyDescent="0.35">
      <c r="A106" s="444" t="s">
        <v>380</v>
      </c>
      <c r="B106" s="428">
        <v>0</v>
      </c>
      <c r="C106" s="428">
        <v>62.411000000000001</v>
      </c>
      <c r="D106" s="429">
        <v>62.411000000000001</v>
      </c>
      <c r="E106" s="430" t="s">
        <v>282</v>
      </c>
      <c r="F106" s="428">
        <v>0</v>
      </c>
      <c r="G106" s="429">
        <v>0</v>
      </c>
      <c r="H106" s="431">
        <v>0</v>
      </c>
      <c r="I106" s="428">
        <v>5.8972499999999997</v>
      </c>
      <c r="J106" s="429">
        <v>5.8972499999999997</v>
      </c>
      <c r="K106" s="432" t="s">
        <v>282</v>
      </c>
    </row>
    <row r="107" spans="1:11" ht="14.4" customHeight="1" thickBot="1" x14ac:dyDescent="0.35">
      <c r="A107" s="445" t="s">
        <v>381</v>
      </c>
      <c r="B107" s="423">
        <v>0</v>
      </c>
      <c r="C107" s="423">
        <v>2.2610000000000001</v>
      </c>
      <c r="D107" s="424">
        <v>2.2610000000000001</v>
      </c>
      <c r="E107" s="433" t="s">
        <v>282</v>
      </c>
      <c r="F107" s="423">
        <v>0</v>
      </c>
      <c r="G107" s="424">
        <v>0</v>
      </c>
      <c r="H107" s="426">
        <v>0</v>
      </c>
      <c r="I107" s="423">
        <v>0.49725000000000003</v>
      </c>
      <c r="J107" s="424">
        <v>0.49725000000000003</v>
      </c>
      <c r="K107" s="434" t="s">
        <v>282</v>
      </c>
    </row>
    <row r="108" spans="1:11" ht="14.4" customHeight="1" thickBot="1" x14ac:dyDescent="0.35">
      <c r="A108" s="445" t="s">
        <v>382</v>
      </c>
      <c r="B108" s="423">
        <v>0</v>
      </c>
      <c r="C108" s="423">
        <v>46.15</v>
      </c>
      <c r="D108" s="424">
        <v>46.15</v>
      </c>
      <c r="E108" s="433" t="s">
        <v>282</v>
      </c>
      <c r="F108" s="423">
        <v>0</v>
      </c>
      <c r="G108" s="424">
        <v>0</v>
      </c>
      <c r="H108" s="426">
        <v>0</v>
      </c>
      <c r="I108" s="423">
        <v>0</v>
      </c>
      <c r="J108" s="424">
        <v>0</v>
      </c>
      <c r="K108" s="434" t="s">
        <v>282</v>
      </c>
    </row>
    <row r="109" spans="1:11" ht="14.4" customHeight="1" thickBot="1" x14ac:dyDescent="0.35">
      <c r="A109" s="445" t="s">
        <v>383</v>
      </c>
      <c r="B109" s="423">
        <v>0</v>
      </c>
      <c r="C109" s="423">
        <v>14</v>
      </c>
      <c r="D109" s="424">
        <v>14</v>
      </c>
      <c r="E109" s="433" t="s">
        <v>282</v>
      </c>
      <c r="F109" s="423">
        <v>0</v>
      </c>
      <c r="G109" s="424">
        <v>0</v>
      </c>
      <c r="H109" s="426">
        <v>0</v>
      </c>
      <c r="I109" s="423">
        <v>5.4</v>
      </c>
      <c r="J109" s="424">
        <v>5.4</v>
      </c>
      <c r="K109" s="434" t="s">
        <v>282</v>
      </c>
    </row>
    <row r="110" spans="1:11" ht="14.4" customHeight="1" thickBot="1" x14ac:dyDescent="0.35">
      <c r="A110" s="444" t="s">
        <v>384</v>
      </c>
      <c r="B110" s="428">
        <v>0</v>
      </c>
      <c r="C110" s="428">
        <v>-1.13167</v>
      </c>
      <c r="D110" s="429">
        <v>-1.13167</v>
      </c>
      <c r="E110" s="430" t="s">
        <v>312</v>
      </c>
      <c r="F110" s="428">
        <v>0</v>
      </c>
      <c r="G110" s="429">
        <v>0</v>
      </c>
      <c r="H110" s="431">
        <v>0</v>
      </c>
      <c r="I110" s="428">
        <v>0</v>
      </c>
      <c r="J110" s="429">
        <v>0</v>
      </c>
      <c r="K110" s="432" t="s">
        <v>282</v>
      </c>
    </row>
    <row r="111" spans="1:11" ht="14.4" customHeight="1" thickBot="1" x14ac:dyDescent="0.35">
      <c r="A111" s="445" t="s">
        <v>385</v>
      </c>
      <c r="B111" s="423">
        <v>0</v>
      </c>
      <c r="C111" s="423">
        <v>-1.13167</v>
      </c>
      <c r="D111" s="424">
        <v>-1.13167</v>
      </c>
      <c r="E111" s="433" t="s">
        <v>312</v>
      </c>
      <c r="F111" s="423">
        <v>0</v>
      </c>
      <c r="G111" s="424">
        <v>0</v>
      </c>
      <c r="H111" s="426">
        <v>0</v>
      </c>
      <c r="I111" s="423">
        <v>0</v>
      </c>
      <c r="J111" s="424">
        <v>0</v>
      </c>
      <c r="K111" s="434" t="s">
        <v>282</v>
      </c>
    </row>
    <row r="112" spans="1:11" ht="14.4" customHeight="1" thickBot="1" x14ac:dyDescent="0.35">
      <c r="A112" s="447" t="s">
        <v>386</v>
      </c>
      <c r="B112" s="423">
        <v>0</v>
      </c>
      <c r="C112" s="423">
        <v>14.2</v>
      </c>
      <c r="D112" s="424">
        <v>14.2</v>
      </c>
      <c r="E112" s="433" t="s">
        <v>282</v>
      </c>
      <c r="F112" s="423">
        <v>0</v>
      </c>
      <c r="G112" s="424">
        <v>0</v>
      </c>
      <c r="H112" s="426">
        <v>0</v>
      </c>
      <c r="I112" s="423">
        <v>0</v>
      </c>
      <c r="J112" s="424">
        <v>0</v>
      </c>
      <c r="K112" s="434" t="s">
        <v>282</v>
      </c>
    </row>
    <row r="113" spans="1:11" ht="14.4" customHeight="1" thickBot="1" x14ac:dyDescent="0.35">
      <c r="A113" s="445" t="s">
        <v>387</v>
      </c>
      <c r="B113" s="423">
        <v>0</v>
      </c>
      <c r="C113" s="423">
        <v>14.2</v>
      </c>
      <c r="D113" s="424">
        <v>14.2</v>
      </c>
      <c r="E113" s="433" t="s">
        <v>282</v>
      </c>
      <c r="F113" s="423">
        <v>0</v>
      </c>
      <c r="G113" s="424">
        <v>0</v>
      </c>
      <c r="H113" s="426">
        <v>0</v>
      </c>
      <c r="I113" s="423">
        <v>0</v>
      </c>
      <c r="J113" s="424">
        <v>0</v>
      </c>
      <c r="K113" s="434" t="s">
        <v>282</v>
      </c>
    </row>
    <row r="114" spans="1:11" ht="14.4" customHeight="1" thickBot="1" x14ac:dyDescent="0.35">
      <c r="A114" s="444" t="s">
        <v>388</v>
      </c>
      <c r="B114" s="428">
        <v>0</v>
      </c>
      <c r="C114" s="428">
        <v>1.01</v>
      </c>
      <c r="D114" s="429">
        <v>1.01</v>
      </c>
      <c r="E114" s="430" t="s">
        <v>282</v>
      </c>
      <c r="F114" s="428">
        <v>0</v>
      </c>
      <c r="G114" s="429">
        <v>0</v>
      </c>
      <c r="H114" s="431">
        <v>0</v>
      </c>
      <c r="I114" s="428">
        <v>0</v>
      </c>
      <c r="J114" s="429">
        <v>0</v>
      </c>
      <c r="K114" s="432" t="s">
        <v>282</v>
      </c>
    </row>
    <row r="115" spans="1:11" ht="14.4" customHeight="1" thickBot="1" x14ac:dyDescent="0.35">
      <c r="A115" s="445" t="s">
        <v>389</v>
      </c>
      <c r="B115" s="423">
        <v>0</v>
      </c>
      <c r="C115" s="423">
        <v>1.01</v>
      </c>
      <c r="D115" s="424">
        <v>1.01</v>
      </c>
      <c r="E115" s="433" t="s">
        <v>282</v>
      </c>
      <c r="F115" s="423">
        <v>0</v>
      </c>
      <c r="G115" s="424">
        <v>0</v>
      </c>
      <c r="H115" s="426">
        <v>0</v>
      </c>
      <c r="I115" s="423">
        <v>0</v>
      </c>
      <c r="J115" s="424">
        <v>0</v>
      </c>
      <c r="K115" s="434" t="s">
        <v>282</v>
      </c>
    </row>
    <row r="116" spans="1:11" ht="14.4" customHeight="1" thickBot="1" x14ac:dyDescent="0.35">
      <c r="A116" s="442" t="s">
        <v>390</v>
      </c>
      <c r="B116" s="423">
        <v>837.06966017508898</v>
      </c>
      <c r="C116" s="423">
        <v>856.21900000000005</v>
      </c>
      <c r="D116" s="424">
        <v>19.149339824910999</v>
      </c>
      <c r="E116" s="425">
        <v>1.022876638272</v>
      </c>
      <c r="F116" s="423">
        <v>706.99718157935399</v>
      </c>
      <c r="G116" s="424">
        <v>176.74929539483901</v>
      </c>
      <c r="H116" s="426">
        <v>59.896999999999998</v>
      </c>
      <c r="I116" s="423">
        <v>188.85900000000001</v>
      </c>
      <c r="J116" s="424">
        <v>12.109704605160999</v>
      </c>
      <c r="K116" s="427">
        <v>0.267128363338</v>
      </c>
    </row>
    <row r="117" spans="1:11" ht="14.4" customHeight="1" thickBot="1" x14ac:dyDescent="0.35">
      <c r="A117" s="443" t="s">
        <v>391</v>
      </c>
      <c r="B117" s="423">
        <v>797.06966017508898</v>
      </c>
      <c r="C117" s="423">
        <v>789.702</v>
      </c>
      <c r="D117" s="424">
        <v>-7.367660175088</v>
      </c>
      <c r="E117" s="425">
        <v>0.99075656678000001</v>
      </c>
      <c r="F117" s="423">
        <v>706.99718157935399</v>
      </c>
      <c r="G117" s="424">
        <v>176.74929539483901</v>
      </c>
      <c r="H117" s="426">
        <v>59.896999999999998</v>
      </c>
      <c r="I117" s="423">
        <v>178.07900000000001</v>
      </c>
      <c r="J117" s="424">
        <v>1.329704605161</v>
      </c>
      <c r="K117" s="427">
        <v>0.25188077780099999</v>
      </c>
    </row>
    <row r="118" spans="1:11" ht="14.4" customHeight="1" thickBot="1" x14ac:dyDescent="0.35">
      <c r="A118" s="444" t="s">
        <v>392</v>
      </c>
      <c r="B118" s="428">
        <v>797.06966017508898</v>
      </c>
      <c r="C118" s="428">
        <v>789.702</v>
      </c>
      <c r="D118" s="429">
        <v>-7.367660175088</v>
      </c>
      <c r="E118" s="435">
        <v>0.99075656678000001</v>
      </c>
      <c r="F118" s="428">
        <v>706.99718157935399</v>
      </c>
      <c r="G118" s="429">
        <v>176.74929539483901</v>
      </c>
      <c r="H118" s="431">
        <v>57.973999999999997</v>
      </c>
      <c r="I118" s="428">
        <v>176.15600000000001</v>
      </c>
      <c r="J118" s="429">
        <v>-0.59329539483799998</v>
      </c>
      <c r="K118" s="436">
        <v>0.249160823536</v>
      </c>
    </row>
    <row r="119" spans="1:11" ht="14.4" customHeight="1" thickBot="1" x14ac:dyDescent="0.35">
      <c r="A119" s="445" t="s">
        <v>393</v>
      </c>
      <c r="B119" s="423">
        <v>46.998132700413002</v>
      </c>
      <c r="C119" s="423">
        <v>43.582000000000001</v>
      </c>
      <c r="D119" s="424">
        <v>-3.4161327004130002</v>
      </c>
      <c r="E119" s="425">
        <v>0.92731343770200003</v>
      </c>
      <c r="F119" s="423">
        <v>37.999998803091003</v>
      </c>
      <c r="G119" s="424">
        <v>9.4999997007719994</v>
      </c>
      <c r="H119" s="426">
        <v>3.137</v>
      </c>
      <c r="I119" s="423">
        <v>9.41</v>
      </c>
      <c r="J119" s="424">
        <v>-8.9999700771999994E-2</v>
      </c>
      <c r="K119" s="427">
        <v>0.247631586747</v>
      </c>
    </row>
    <row r="120" spans="1:11" ht="14.4" customHeight="1" thickBot="1" x14ac:dyDescent="0.35">
      <c r="A120" s="445" t="s">
        <v>394</v>
      </c>
      <c r="B120" s="423">
        <v>62.999999999998003</v>
      </c>
      <c r="C120" s="423">
        <v>63.13</v>
      </c>
      <c r="D120" s="424">
        <v>0.13000000000100001</v>
      </c>
      <c r="E120" s="425">
        <v>1.002063492063</v>
      </c>
      <c r="F120" s="423">
        <v>62.99999801565</v>
      </c>
      <c r="G120" s="424">
        <v>15.749999503912001</v>
      </c>
      <c r="H120" s="426">
        <v>5.26</v>
      </c>
      <c r="I120" s="423">
        <v>15.78</v>
      </c>
      <c r="J120" s="424">
        <v>3.0000496086999999E-2</v>
      </c>
      <c r="K120" s="427">
        <v>0.25047619836500001</v>
      </c>
    </row>
    <row r="121" spans="1:11" ht="14.4" customHeight="1" thickBot="1" x14ac:dyDescent="0.35">
      <c r="A121" s="445" t="s">
        <v>395</v>
      </c>
      <c r="B121" s="423">
        <v>4.0751735582590003</v>
      </c>
      <c r="C121" s="423">
        <v>3.7919999999999998</v>
      </c>
      <c r="D121" s="424">
        <v>-0.28317355825899998</v>
      </c>
      <c r="E121" s="425">
        <v>0.93051251579500005</v>
      </c>
      <c r="F121" s="423">
        <v>0.99999996850200001</v>
      </c>
      <c r="G121" s="424">
        <v>0.24999999212499999</v>
      </c>
      <c r="H121" s="426">
        <v>0.316</v>
      </c>
      <c r="I121" s="423">
        <v>0.94799999999999995</v>
      </c>
      <c r="J121" s="424">
        <v>0.69800000787399996</v>
      </c>
      <c r="K121" s="427">
        <v>0.948000029859</v>
      </c>
    </row>
    <row r="122" spans="1:11" ht="14.4" customHeight="1" thickBot="1" x14ac:dyDescent="0.35">
      <c r="A122" s="445" t="s">
        <v>396</v>
      </c>
      <c r="B122" s="423">
        <v>295.99635391642403</v>
      </c>
      <c r="C122" s="423">
        <v>291.58300000000003</v>
      </c>
      <c r="D122" s="424">
        <v>-4.4133539164229996</v>
      </c>
      <c r="E122" s="425">
        <v>0.98508983689100005</v>
      </c>
      <c r="F122" s="423">
        <v>284.997194871342</v>
      </c>
      <c r="G122" s="424">
        <v>71.249298717835003</v>
      </c>
      <c r="H122" s="426">
        <v>23.667999999999999</v>
      </c>
      <c r="I122" s="423">
        <v>71.003</v>
      </c>
      <c r="J122" s="424">
        <v>-0.24629871783499999</v>
      </c>
      <c r="K122" s="427">
        <v>0.24913578546599999</v>
      </c>
    </row>
    <row r="123" spans="1:11" ht="14.4" customHeight="1" thickBot="1" x14ac:dyDescent="0.35">
      <c r="A123" s="445" t="s">
        <v>397</v>
      </c>
      <c r="B123" s="423">
        <v>317.99999999999397</v>
      </c>
      <c r="C123" s="423">
        <v>318.81799999999998</v>
      </c>
      <c r="D123" s="424">
        <v>0.81800000000499995</v>
      </c>
      <c r="E123" s="425">
        <v>1.0025723270439999</v>
      </c>
      <c r="F123" s="423">
        <v>316.99999001526101</v>
      </c>
      <c r="G123" s="424">
        <v>79.249997503814996</v>
      </c>
      <c r="H123" s="426">
        <v>25.344000000000001</v>
      </c>
      <c r="I123" s="423">
        <v>78.268000000000001</v>
      </c>
      <c r="J123" s="424">
        <v>-0.98199750381499995</v>
      </c>
      <c r="K123" s="427">
        <v>0.24690221597799999</v>
      </c>
    </row>
    <row r="124" spans="1:11" ht="14.4" customHeight="1" thickBot="1" x14ac:dyDescent="0.35">
      <c r="A124" s="445" t="s">
        <v>398</v>
      </c>
      <c r="B124" s="423">
        <v>68.999999999997996</v>
      </c>
      <c r="C124" s="423">
        <v>68.796999999999997</v>
      </c>
      <c r="D124" s="424">
        <v>-0.202999999998</v>
      </c>
      <c r="E124" s="425">
        <v>0.99705797101399996</v>
      </c>
      <c r="F124" s="423">
        <v>2.9999999055069999</v>
      </c>
      <c r="G124" s="424">
        <v>0.74999997637600002</v>
      </c>
      <c r="H124" s="426">
        <v>0.249</v>
      </c>
      <c r="I124" s="423">
        <v>0.747</v>
      </c>
      <c r="J124" s="424">
        <v>-2.9999763759999999E-3</v>
      </c>
      <c r="K124" s="427">
        <v>0.24900000784199999</v>
      </c>
    </row>
    <row r="125" spans="1:11" ht="14.4" customHeight="1" thickBot="1" x14ac:dyDescent="0.35">
      <c r="A125" s="444" t="s">
        <v>399</v>
      </c>
      <c r="B125" s="428">
        <v>0</v>
      </c>
      <c r="C125" s="428">
        <v>0</v>
      </c>
      <c r="D125" s="429">
        <v>0</v>
      </c>
      <c r="E125" s="435">
        <v>1</v>
      </c>
      <c r="F125" s="428">
        <v>0</v>
      </c>
      <c r="G125" s="429">
        <v>0</v>
      </c>
      <c r="H125" s="431">
        <v>1.923</v>
      </c>
      <c r="I125" s="428">
        <v>1.923</v>
      </c>
      <c r="J125" s="429">
        <v>1.923</v>
      </c>
      <c r="K125" s="432" t="s">
        <v>312</v>
      </c>
    </row>
    <row r="126" spans="1:11" ht="14.4" customHeight="1" thickBot="1" x14ac:dyDescent="0.35">
      <c r="A126" s="445" t="s">
        <v>400</v>
      </c>
      <c r="B126" s="423">
        <v>0</v>
      </c>
      <c r="C126" s="423">
        <v>0</v>
      </c>
      <c r="D126" s="424">
        <v>0</v>
      </c>
      <c r="E126" s="425">
        <v>1</v>
      </c>
      <c r="F126" s="423">
        <v>0</v>
      </c>
      <c r="G126" s="424">
        <v>0</v>
      </c>
      <c r="H126" s="426">
        <v>1.923</v>
      </c>
      <c r="I126" s="423">
        <v>1.923</v>
      </c>
      <c r="J126" s="424">
        <v>1.923</v>
      </c>
      <c r="K126" s="434" t="s">
        <v>312</v>
      </c>
    </row>
    <row r="127" spans="1:11" ht="14.4" customHeight="1" thickBot="1" x14ac:dyDescent="0.35">
      <c r="A127" s="443" t="s">
        <v>401</v>
      </c>
      <c r="B127" s="423">
        <v>40</v>
      </c>
      <c r="C127" s="423">
        <v>66.516999999999996</v>
      </c>
      <c r="D127" s="424">
        <v>26.516999999999999</v>
      </c>
      <c r="E127" s="425">
        <v>1.662925</v>
      </c>
      <c r="F127" s="423">
        <v>0</v>
      </c>
      <c r="G127" s="424">
        <v>0</v>
      </c>
      <c r="H127" s="426">
        <v>0</v>
      </c>
      <c r="I127" s="423">
        <v>10.78</v>
      </c>
      <c r="J127" s="424">
        <v>10.78</v>
      </c>
      <c r="K127" s="434" t="s">
        <v>282</v>
      </c>
    </row>
    <row r="128" spans="1:11" ht="14.4" customHeight="1" thickBot="1" x14ac:dyDescent="0.35">
      <c r="A128" s="444" t="s">
        <v>402</v>
      </c>
      <c r="B128" s="428">
        <v>40</v>
      </c>
      <c r="C128" s="428">
        <v>46.768000000000001</v>
      </c>
      <c r="D128" s="429">
        <v>6.7679999999999998</v>
      </c>
      <c r="E128" s="435">
        <v>1.1692</v>
      </c>
      <c r="F128" s="428">
        <v>0</v>
      </c>
      <c r="G128" s="429">
        <v>0</v>
      </c>
      <c r="H128" s="431">
        <v>0</v>
      </c>
      <c r="I128" s="428">
        <v>0</v>
      </c>
      <c r="J128" s="429">
        <v>0</v>
      </c>
      <c r="K128" s="432" t="s">
        <v>282</v>
      </c>
    </row>
    <row r="129" spans="1:11" ht="14.4" customHeight="1" thickBot="1" x14ac:dyDescent="0.35">
      <c r="A129" s="445" t="s">
        <v>403</v>
      </c>
      <c r="B129" s="423">
        <v>40</v>
      </c>
      <c r="C129" s="423">
        <v>25</v>
      </c>
      <c r="D129" s="424">
        <v>-15</v>
      </c>
      <c r="E129" s="425">
        <v>0.625</v>
      </c>
      <c r="F129" s="423">
        <v>0</v>
      </c>
      <c r="G129" s="424">
        <v>0</v>
      </c>
      <c r="H129" s="426">
        <v>0</v>
      </c>
      <c r="I129" s="423">
        <v>0</v>
      </c>
      <c r="J129" s="424">
        <v>0</v>
      </c>
      <c r="K129" s="434" t="s">
        <v>282</v>
      </c>
    </row>
    <row r="130" spans="1:11" ht="14.4" customHeight="1" thickBot="1" x14ac:dyDescent="0.35">
      <c r="A130" s="445" t="s">
        <v>404</v>
      </c>
      <c r="B130" s="423">
        <v>0</v>
      </c>
      <c r="C130" s="423">
        <v>21.768000000000001</v>
      </c>
      <c r="D130" s="424">
        <v>21.768000000000001</v>
      </c>
      <c r="E130" s="433" t="s">
        <v>282</v>
      </c>
      <c r="F130" s="423">
        <v>0</v>
      </c>
      <c r="G130" s="424">
        <v>0</v>
      </c>
      <c r="H130" s="426">
        <v>0</v>
      </c>
      <c r="I130" s="423">
        <v>0</v>
      </c>
      <c r="J130" s="424">
        <v>0</v>
      </c>
      <c r="K130" s="434" t="s">
        <v>282</v>
      </c>
    </row>
    <row r="131" spans="1:11" ht="14.4" customHeight="1" thickBot="1" x14ac:dyDescent="0.35">
      <c r="A131" s="444" t="s">
        <v>405</v>
      </c>
      <c r="B131" s="428">
        <v>0</v>
      </c>
      <c r="C131" s="428">
        <v>19.748999999999999</v>
      </c>
      <c r="D131" s="429">
        <v>19.748999999999999</v>
      </c>
      <c r="E131" s="430" t="s">
        <v>312</v>
      </c>
      <c r="F131" s="428">
        <v>0</v>
      </c>
      <c r="G131" s="429">
        <v>0</v>
      </c>
      <c r="H131" s="431">
        <v>0</v>
      </c>
      <c r="I131" s="428">
        <v>0</v>
      </c>
      <c r="J131" s="429">
        <v>0</v>
      </c>
      <c r="K131" s="432" t="s">
        <v>282</v>
      </c>
    </row>
    <row r="132" spans="1:11" ht="14.4" customHeight="1" thickBot="1" x14ac:dyDescent="0.35">
      <c r="A132" s="445" t="s">
        <v>406</v>
      </c>
      <c r="B132" s="423">
        <v>0</v>
      </c>
      <c r="C132" s="423">
        <v>9.9999999900000002E-4</v>
      </c>
      <c r="D132" s="424">
        <v>9.9999999900000002E-4</v>
      </c>
      <c r="E132" s="433" t="s">
        <v>312</v>
      </c>
      <c r="F132" s="423">
        <v>0</v>
      </c>
      <c r="G132" s="424">
        <v>0</v>
      </c>
      <c r="H132" s="426">
        <v>0</v>
      </c>
      <c r="I132" s="423">
        <v>0</v>
      </c>
      <c r="J132" s="424">
        <v>0</v>
      </c>
      <c r="K132" s="434" t="s">
        <v>282</v>
      </c>
    </row>
    <row r="133" spans="1:11" ht="14.4" customHeight="1" thickBot="1" x14ac:dyDescent="0.35">
      <c r="A133" s="445" t="s">
        <v>407</v>
      </c>
      <c r="B133" s="423">
        <v>0</v>
      </c>
      <c r="C133" s="423">
        <v>3.9929999999999999</v>
      </c>
      <c r="D133" s="424">
        <v>3.9929999999999999</v>
      </c>
      <c r="E133" s="433" t="s">
        <v>312</v>
      </c>
      <c r="F133" s="423">
        <v>0</v>
      </c>
      <c r="G133" s="424">
        <v>0</v>
      </c>
      <c r="H133" s="426">
        <v>0</v>
      </c>
      <c r="I133" s="423">
        <v>0</v>
      </c>
      <c r="J133" s="424">
        <v>0</v>
      </c>
      <c r="K133" s="434" t="s">
        <v>282</v>
      </c>
    </row>
    <row r="134" spans="1:11" ht="14.4" customHeight="1" thickBot="1" x14ac:dyDescent="0.35">
      <c r="A134" s="445" t="s">
        <v>408</v>
      </c>
      <c r="B134" s="423">
        <v>0</v>
      </c>
      <c r="C134" s="423">
        <v>15.755000000000001</v>
      </c>
      <c r="D134" s="424">
        <v>15.755000000000001</v>
      </c>
      <c r="E134" s="433" t="s">
        <v>312</v>
      </c>
      <c r="F134" s="423">
        <v>0</v>
      </c>
      <c r="G134" s="424">
        <v>0</v>
      </c>
      <c r="H134" s="426">
        <v>0</v>
      </c>
      <c r="I134" s="423">
        <v>0</v>
      </c>
      <c r="J134" s="424">
        <v>0</v>
      </c>
      <c r="K134" s="434" t="s">
        <v>282</v>
      </c>
    </row>
    <row r="135" spans="1:11" ht="14.4" customHeight="1" thickBot="1" x14ac:dyDescent="0.35">
      <c r="A135" s="444" t="s">
        <v>409</v>
      </c>
      <c r="B135" s="428">
        <v>0</v>
      </c>
      <c r="C135" s="428">
        <v>0</v>
      </c>
      <c r="D135" s="429">
        <v>0</v>
      </c>
      <c r="E135" s="430" t="s">
        <v>282</v>
      </c>
      <c r="F135" s="428">
        <v>0</v>
      </c>
      <c r="G135" s="429">
        <v>0</v>
      </c>
      <c r="H135" s="431">
        <v>0</v>
      </c>
      <c r="I135" s="428">
        <v>10.78</v>
      </c>
      <c r="J135" s="429">
        <v>10.78</v>
      </c>
      <c r="K135" s="432" t="s">
        <v>312</v>
      </c>
    </row>
    <row r="136" spans="1:11" ht="14.4" customHeight="1" thickBot="1" x14ac:dyDescent="0.35">
      <c r="A136" s="445" t="s">
        <v>410</v>
      </c>
      <c r="B136" s="423">
        <v>0</v>
      </c>
      <c r="C136" s="423">
        <v>0</v>
      </c>
      <c r="D136" s="424">
        <v>0</v>
      </c>
      <c r="E136" s="433" t="s">
        <v>282</v>
      </c>
      <c r="F136" s="423">
        <v>0</v>
      </c>
      <c r="G136" s="424">
        <v>0</v>
      </c>
      <c r="H136" s="426">
        <v>0</v>
      </c>
      <c r="I136" s="423">
        <v>10.78</v>
      </c>
      <c r="J136" s="424">
        <v>10.78</v>
      </c>
      <c r="K136" s="434" t="s">
        <v>312</v>
      </c>
    </row>
    <row r="137" spans="1:11" ht="14.4" customHeight="1" thickBot="1" x14ac:dyDescent="0.35">
      <c r="A137" s="441" t="s">
        <v>411</v>
      </c>
      <c r="B137" s="423">
        <v>6291.8248511234397</v>
      </c>
      <c r="C137" s="423">
        <v>3574.0793100000001</v>
      </c>
      <c r="D137" s="424">
        <v>-2717.74554112344</v>
      </c>
      <c r="E137" s="425">
        <v>0.568051303806</v>
      </c>
      <c r="F137" s="423">
        <v>5586.5949524791804</v>
      </c>
      <c r="G137" s="424">
        <v>1396.6487381198001</v>
      </c>
      <c r="H137" s="426">
        <v>254.29414</v>
      </c>
      <c r="I137" s="423">
        <v>839.95087999999998</v>
      </c>
      <c r="J137" s="424">
        <v>-556.697858119795</v>
      </c>
      <c r="K137" s="427">
        <v>0.15035113287099999</v>
      </c>
    </row>
    <row r="138" spans="1:11" ht="14.4" customHeight="1" thickBot="1" x14ac:dyDescent="0.35">
      <c r="A138" s="442" t="s">
        <v>412</v>
      </c>
      <c r="B138" s="423">
        <v>6273.1623290185298</v>
      </c>
      <c r="C138" s="423">
        <v>3495.7142199999998</v>
      </c>
      <c r="D138" s="424">
        <v>-2777.44810901853</v>
      </c>
      <c r="E138" s="425">
        <v>0.557249125186</v>
      </c>
      <c r="F138" s="423">
        <v>5582.5949524791804</v>
      </c>
      <c r="G138" s="424">
        <v>1395.6487381198001</v>
      </c>
      <c r="H138" s="426">
        <v>254.29444000000001</v>
      </c>
      <c r="I138" s="423">
        <v>829.17080999999996</v>
      </c>
      <c r="J138" s="424">
        <v>-566.47792811979502</v>
      </c>
      <c r="K138" s="427">
        <v>0.14852784718500001</v>
      </c>
    </row>
    <row r="139" spans="1:11" ht="14.4" customHeight="1" thickBot="1" x14ac:dyDescent="0.35">
      <c r="A139" s="443" t="s">
        <v>413</v>
      </c>
      <c r="B139" s="423">
        <v>6273.1623290185298</v>
      </c>
      <c r="C139" s="423">
        <v>3495.7142199999998</v>
      </c>
      <c r="D139" s="424">
        <v>-2777.44810901853</v>
      </c>
      <c r="E139" s="425">
        <v>0.557249125186</v>
      </c>
      <c r="F139" s="423">
        <v>5582.5949524791804</v>
      </c>
      <c r="G139" s="424">
        <v>1395.6487381198001</v>
      </c>
      <c r="H139" s="426">
        <v>254.29444000000001</v>
      </c>
      <c r="I139" s="423">
        <v>829.17080999999996</v>
      </c>
      <c r="J139" s="424">
        <v>-566.47792811979502</v>
      </c>
      <c r="K139" s="427">
        <v>0.14852784718500001</v>
      </c>
    </row>
    <row r="140" spans="1:11" ht="14.4" customHeight="1" thickBot="1" x14ac:dyDescent="0.35">
      <c r="A140" s="444" t="s">
        <v>414</v>
      </c>
      <c r="B140" s="428">
        <v>1918.16234905383</v>
      </c>
      <c r="C140" s="428">
        <v>1209.2185099999999</v>
      </c>
      <c r="D140" s="429">
        <v>-708.94383905382597</v>
      </c>
      <c r="E140" s="435">
        <v>0.63040467382499998</v>
      </c>
      <c r="F140" s="428">
        <v>1198.11838820763</v>
      </c>
      <c r="G140" s="429">
        <v>299.52959705190801</v>
      </c>
      <c r="H140" s="431">
        <v>59.89584</v>
      </c>
      <c r="I140" s="428">
        <v>290.34300000000002</v>
      </c>
      <c r="J140" s="429">
        <v>-9.1865970519070004</v>
      </c>
      <c r="K140" s="436">
        <v>0.24233247970899999</v>
      </c>
    </row>
    <row r="141" spans="1:11" ht="14.4" customHeight="1" thickBot="1" x14ac:dyDescent="0.35">
      <c r="A141" s="445" t="s">
        <v>415</v>
      </c>
      <c r="B141" s="423">
        <v>10.041766225843</v>
      </c>
      <c r="C141" s="423">
        <v>7.0460399999999996</v>
      </c>
      <c r="D141" s="424">
        <v>-2.9957262258430002</v>
      </c>
      <c r="E141" s="425">
        <v>0.70167337513399997</v>
      </c>
      <c r="F141" s="423">
        <v>6.2125148566709996</v>
      </c>
      <c r="G141" s="424">
        <v>1.553128714167</v>
      </c>
      <c r="H141" s="426">
        <v>0.90080000000000005</v>
      </c>
      <c r="I141" s="423">
        <v>1.4214500000000001</v>
      </c>
      <c r="J141" s="424">
        <v>-0.131678714167</v>
      </c>
      <c r="K141" s="427">
        <v>0.22880428180699999</v>
      </c>
    </row>
    <row r="142" spans="1:11" ht="14.4" customHeight="1" thickBot="1" x14ac:dyDescent="0.35">
      <c r="A142" s="445" t="s">
        <v>416</v>
      </c>
      <c r="B142" s="423">
        <v>0.59286381124599996</v>
      </c>
      <c r="C142" s="423">
        <v>0.46800000000000003</v>
      </c>
      <c r="D142" s="424">
        <v>-0.124863811246</v>
      </c>
      <c r="E142" s="425">
        <v>0.78938871140599998</v>
      </c>
      <c r="F142" s="423">
        <v>0.46076381940700001</v>
      </c>
      <c r="G142" s="424">
        <v>0.115190954851</v>
      </c>
      <c r="H142" s="426">
        <v>0</v>
      </c>
      <c r="I142" s="423">
        <v>0.23499999999999999</v>
      </c>
      <c r="J142" s="424">
        <v>0.119809045148</v>
      </c>
      <c r="K142" s="427">
        <v>0.51002268429399999</v>
      </c>
    </row>
    <row r="143" spans="1:11" ht="14.4" customHeight="1" thickBot="1" x14ac:dyDescent="0.35">
      <c r="A143" s="445" t="s">
        <v>417</v>
      </c>
      <c r="B143" s="423">
        <v>15.441952028698999</v>
      </c>
      <c r="C143" s="423">
        <v>2.08704</v>
      </c>
      <c r="D143" s="424">
        <v>-13.354912028698999</v>
      </c>
      <c r="E143" s="425">
        <v>0.13515389739</v>
      </c>
      <c r="F143" s="423">
        <v>2.1397219121459998</v>
      </c>
      <c r="G143" s="424">
        <v>0.53493047803600002</v>
      </c>
      <c r="H143" s="426">
        <v>0</v>
      </c>
      <c r="I143" s="423">
        <v>0</v>
      </c>
      <c r="J143" s="424">
        <v>-0.53493047803600002</v>
      </c>
      <c r="K143" s="427">
        <v>0</v>
      </c>
    </row>
    <row r="144" spans="1:11" ht="14.4" customHeight="1" thickBot="1" x14ac:dyDescent="0.35">
      <c r="A144" s="445" t="s">
        <v>418</v>
      </c>
      <c r="B144" s="423">
        <v>38.191788334998002</v>
      </c>
      <c r="C144" s="423">
        <v>23.334689999999998</v>
      </c>
      <c r="D144" s="424">
        <v>-14.857098334998</v>
      </c>
      <c r="E144" s="425">
        <v>0.61098710003599999</v>
      </c>
      <c r="F144" s="423">
        <v>20.572702056817</v>
      </c>
      <c r="G144" s="424">
        <v>5.1431755142039997</v>
      </c>
      <c r="H144" s="426">
        <v>0.30915999999999999</v>
      </c>
      <c r="I144" s="423">
        <v>46.995739999999998</v>
      </c>
      <c r="J144" s="424">
        <v>41.852564485795</v>
      </c>
      <c r="K144" s="427">
        <v>2.2843737234999999</v>
      </c>
    </row>
    <row r="145" spans="1:11" ht="14.4" customHeight="1" thickBot="1" x14ac:dyDescent="0.35">
      <c r="A145" s="445" t="s">
        <v>419</v>
      </c>
      <c r="B145" s="423">
        <v>1853.89397865304</v>
      </c>
      <c r="C145" s="423">
        <v>1176.2827400000001</v>
      </c>
      <c r="D145" s="424">
        <v>-677.61123865303705</v>
      </c>
      <c r="E145" s="425">
        <v>0.63449299341999998</v>
      </c>
      <c r="F145" s="423">
        <v>1168.7326855625899</v>
      </c>
      <c r="G145" s="424">
        <v>292.18317139064698</v>
      </c>
      <c r="H145" s="426">
        <v>58.685879999999997</v>
      </c>
      <c r="I145" s="423">
        <v>241.69081</v>
      </c>
      <c r="J145" s="424">
        <v>-50.492361390646998</v>
      </c>
      <c r="K145" s="427">
        <v>0.206797339533</v>
      </c>
    </row>
    <row r="146" spans="1:11" ht="14.4" customHeight="1" thickBot="1" x14ac:dyDescent="0.35">
      <c r="A146" s="444" t="s">
        <v>420</v>
      </c>
      <c r="B146" s="428">
        <v>0</v>
      </c>
      <c r="C146" s="428">
        <v>27.703679999999999</v>
      </c>
      <c r="D146" s="429">
        <v>27.703679999999999</v>
      </c>
      <c r="E146" s="430" t="s">
        <v>282</v>
      </c>
      <c r="F146" s="428">
        <v>37.000000000009003</v>
      </c>
      <c r="G146" s="429">
        <v>9.2500000000020002</v>
      </c>
      <c r="H146" s="431">
        <v>0.46200000000000002</v>
      </c>
      <c r="I146" s="428">
        <v>2.9750999999999999</v>
      </c>
      <c r="J146" s="429">
        <v>-6.2749000000019999</v>
      </c>
      <c r="K146" s="436">
        <v>8.0408108108000004E-2</v>
      </c>
    </row>
    <row r="147" spans="1:11" ht="14.4" customHeight="1" thickBot="1" x14ac:dyDescent="0.35">
      <c r="A147" s="445" t="s">
        <v>421</v>
      </c>
      <c r="B147" s="423">
        <v>0</v>
      </c>
      <c r="C147" s="423">
        <v>27.703679999999999</v>
      </c>
      <c r="D147" s="424">
        <v>27.703679999999999</v>
      </c>
      <c r="E147" s="433" t="s">
        <v>282</v>
      </c>
      <c r="F147" s="423">
        <v>37.000000000009003</v>
      </c>
      <c r="G147" s="424">
        <v>9.2500000000020002</v>
      </c>
      <c r="H147" s="426">
        <v>0.46200000000000002</v>
      </c>
      <c r="I147" s="423">
        <v>2.9750999999999999</v>
      </c>
      <c r="J147" s="424">
        <v>-6.2749000000019999</v>
      </c>
      <c r="K147" s="427">
        <v>8.0408108108000004E-2</v>
      </c>
    </row>
    <row r="148" spans="1:11" ht="14.4" customHeight="1" thickBot="1" x14ac:dyDescent="0.35">
      <c r="A148" s="444" t="s">
        <v>422</v>
      </c>
      <c r="B148" s="428">
        <v>2.9999799647069998</v>
      </c>
      <c r="C148" s="428">
        <v>0.47736000000000001</v>
      </c>
      <c r="D148" s="429">
        <v>-2.5226199647069998</v>
      </c>
      <c r="E148" s="435">
        <v>0.159121062679</v>
      </c>
      <c r="F148" s="428">
        <v>3.4765642704049999</v>
      </c>
      <c r="G148" s="429">
        <v>0.86914106760099996</v>
      </c>
      <c r="H148" s="431">
        <v>0.12154</v>
      </c>
      <c r="I148" s="428">
        <v>0.32053999999999999</v>
      </c>
      <c r="J148" s="429">
        <v>-0.54860106760100003</v>
      </c>
      <c r="K148" s="436">
        <v>9.2200222710000002E-2</v>
      </c>
    </row>
    <row r="149" spans="1:11" ht="14.4" customHeight="1" thickBot="1" x14ac:dyDescent="0.35">
      <c r="A149" s="445" t="s">
        <v>423</v>
      </c>
      <c r="B149" s="423">
        <v>2.9999799647069998</v>
      </c>
      <c r="C149" s="423">
        <v>0.47736000000000001</v>
      </c>
      <c r="D149" s="424">
        <v>-2.5226199647069998</v>
      </c>
      <c r="E149" s="425">
        <v>0.159121062679</v>
      </c>
      <c r="F149" s="423">
        <v>3.4765642704049999</v>
      </c>
      <c r="G149" s="424">
        <v>0.86914106760099996</v>
      </c>
      <c r="H149" s="426">
        <v>0.12154</v>
      </c>
      <c r="I149" s="423">
        <v>0.12154</v>
      </c>
      <c r="J149" s="424">
        <v>-0.74760106760099998</v>
      </c>
      <c r="K149" s="427">
        <v>3.4959802420999997E-2</v>
      </c>
    </row>
    <row r="150" spans="1:11" ht="14.4" customHeight="1" thickBot="1" x14ac:dyDescent="0.35">
      <c r="A150" s="445" t="s">
        <v>424</v>
      </c>
      <c r="B150" s="423">
        <v>0</v>
      </c>
      <c r="C150" s="423">
        <v>0</v>
      </c>
      <c r="D150" s="424">
        <v>0</v>
      </c>
      <c r="E150" s="433" t="s">
        <v>282</v>
      </c>
      <c r="F150" s="423">
        <v>0</v>
      </c>
      <c r="G150" s="424">
        <v>0</v>
      </c>
      <c r="H150" s="426">
        <v>0</v>
      </c>
      <c r="I150" s="423">
        <v>0.19900000000000001</v>
      </c>
      <c r="J150" s="424">
        <v>0.19900000000000001</v>
      </c>
      <c r="K150" s="434" t="s">
        <v>312</v>
      </c>
    </row>
    <row r="151" spans="1:11" ht="14.4" customHeight="1" thickBot="1" x14ac:dyDescent="0.35">
      <c r="A151" s="444" t="s">
        <v>425</v>
      </c>
      <c r="B151" s="428">
        <v>4352</v>
      </c>
      <c r="C151" s="428">
        <v>2095.4214200000001</v>
      </c>
      <c r="D151" s="429">
        <v>-2256.5785799999999</v>
      </c>
      <c r="E151" s="435">
        <v>0.48148470128600002</v>
      </c>
      <c r="F151" s="428">
        <v>4344.0000000011396</v>
      </c>
      <c r="G151" s="429">
        <v>1086.0000000002799</v>
      </c>
      <c r="H151" s="431">
        <v>193.81505999999999</v>
      </c>
      <c r="I151" s="428">
        <v>538.09448999999995</v>
      </c>
      <c r="J151" s="429">
        <v>-547.90551000028404</v>
      </c>
      <c r="K151" s="436">
        <v>0.12387073895</v>
      </c>
    </row>
    <row r="152" spans="1:11" ht="14.4" customHeight="1" thickBot="1" x14ac:dyDescent="0.35">
      <c r="A152" s="445" t="s">
        <v>426</v>
      </c>
      <c r="B152" s="423">
        <v>1780</v>
      </c>
      <c r="C152" s="423">
        <v>706.60212000000001</v>
      </c>
      <c r="D152" s="424">
        <v>-1073.39788</v>
      </c>
      <c r="E152" s="425">
        <v>0.396967483146</v>
      </c>
      <c r="F152" s="423">
        <v>1860.00000000049</v>
      </c>
      <c r="G152" s="424">
        <v>465.00000000012199</v>
      </c>
      <c r="H152" s="426">
        <v>70.526020000000003</v>
      </c>
      <c r="I152" s="423">
        <v>171.92513</v>
      </c>
      <c r="J152" s="424">
        <v>-293.07487000012202</v>
      </c>
      <c r="K152" s="427">
        <v>9.2432865591000002E-2</v>
      </c>
    </row>
    <row r="153" spans="1:11" ht="14.4" customHeight="1" thickBot="1" x14ac:dyDescent="0.35">
      <c r="A153" s="445" t="s">
        <v>427</v>
      </c>
      <c r="B153" s="423">
        <v>2572</v>
      </c>
      <c r="C153" s="423">
        <v>1388.8193000000001</v>
      </c>
      <c r="D153" s="424">
        <v>-1183.1806999999999</v>
      </c>
      <c r="E153" s="425">
        <v>0.53997639968800004</v>
      </c>
      <c r="F153" s="423">
        <v>2484.0000000006498</v>
      </c>
      <c r="G153" s="424">
        <v>621.000000000162</v>
      </c>
      <c r="H153" s="426">
        <v>123.28904</v>
      </c>
      <c r="I153" s="423">
        <v>366.16935999999998</v>
      </c>
      <c r="J153" s="424">
        <v>-254.83064000016199</v>
      </c>
      <c r="K153" s="427">
        <v>0.14741117552300001</v>
      </c>
    </row>
    <row r="154" spans="1:11" ht="14.4" customHeight="1" thickBot="1" x14ac:dyDescent="0.35">
      <c r="A154" s="444" t="s">
        <v>428</v>
      </c>
      <c r="B154" s="428">
        <v>0</v>
      </c>
      <c r="C154" s="428">
        <v>162.89324999999999</v>
      </c>
      <c r="D154" s="429">
        <v>162.89324999999999</v>
      </c>
      <c r="E154" s="430" t="s">
        <v>282</v>
      </c>
      <c r="F154" s="428">
        <v>0</v>
      </c>
      <c r="G154" s="429">
        <v>0</v>
      </c>
      <c r="H154" s="431">
        <v>0</v>
      </c>
      <c r="I154" s="428">
        <v>-2.5623200000000002</v>
      </c>
      <c r="J154" s="429">
        <v>-2.5623200000000002</v>
      </c>
      <c r="K154" s="432" t="s">
        <v>282</v>
      </c>
    </row>
    <row r="155" spans="1:11" ht="14.4" customHeight="1" thickBot="1" x14ac:dyDescent="0.35">
      <c r="A155" s="445" t="s">
        <v>429</v>
      </c>
      <c r="B155" s="423">
        <v>0</v>
      </c>
      <c r="C155" s="423">
        <v>10.92445</v>
      </c>
      <c r="D155" s="424">
        <v>10.92445</v>
      </c>
      <c r="E155" s="433" t="s">
        <v>282</v>
      </c>
      <c r="F155" s="423">
        <v>0</v>
      </c>
      <c r="G155" s="424">
        <v>0</v>
      </c>
      <c r="H155" s="426">
        <v>0</v>
      </c>
      <c r="I155" s="423">
        <v>0</v>
      </c>
      <c r="J155" s="424">
        <v>0</v>
      </c>
      <c r="K155" s="434" t="s">
        <v>282</v>
      </c>
    </row>
    <row r="156" spans="1:11" ht="14.4" customHeight="1" thickBot="1" x14ac:dyDescent="0.35">
      <c r="A156" s="445" t="s">
        <v>430</v>
      </c>
      <c r="B156" s="423">
        <v>0</v>
      </c>
      <c r="C156" s="423">
        <v>151.96879999999999</v>
      </c>
      <c r="D156" s="424">
        <v>151.96879999999999</v>
      </c>
      <c r="E156" s="433" t="s">
        <v>282</v>
      </c>
      <c r="F156" s="423">
        <v>0</v>
      </c>
      <c r="G156" s="424">
        <v>0</v>
      </c>
      <c r="H156" s="426">
        <v>0</v>
      </c>
      <c r="I156" s="423">
        <v>-2.5623200000000002</v>
      </c>
      <c r="J156" s="424">
        <v>-2.5623200000000002</v>
      </c>
      <c r="K156" s="434" t="s">
        <v>282</v>
      </c>
    </row>
    <row r="157" spans="1:11" ht="14.4" customHeight="1" thickBot="1" x14ac:dyDescent="0.35">
      <c r="A157" s="442" t="s">
        <v>431</v>
      </c>
      <c r="B157" s="423">
        <v>18.662522104905999</v>
      </c>
      <c r="C157" s="423">
        <v>78.365089999999995</v>
      </c>
      <c r="D157" s="424">
        <v>59.702567895092997</v>
      </c>
      <c r="E157" s="425">
        <v>4.1990621395909997</v>
      </c>
      <c r="F157" s="423">
        <v>4</v>
      </c>
      <c r="G157" s="424">
        <v>1</v>
      </c>
      <c r="H157" s="426">
        <v>-2.9999999999999997E-4</v>
      </c>
      <c r="I157" s="423">
        <v>10.78007</v>
      </c>
      <c r="J157" s="424">
        <v>9.7800700000000003</v>
      </c>
      <c r="K157" s="427">
        <v>2.6950175000000001</v>
      </c>
    </row>
    <row r="158" spans="1:11" ht="14.4" customHeight="1" thickBot="1" x14ac:dyDescent="0.35">
      <c r="A158" s="443" t="s">
        <v>432</v>
      </c>
      <c r="B158" s="423">
        <v>0</v>
      </c>
      <c r="C158" s="423">
        <v>49.231999999999999</v>
      </c>
      <c r="D158" s="424">
        <v>49.231999999999999</v>
      </c>
      <c r="E158" s="433" t="s">
        <v>282</v>
      </c>
      <c r="F158" s="423">
        <v>0</v>
      </c>
      <c r="G158" s="424">
        <v>0</v>
      </c>
      <c r="H158" s="426">
        <v>0</v>
      </c>
      <c r="I158" s="423">
        <v>10.78</v>
      </c>
      <c r="J158" s="424">
        <v>10.78</v>
      </c>
      <c r="K158" s="434" t="s">
        <v>282</v>
      </c>
    </row>
    <row r="159" spans="1:11" ht="14.4" customHeight="1" thickBot="1" x14ac:dyDescent="0.35">
      <c r="A159" s="444" t="s">
        <v>433</v>
      </c>
      <c r="B159" s="428">
        <v>0</v>
      </c>
      <c r="C159" s="428">
        <v>49.231999999999999</v>
      </c>
      <c r="D159" s="429">
        <v>49.231999999999999</v>
      </c>
      <c r="E159" s="430" t="s">
        <v>282</v>
      </c>
      <c r="F159" s="428">
        <v>0</v>
      </c>
      <c r="G159" s="429">
        <v>0</v>
      </c>
      <c r="H159" s="431">
        <v>0</v>
      </c>
      <c r="I159" s="428">
        <v>10.78</v>
      </c>
      <c r="J159" s="429">
        <v>10.78</v>
      </c>
      <c r="K159" s="432" t="s">
        <v>282</v>
      </c>
    </row>
    <row r="160" spans="1:11" ht="14.4" customHeight="1" thickBot="1" x14ac:dyDescent="0.35">
      <c r="A160" s="445" t="s">
        <v>434</v>
      </c>
      <c r="B160" s="423">
        <v>0</v>
      </c>
      <c r="C160" s="423">
        <v>49.231999999999999</v>
      </c>
      <c r="D160" s="424">
        <v>49.231999999999999</v>
      </c>
      <c r="E160" s="433" t="s">
        <v>282</v>
      </c>
      <c r="F160" s="423">
        <v>0</v>
      </c>
      <c r="G160" s="424">
        <v>0</v>
      </c>
      <c r="H160" s="426">
        <v>0</v>
      </c>
      <c r="I160" s="423">
        <v>10.78</v>
      </c>
      <c r="J160" s="424">
        <v>10.78</v>
      </c>
      <c r="K160" s="434" t="s">
        <v>282</v>
      </c>
    </row>
    <row r="161" spans="1:11" ht="14.4" customHeight="1" thickBot="1" x14ac:dyDescent="0.35">
      <c r="A161" s="448" t="s">
        <v>435</v>
      </c>
      <c r="B161" s="428">
        <v>18.662522104905999</v>
      </c>
      <c r="C161" s="428">
        <v>29.133089999999999</v>
      </c>
      <c r="D161" s="429">
        <v>10.470567895093</v>
      </c>
      <c r="E161" s="435">
        <v>1.5610478496010001</v>
      </c>
      <c r="F161" s="428">
        <v>4</v>
      </c>
      <c r="G161" s="429">
        <v>1</v>
      </c>
      <c r="H161" s="431">
        <v>-2.9999999999999997E-4</v>
      </c>
      <c r="I161" s="428">
        <v>6.9999999999999601E-5</v>
      </c>
      <c r="J161" s="429">
        <v>-0.99992999999999999</v>
      </c>
      <c r="K161" s="436">
        <v>1.74999999999999E-5</v>
      </c>
    </row>
    <row r="162" spans="1:11" ht="14.4" customHeight="1" thickBot="1" x14ac:dyDescent="0.35">
      <c r="A162" s="444" t="s">
        <v>436</v>
      </c>
      <c r="B162" s="428">
        <v>0</v>
      </c>
      <c r="C162" s="428">
        <v>25.000859999999999</v>
      </c>
      <c r="D162" s="429">
        <v>25.000859999999999</v>
      </c>
      <c r="E162" s="430" t="s">
        <v>282</v>
      </c>
      <c r="F162" s="428">
        <v>0</v>
      </c>
      <c r="G162" s="429">
        <v>0</v>
      </c>
      <c r="H162" s="431">
        <v>-2.9999999999999997E-4</v>
      </c>
      <c r="I162" s="428">
        <v>6.9999999999999601E-5</v>
      </c>
      <c r="J162" s="429">
        <v>6.9999999999999601E-5</v>
      </c>
      <c r="K162" s="432" t="s">
        <v>282</v>
      </c>
    </row>
    <row r="163" spans="1:11" ht="14.4" customHeight="1" thickBot="1" x14ac:dyDescent="0.35">
      <c r="A163" s="445" t="s">
        <v>437</v>
      </c>
      <c r="B163" s="423">
        <v>0</v>
      </c>
      <c r="C163" s="423">
        <v>8.5999999999999998E-4</v>
      </c>
      <c r="D163" s="424">
        <v>8.5999999999999998E-4</v>
      </c>
      <c r="E163" s="433" t="s">
        <v>282</v>
      </c>
      <c r="F163" s="423">
        <v>0</v>
      </c>
      <c r="G163" s="424">
        <v>0</v>
      </c>
      <c r="H163" s="426">
        <v>-2.9999999999999997E-4</v>
      </c>
      <c r="I163" s="423">
        <v>6.9999999999999601E-5</v>
      </c>
      <c r="J163" s="424">
        <v>6.9999999999999601E-5</v>
      </c>
      <c r="K163" s="434" t="s">
        <v>282</v>
      </c>
    </row>
    <row r="164" spans="1:11" ht="14.4" customHeight="1" thickBot="1" x14ac:dyDescent="0.35">
      <c r="A164" s="445" t="s">
        <v>438</v>
      </c>
      <c r="B164" s="423">
        <v>0</v>
      </c>
      <c r="C164" s="423">
        <v>25</v>
      </c>
      <c r="D164" s="424">
        <v>25</v>
      </c>
      <c r="E164" s="433" t="s">
        <v>312</v>
      </c>
      <c r="F164" s="423">
        <v>0</v>
      </c>
      <c r="G164" s="424">
        <v>0</v>
      </c>
      <c r="H164" s="426">
        <v>0</v>
      </c>
      <c r="I164" s="423">
        <v>0</v>
      </c>
      <c r="J164" s="424">
        <v>0</v>
      </c>
      <c r="K164" s="434" t="s">
        <v>282</v>
      </c>
    </row>
    <row r="165" spans="1:11" ht="14.4" customHeight="1" thickBot="1" x14ac:dyDescent="0.35">
      <c r="A165" s="444" t="s">
        <v>439</v>
      </c>
      <c r="B165" s="428">
        <v>18.662522104905999</v>
      </c>
      <c r="C165" s="428">
        <v>4.1322299999999998</v>
      </c>
      <c r="D165" s="429">
        <v>-14.530292104906</v>
      </c>
      <c r="E165" s="435">
        <v>0.22141862588399999</v>
      </c>
      <c r="F165" s="428">
        <v>4</v>
      </c>
      <c r="G165" s="429">
        <v>1</v>
      </c>
      <c r="H165" s="431">
        <v>0</v>
      </c>
      <c r="I165" s="428">
        <v>0</v>
      </c>
      <c r="J165" s="429">
        <v>-1</v>
      </c>
      <c r="K165" s="436">
        <v>0</v>
      </c>
    </row>
    <row r="166" spans="1:11" ht="14.4" customHeight="1" thickBot="1" x14ac:dyDescent="0.35">
      <c r="A166" s="445" t="s">
        <v>440</v>
      </c>
      <c r="B166" s="423">
        <v>18.662522104905999</v>
      </c>
      <c r="C166" s="423">
        <v>4.1322299999999998</v>
      </c>
      <c r="D166" s="424">
        <v>-14.530292104906</v>
      </c>
      <c r="E166" s="425">
        <v>0.22141862588399999</v>
      </c>
      <c r="F166" s="423">
        <v>4</v>
      </c>
      <c r="G166" s="424">
        <v>1</v>
      </c>
      <c r="H166" s="426">
        <v>0</v>
      </c>
      <c r="I166" s="423">
        <v>0</v>
      </c>
      <c r="J166" s="424">
        <v>-1</v>
      </c>
      <c r="K166" s="427">
        <v>0</v>
      </c>
    </row>
    <row r="167" spans="1:11" ht="14.4" customHeight="1" thickBot="1" x14ac:dyDescent="0.35">
      <c r="A167" s="441" t="s">
        <v>441</v>
      </c>
      <c r="B167" s="423">
        <v>1892.00141763538</v>
      </c>
      <c r="C167" s="423">
        <v>1822.7824700000001</v>
      </c>
      <c r="D167" s="424">
        <v>-69.218947635383998</v>
      </c>
      <c r="E167" s="425">
        <v>0.96341495995100002</v>
      </c>
      <c r="F167" s="423">
        <v>0</v>
      </c>
      <c r="G167" s="424">
        <v>0</v>
      </c>
      <c r="H167" s="426">
        <v>136.35830000000001</v>
      </c>
      <c r="I167" s="423">
        <v>376.01738</v>
      </c>
      <c r="J167" s="424">
        <v>376.01738</v>
      </c>
      <c r="K167" s="434" t="s">
        <v>282</v>
      </c>
    </row>
    <row r="168" spans="1:11" ht="14.4" customHeight="1" thickBot="1" x14ac:dyDescent="0.35">
      <c r="A168" s="446" t="s">
        <v>442</v>
      </c>
      <c r="B168" s="428">
        <v>1892.00141763538</v>
      </c>
      <c r="C168" s="428">
        <v>1822.7824700000001</v>
      </c>
      <c r="D168" s="429">
        <v>-69.218947635383998</v>
      </c>
      <c r="E168" s="435">
        <v>0.96341495995100002</v>
      </c>
      <c r="F168" s="428">
        <v>0</v>
      </c>
      <c r="G168" s="429">
        <v>0</v>
      </c>
      <c r="H168" s="431">
        <v>136.35830000000001</v>
      </c>
      <c r="I168" s="428">
        <v>376.01738</v>
      </c>
      <c r="J168" s="429">
        <v>376.01738</v>
      </c>
      <c r="K168" s="432" t="s">
        <v>282</v>
      </c>
    </row>
    <row r="169" spans="1:11" ht="14.4" customHeight="1" thickBot="1" x14ac:dyDescent="0.35">
      <c r="A169" s="448" t="s">
        <v>54</v>
      </c>
      <c r="B169" s="428">
        <v>1892.00141763538</v>
      </c>
      <c r="C169" s="428">
        <v>1822.7824700000001</v>
      </c>
      <c r="D169" s="429">
        <v>-69.218947635383998</v>
      </c>
      <c r="E169" s="435">
        <v>0.96341495995100002</v>
      </c>
      <c r="F169" s="428">
        <v>0</v>
      </c>
      <c r="G169" s="429">
        <v>0</v>
      </c>
      <c r="H169" s="431">
        <v>136.35830000000001</v>
      </c>
      <c r="I169" s="428">
        <v>376.01738</v>
      </c>
      <c r="J169" s="429">
        <v>376.01738</v>
      </c>
      <c r="K169" s="432" t="s">
        <v>282</v>
      </c>
    </row>
    <row r="170" spans="1:11" ht="14.4" customHeight="1" thickBot="1" x14ac:dyDescent="0.35">
      <c r="A170" s="444" t="s">
        <v>443</v>
      </c>
      <c r="B170" s="428">
        <v>15</v>
      </c>
      <c r="C170" s="428">
        <v>20.021999999999998</v>
      </c>
      <c r="D170" s="429">
        <v>5.0220000000000002</v>
      </c>
      <c r="E170" s="435">
        <v>1.3348</v>
      </c>
      <c r="F170" s="428">
        <v>0</v>
      </c>
      <c r="G170" s="429">
        <v>0</v>
      </c>
      <c r="H170" s="431">
        <v>1.6859999999999999</v>
      </c>
      <c r="I170" s="428">
        <v>5.0582500000000001</v>
      </c>
      <c r="J170" s="429">
        <v>5.0582500000000001</v>
      </c>
      <c r="K170" s="432" t="s">
        <v>282</v>
      </c>
    </row>
    <row r="171" spans="1:11" ht="14.4" customHeight="1" thickBot="1" x14ac:dyDescent="0.35">
      <c r="A171" s="445" t="s">
        <v>444</v>
      </c>
      <c r="B171" s="423">
        <v>15</v>
      </c>
      <c r="C171" s="423">
        <v>20.021999999999998</v>
      </c>
      <c r="D171" s="424">
        <v>5.0220000000000002</v>
      </c>
      <c r="E171" s="425">
        <v>1.3348</v>
      </c>
      <c r="F171" s="423">
        <v>0</v>
      </c>
      <c r="G171" s="424">
        <v>0</v>
      </c>
      <c r="H171" s="426">
        <v>1.6859999999999999</v>
      </c>
      <c r="I171" s="423">
        <v>5.0582500000000001</v>
      </c>
      <c r="J171" s="424">
        <v>5.0582500000000001</v>
      </c>
      <c r="K171" s="434" t="s">
        <v>282</v>
      </c>
    </row>
    <row r="172" spans="1:11" ht="14.4" customHeight="1" thickBot="1" x14ac:dyDescent="0.35">
      <c r="A172" s="444" t="s">
        <v>445</v>
      </c>
      <c r="B172" s="428">
        <v>10.001417635384</v>
      </c>
      <c r="C172" s="428">
        <v>10.022399999999999</v>
      </c>
      <c r="D172" s="429">
        <v>2.0982364614999999E-2</v>
      </c>
      <c r="E172" s="435">
        <v>1.00209793905</v>
      </c>
      <c r="F172" s="428">
        <v>0</v>
      </c>
      <c r="G172" s="429">
        <v>0</v>
      </c>
      <c r="H172" s="431">
        <v>0.441</v>
      </c>
      <c r="I172" s="428">
        <v>2.1364999999999998</v>
      </c>
      <c r="J172" s="429">
        <v>2.1364999999999998</v>
      </c>
      <c r="K172" s="432" t="s">
        <v>282</v>
      </c>
    </row>
    <row r="173" spans="1:11" ht="14.4" customHeight="1" thickBot="1" x14ac:dyDescent="0.35">
      <c r="A173" s="445" t="s">
        <v>446</v>
      </c>
      <c r="B173" s="423">
        <v>10.001417635384</v>
      </c>
      <c r="C173" s="423">
        <v>10.022399999999999</v>
      </c>
      <c r="D173" s="424">
        <v>2.0982364614999999E-2</v>
      </c>
      <c r="E173" s="425">
        <v>1.00209793905</v>
      </c>
      <c r="F173" s="423">
        <v>0</v>
      </c>
      <c r="G173" s="424">
        <v>0</v>
      </c>
      <c r="H173" s="426">
        <v>0.441</v>
      </c>
      <c r="I173" s="423">
        <v>2.1364999999999998</v>
      </c>
      <c r="J173" s="424">
        <v>2.1364999999999998</v>
      </c>
      <c r="K173" s="434" t="s">
        <v>282</v>
      </c>
    </row>
    <row r="174" spans="1:11" ht="14.4" customHeight="1" thickBot="1" x14ac:dyDescent="0.35">
      <c r="A174" s="444" t="s">
        <v>447</v>
      </c>
      <c r="B174" s="428">
        <v>105</v>
      </c>
      <c r="C174" s="428">
        <v>47.186819999999997</v>
      </c>
      <c r="D174" s="429">
        <v>-57.813180000000003</v>
      </c>
      <c r="E174" s="435">
        <v>0.44939828571399998</v>
      </c>
      <c r="F174" s="428">
        <v>0</v>
      </c>
      <c r="G174" s="429">
        <v>0</v>
      </c>
      <c r="H174" s="431">
        <v>4.2438200000000004</v>
      </c>
      <c r="I174" s="428">
        <v>12.15286</v>
      </c>
      <c r="J174" s="429">
        <v>12.15286</v>
      </c>
      <c r="K174" s="432" t="s">
        <v>282</v>
      </c>
    </row>
    <row r="175" spans="1:11" ht="14.4" customHeight="1" thickBot="1" x14ac:dyDescent="0.35">
      <c r="A175" s="445" t="s">
        <v>448</v>
      </c>
      <c r="B175" s="423">
        <v>105</v>
      </c>
      <c r="C175" s="423">
        <v>47.186819999999997</v>
      </c>
      <c r="D175" s="424">
        <v>-57.813180000000003</v>
      </c>
      <c r="E175" s="425">
        <v>0.44939828571399998</v>
      </c>
      <c r="F175" s="423">
        <v>0</v>
      </c>
      <c r="G175" s="424">
        <v>0</v>
      </c>
      <c r="H175" s="426">
        <v>4.2438200000000004</v>
      </c>
      <c r="I175" s="423">
        <v>12.15286</v>
      </c>
      <c r="J175" s="424">
        <v>12.15286</v>
      </c>
      <c r="K175" s="434" t="s">
        <v>282</v>
      </c>
    </row>
    <row r="176" spans="1:11" ht="14.4" customHeight="1" thickBot="1" x14ac:dyDescent="0.35">
      <c r="A176" s="444" t="s">
        <v>449</v>
      </c>
      <c r="B176" s="428">
        <v>0</v>
      </c>
      <c r="C176" s="428">
        <v>2.0830000000000002</v>
      </c>
      <c r="D176" s="429">
        <v>2.0830000000000002</v>
      </c>
      <c r="E176" s="430" t="s">
        <v>312</v>
      </c>
      <c r="F176" s="428">
        <v>0</v>
      </c>
      <c r="G176" s="429">
        <v>0</v>
      </c>
      <c r="H176" s="431">
        <v>0.51200000000000001</v>
      </c>
      <c r="I176" s="428">
        <v>0.88</v>
      </c>
      <c r="J176" s="429">
        <v>0.88</v>
      </c>
      <c r="K176" s="432" t="s">
        <v>282</v>
      </c>
    </row>
    <row r="177" spans="1:11" ht="14.4" customHeight="1" thickBot="1" x14ac:dyDescent="0.35">
      <c r="A177" s="445" t="s">
        <v>450</v>
      </c>
      <c r="B177" s="423">
        <v>0</v>
      </c>
      <c r="C177" s="423">
        <v>2.0830000000000002</v>
      </c>
      <c r="D177" s="424">
        <v>2.0830000000000002</v>
      </c>
      <c r="E177" s="433" t="s">
        <v>312</v>
      </c>
      <c r="F177" s="423">
        <v>0</v>
      </c>
      <c r="G177" s="424">
        <v>0</v>
      </c>
      <c r="H177" s="426">
        <v>0.51200000000000001</v>
      </c>
      <c r="I177" s="423">
        <v>0.88</v>
      </c>
      <c r="J177" s="424">
        <v>0.88</v>
      </c>
      <c r="K177" s="434" t="s">
        <v>282</v>
      </c>
    </row>
    <row r="178" spans="1:11" ht="14.4" customHeight="1" thickBot="1" x14ac:dyDescent="0.35">
      <c r="A178" s="444" t="s">
        <v>451</v>
      </c>
      <c r="B178" s="428">
        <v>623</v>
      </c>
      <c r="C178" s="428">
        <v>548.97033999999996</v>
      </c>
      <c r="D178" s="429">
        <v>-74.029659999998998</v>
      </c>
      <c r="E178" s="435">
        <v>0.88117229534499997</v>
      </c>
      <c r="F178" s="428">
        <v>0</v>
      </c>
      <c r="G178" s="429">
        <v>0</v>
      </c>
      <c r="H178" s="431">
        <v>29.537040000000001</v>
      </c>
      <c r="I178" s="428">
        <v>83.933809999999994</v>
      </c>
      <c r="J178" s="429">
        <v>83.933809999999994</v>
      </c>
      <c r="K178" s="432" t="s">
        <v>282</v>
      </c>
    </row>
    <row r="179" spans="1:11" ht="14.4" customHeight="1" thickBot="1" x14ac:dyDescent="0.35">
      <c r="A179" s="445" t="s">
        <v>452</v>
      </c>
      <c r="B179" s="423">
        <v>618</v>
      </c>
      <c r="C179" s="423">
        <v>542.29399000000001</v>
      </c>
      <c r="D179" s="424">
        <v>-75.706010000000006</v>
      </c>
      <c r="E179" s="425">
        <v>0.87749836569499995</v>
      </c>
      <c r="F179" s="423">
        <v>0</v>
      </c>
      <c r="G179" s="424">
        <v>0</v>
      </c>
      <c r="H179" s="426">
        <v>29.537040000000001</v>
      </c>
      <c r="I179" s="423">
        <v>83.933809999999994</v>
      </c>
      <c r="J179" s="424">
        <v>83.933809999999994</v>
      </c>
      <c r="K179" s="434" t="s">
        <v>282</v>
      </c>
    </row>
    <row r="180" spans="1:11" ht="14.4" customHeight="1" thickBot="1" x14ac:dyDescent="0.35">
      <c r="A180" s="445" t="s">
        <v>453</v>
      </c>
      <c r="B180" s="423">
        <v>5</v>
      </c>
      <c r="C180" s="423">
        <v>6.6763500000000002</v>
      </c>
      <c r="D180" s="424">
        <v>1.67635</v>
      </c>
      <c r="E180" s="425">
        <v>1.33527</v>
      </c>
      <c r="F180" s="423">
        <v>0</v>
      </c>
      <c r="G180" s="424">
        <v>0</v>
      </c>
      <c r="H180" s="426">
        <v>0</v>
      </c>
      <c r="I180" s="423">
        <v>0</v>
      </c>
      <c r="J180" s="424">
        <v>0</v>
      </c>
      <c r="K180" s="434" t="s">
        <v>282</v>
      </c>
    </row>
    <row r="181" spans="1:11" ht="14.4" customHeight="1" thickBot="1" x14ac:dyDescent="0.35">
      <c r="A181" s="444" t="s">
        <v>454</v>
      </c>
      <c r="B181" s="428">
        <v>1139</v>
      </c>
      <c r="C181" s="428">
        <v>1194.49791</v>
      </c>
      <c r="D181" s="429">
        <v>55.497909999999997</v>
      </c>
      <c r="E181" s="435">
        <v>1.0487251185249999</v>
      </c>
      <c r="F181" s="428">
        <v>0</v>
      </c>
      <c r="G181" s="429">
        <v>0</v>
      </c>
      <c r="H181" s="431">
        <v>99.93844</v>
      </c>
      <c r="I181" s="428">
        <v>271.85595999999998</v>
      </c>
      <c r="J181" s="429">
        <v>271.85595999999998</v>
      </c>
      <c r="K181" s="432" t="s">
        <v>282</v>
      </c>
    </row>
    <row r="182" spans="1:11" ht="14.4" customHeight="1" thickBot="1" x14ac:dyDescent="0.35">
      <c r="A182" s="445" t="s">
        <v>455</v>
      </c>
      <c r="B182" s="423">
        <v>1139</v>
      </c>
      <c r="C182" s="423">
        <v>1194.49791</v>
      </c>
      <c r="D182" s="424">
        <v>55.497909999999997</v>
      </c>
      <c r="E182" s="425">
        <v>1.0487251185249999</v>
      </c>
      <c r="F182" s="423">
        <v>0</v>
      </c>
      <c r="G182" s="424">
        <v>0</v>
      </c>
      <c r="H182" s="426">
        <v>99.93844</v>
      </c>
      <c r="I182" s="423">
        <v>271.85595999999998</v>
      </c>
      <c r="J182" s="424">
        <v>271.85595999999998</v>
      </c>
      <c r="K182" s="434" t="s">
        <v>282</v>
      </c>
    </row>
    <row r="183" spans="1:11" ht="14.4" customHeight="1" thickBot="1" x14ac:dyDescent="0.35">
      <c r="A183" s="449" t="s">
        <v>456</v>
      </c>
      <c r="B183" s="428">
        <v>0</v>
      </c>
      <c r="C183" s="428">
        <v>9.6889800000000008</v>
      </c>
      <c r="D183" s="429">
        <v>9.6889800000000008</v>
      </c>
      <c r="E183" s="430" t="s">
        <v>312</v>
      </c>
      <c r="F183" s="428">
        <v>0</v>
      </c>
      <c r="G183" s="429">
        <v>0</v>
      </c>
      <c r="H183" s="431">
        <v>0.42899999999999999</v>
      </c>
      <c r="I183" s="428">
        <v>3.3089499999999998</v>
      </c>
      <c r="J183" s="429">
        <v>3.3089499999999998</v>
      </c>
      <c r="K183" s="432" t="s">
        <v>282</v>
      </c>
    </row>
    <row r="184" spans="1:11" ht="14.4" customHeight="1" thickBot="1" x14ac:dyDescent="0.35">
      <c r="A184" s="446" t="s">
        <v>457</v>
      </c>
      <c r="B184" s="428">
        <v>0</v>
      </c>
      <c r="C184" s="428">
        <v>9.6889800000000008</v>
      </c>
      <c r="D184" s="429">
        <v>9.6889800000000008</v>
      </c>
      <c r="E184" s="430" t="s">
        <v>312</v>
      </c>
      <c r="F184" s="428">
        <v>0</v>
      </c>
      <c r="G184" s="429">
        <v>0</v>
      </c>
      <c r="H184" s="431">
        <v>0.42899999999999999</v>
      </c>
      <c r="I184" s="428">
        <v>3.3089499999999998</v>
      </c>
      <c r="J184" s="429">
        <v>3.3089499999999998</v>
      </c>
      <c r="K184" s="432" t="s">
        <v>282</v>
      </c>
    </row>
    <row r="185" spans="1:11" ht="14.4" customHeight="1" thickBot="1" x14ac:dyDescent="0.35">
      <c r="A185" s="448" t="s">
        <v>458</v>
      </c>
      <c r="B185" s="428">
        <v>0</v>
      </c>
      <c r="C185" s="428">
        <v>9.6889800000000008</v>
      </c>
      <c r="D185" s="429">
        <v>9.6889800000000008</v>
      </c>
      <c r="E185" s="430" t="s">
        <v>312</v>
      </c>
      <c r="F185" s="428">
        <v>0</v>
      </c>
      <c r="G185" s="429">
        <v>0</v>
      </c>
      <c r="H185" s="431">
        <v>0.42899999999999999</v>
      </c>
      <c r="I185" s="428">
        <v>3.3089499999999998</v>
      </c>
      <c r="J185" s="429">
        <v>3.3089499999999998</v>
      </c>
      <c r="K185" s="432" t="s">
        <v>282</v>
      </c>
    </row>
    <row r="186" spans="1:11" ht="14.4" customHeight="1" thickBot="1" x14ac:dyDescent="0.35">
      <c r="A186" s="444" t="s">
        <v>459</v>
      </c>
      <c r="B186" s="428">
        <v>0</v>
      </c>
      <c r="C186" s="428">
        <v>9.6889800000000008</v>
      </c>
      <c r="D186" s="429">
        <v>9.6889800000000008</v>
      </c>
      <c r="E186" s="430" t="s">
        <v>312</v>
      </c>
      <c r="F186" s="428">
        <v>0</v>
      </c>
      <c r="G186" s="429">
        <v>0</v>
      </c>
      <c r="H186" s="431">
        <v>0.42899999999999999</v>
      </c>
      <c r="I186" s="428">
        <v>3.3089499999999998</v>
      </c>
      <c r="J186" s="429">
        <v>3.3089499999999998</v>
      </c>
      <c r="K186" s="432" t="s">
        <v>282</v>
      </c>
    </row>
    <row r="187" spans="1:11" ht="14.4" customHeight="1" thickBot="1" x14ac:dyDescent="0.35">
      <c r="A187" s="445" t="s">
        <v>460</v>
      </c>
      <c r="B187" s="423">
        <v>0</v>
      </c>
      <c r="C187" s="423">
        <v>9.6889800000000008</v>
      </c>
      <c r="D187" s="424">
        <v>9.6889800000000008</v>
      </c>
      <c r="E187" s="433" t="s">
        <v>312</v>
      </c>
      <c r="F187" s="423">
        <v>0</v>
      </c>
      <c r="G187" s="424">
        <v>0</v>
      </c>
      <c r="H187" s="426">
        <v>0.42899999999999999</v>
      </c>
      <c r="I187" s="423">
        <v>3.3089499999999998</v>
      </c>
      <c r="J187" s="424">
        <v>3.3089499999999998</v>
      </c>
      <c r="K187" s="434" t="s">
        <v>282</v>
      </c>
    </row>
    <row r="188" spans="1:11" ht="14.4" customHeight="1" thickBot="1" x14ac:dyDescent="0.35">
      <c r="A188" s="450"/>
      <c r="B188" s="423">
        <v>-10010.462536790799</v>
      </c>
      <c r="C188" s="423">
        <v>-12934.071599999999</v>
      </c>
      <c r="D188" s="424">
        <v>-2923.60906320919</v>
      </c>
      <c r="E188" s="425">
        <v>1.292055342344</v>
      </c>
      <c r="F188" s="423">
        <v>-8772.5279596500495</v>
      </c>
      <c r="G188" s="424">
        <v>-2193.1319899125101</v>
      </c>
      <c r="H188" s="426">
        <v>-1046.2338099999999</v>
      </c>
      <c r="I188" s="423">
        <v>-2821.2519400000001</v>
      </c>
      <c r="J188" s="424">
        <v>-628.11995008749</v>
      </c>
      <c r="K188" s="427">
        <v>0.32160079203800002</v>
      </c>
    </row>
    <row r="189" spans="1:11" ht="14.4" customHeight="1" thickBot="1" x14ac:dyDescent="0.35">
      <c r="A189" s="451" t="s">
        <v>66</v>
      </c>
      <c r="B189" s="437">
        <v>-10010.462536790799</v>
      </c>
      <c r="C189" s="437">
        <v>-12934.071599999999</v>
      </c>
      <c r="D189" s="438">
        <v>-2923.60906320919</v>
      </c>
      <c r="E189" s="439" t="s">
        <v>312</v>
      </c>
      <c r="F189" s="437">
        <v>-8772.5279596500495</v>
      </c>
      <c r="G189" s="438">
        <v>-2193.1319899125101</v>
      </c>
      <c r="H189" s="437">
        <v>-1046.2338099999999</v>
      </c>
      <c r="I189" s="437">
        <v>-2821.2519400000001</v>
      </c>
      <c r="J189" s="438">
        <v>-628.11995008749102</v>
      </c>
      <c r="K189" s="440">
        <v>0.32160079203800002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3" customWidth="1"/>
    <col min="2" max="2" width="61.109375" style="213" customWidth="1"/>
    <col min="3" max="3" width="9.5546875" style="133" customWidth="1"/>
    <col min="4" max="4" width="9.5546875" style="214" customWidth="1"/>
    <col min="5" max="5" width="2.21875" style="214" customWidth="1"/>
    <col min="6" max="6" width="9.5546875" style="215" customWidth="1"/>
    <col min="7" max="7" width="9.5546875" style="212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142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40" t="s">
        <v>281</v>
      </c>
      <c r="B2" s="211"/>
      <c r="C2" s="211"/>
      <c r="D2" s="211"/>
      <c r="E2" s="211"/>
      <c r="F2" s="211"/>
    </row>
    <row r="3" spans="1:10" ht="14.4" customHeight="1" thickBot="1" x14ac:dyDescent="0.35">
      <c r="A3" s="240"/>
      <c r="B3" s="211"/>
      <c r="C3" s="298">
        <v>2013</v>
      </c>
      <c r="D3" s="299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3" t="s">
        <v>0</v>
      </c>
      <c r="B4" s="304" t="s">
        <v>244</v>
      </c>
      <c r="C4" s="357" t="s">
        <v>73</v>
      </c>
      <c r="D4" s="358"/>
      <c r="E4" s="305"/>
      <c r="F4" s="300" t="s">
        <v>73</v>
      </c>
      <c r="G4" s="301" t="s">
        <v>74</v>
      </c>
      <c r="H4" s="301" t="s">
        <v>68</v>
      </c>
      <c r="I4" s="302" t="s">
        <v>75</v>
      </c>
    </row>
    <row r="5" spans="1:10" ht="14.4" customHeight="1" x14ac:dyDescent="0.3">
      <c r="A5" s="452" t="s">
        <v>461</v>
      </c>
      <c r="B5" s="453" t="s">
        <v>462</v>
      </c>
      <c r="C5" s="454" t="s">
        <v>463</v>
      </c>
      <c r="D5" s="454" t="s">
        <v>463</v>
      </c>
      <c r="E5" s="454"/>
      <c r="F5" s="454" t="s">
        <v>463</v>
      </c>
      <c r="G5" s="454" t="s">
        <v>463</v>
      </c>
      <c r="H5" s="454" t="s">
        <v>463</v>
      </c>
      <c r="I5" s="455" t="s">
        <v>463</v>
      </c>
      <c r="J5" s="456" t="s">
        <v>69</v>
      </c>
    </row>
    <row r="6" spans="1:10" ht="14.4" customHeight="1" x14ac:dyDescent="0.3">
      <c r="A6" s="452" t="s">
        <v>461</v>
      </c>
      <c r="B6" s="453" t="s">
        <v>290</v>
      </c>
      <c r="C6" s="454">
        <v>17.592669999999998</v>
      </c>
      <c r="D6" s="454">
        <v>19.548380000000002</v>
      </c>
      <c r="E6" s="454"/>
      <c r="F6" s="454">
        <v>27.615759999999998</v>
      </c>
      <c r="G6" s="454">
        <v>40.215585252829996</v>
      </c>
      <c r="H6" s="454">
        <v>-12.599825252829998</v>
      </c>
      <c r="I6" s="455">
        <v>0.6866929780179355</v>
      </c>
      <c r="J6" s="456" t="s">
        <v>1</v>
      </c>
    </row>
    <row r="7" spans="1:10" ht="14.4" customHeight="1" x14ac:dyDescent="0.3">
      <c r="A7" s="452" t="s">
        <v>461</v>
      </c>
      <c r="B7" s="453" t="s">
        <v>291</v>
      </c>
      <c r="C7" s="454">
        <v>3.0848700000000004</v>
      </c>
      <c r="D7" s="454">
        <v>4.8553399999999991</v>
      </c>
      <c r="E7" s="454"/>
      <c r="F7" s="454">
        <v>5.1691499999999992</v>
      </c>
      <c r="G7" s="454">
        <v>6.6954564488915</v>
      </c>
      <c r="H7" s="454">
        <v>-1.5263064488915008</v>
      </c>
      <c r="I7" s="455">
        <v>0.77203847705645279</v>
      </c>
      <c r="J7" s="456" t="s">
        <v>1</v>
      </c>
    </row>
    <row r="8" spans="1:10" ht="14.4" customHeight="1" x14ac:dyDescent="0.3">
      <c r="A8" s="452" t="s">
        <v>461</v>
      </c>
      <c r="B8" s="453" t="s">
        <v>464</v>
      </c>
      <c r="C8" s="454">
        <v>0</v>
      </c>
      <c r="D8" s="454" t="s">
        <v>463</v>
      </c>
      <c r="E8" s="454"/>
      <c r="F8" s="454" t="s">
        <v>463</v>
      </c>
      <c r="G8" s="454" t="s">
        <v>463</v>
      </c>
      <c r="H8" s="454" t="s">
        <v>463</v>
      </c>
      <c r="I8" s="455" t="s">
        <v>463</v>
      </c>
      <c r="J8" s="456" t="s">
        <v>1</v>
      </c>
    </row>
    <row r="9" spans="1:10" ht="14.4" customHeight="1" x14ac:dyDescent="0.3">
      <c r="A9" s="452" t="s">
        <v>461</v>
      </c>
      <c r="B9" s="453" t="s">
        <v>465</v>
      </c>
      <c r="C9" s="454">
        <v>20.67754</v>
      </c>
      <c r="D9" s="454">
        <v>24.40372</v>
      </c>
      <c r="E9" s="454"/>
      <c r="F9" s="454">
        <v>32.784909999999996</v>
      </c>
      <c r="G9" s="454">
        <v>46.911041701721494</v>
      </c>
      <c r="H9" s="454">
        <v>-14.126131701721498</v>
      </c>
      <c r="I9" s="455">
        <v>0.6988740563140573</v>
      </c>
      <c r="J9" s="456" t="s">
        <v>466</v>
      </c>
    </row>
    <row r="11" spans="1:10" ht="14.4" customHeight="1" x14ac:dyDescent="0.3">
      <c r="A11" s="452" t="s">
        <v>461</v>
      </c>
      <c r="B11" s="453" t="s">
        <v>462</v>
      </c>
      <c r="C11" s="454" t="s">
        <v>463</v>
      </c>
      <c r="D11" s="454" t="s">
        <v>463</v>
      </c>
      <c r="E11" s="454"/>
      <c r="F11" s="454" t="s">
        <v>463</v>
      </c>
      <c r="G11" s="454" t="s">
        <v>463</v>
      </c>
      <c r="H11" s="454" t="s">
        <v>463</v>
      </c>
      <c r="I11" s="455" t="s">
        <v>463</v>
      </c>
      <c r="J11" s="456" t="s">
        <v>69</v>
      </c>
    </row>
    <row r="12" spans="1:10" ht="14.4" customHeight="1" x14ac:dyDescent="0.3">
      <c r="A12" s="452" t="s">
        <v>467</v>
      </c>
      <c r="B12" s="453" t="s">
        <v>468</v>
      </c>
      <c r="C12" s="454" t="s">
        <v>463</v>
      </c>
      <c r="D12" s="454" t="s">
        <v>463</v>
      </c>
      <c r="E12" s="454"/>
      <c r="F12" s="454" t="s">
        <v>463</v>
      </c>
      <c r="G12" s="454" t="s">
        <v>463</v>
      </c>
      <c r="H12" s="454" t="s">
        <v>463</v>
      </c>
      <c r="I12" s="455" t="s">
        <v>463</v>
      </c>
      <c r="J12" s="456" t="s">
        <v>0</v>
      </c>
    </row>
    <row r="13" spans="1:10" ht="14.4" customHeight="1" x14ac:dyDescent="0.3">
      <c r="A13" s="452" t="s">
        <v>467</v>
      </c>
      <c r="B13" s="453" t="s">
        <v>290</v>
      </c>
      <c r="C13" s="454">
        <v>6.0498399999999997</v>
      </c>
      <c r="D13" s="454">
        <v>8.3252199999999998</v>
      </c>
      <c r="E13" s="454"/>
      <c r="F13" s="454">
        <v>12.378019999999999</v>
      </c>
      <c r="G13" s="454">
        <v>17.24999945666675</v>
      </c>
      <c r="H13" s="454">
        <v>-4.8719794566667503</v>
      </c>
      <c r="I13" s="455">
        <v>0.717566399413199</v>
      </c>
      <c r="J13" s="456" t="s">
        <v>1</v>
      </c>
    </row>
    <row r="14" spans="1:10" ht="14.4" customHeight="1" x14ac:dyDescent="0.3">
      <c r="A14" s="452" t="s">
        <v>467</v>
      </c>
      <c r="B14" s="453" t="s">
        <v>291</v>
      </c>
      <c r="C14" s="454">
        <v>2.5678300000000003</v>
      </c>
      <c r="D14" s="454">
        <v>4.3798599999999999</v>
      </c>
      <c r="E14" s="454"/>
      <c r="F14" s="454">
        <v>3.9556299999999998</v>
      </c>
      <c r="G14" s="454">
        <v>5.3174111460962497</v>
      </c>
      <c r="H14" s="454">
        <v>-1.3617811460962499</v>
      </c>
      <c r="I14" s="455">
        <v>0.74390147598498291</v>
      </c>
      <c r="J14" s="456" t="s">
        <v>1</v>
      </c>
    </row>
    <row r="15" spans="1:10" ht="14.4" customHeight="1" x14ac:dyDescent="0.3">
      <c r="A15" s="452" t="s">
        <v>467</v>
      </c>
      <c r="B15" s="453" t="s">
        <v>464</v>
      </c>
      <c r="C15" s="454">
        <v>0</v>
      </c>
      <c r="D15" s="454" t="s">
        <v>463</v>
      </c>
      <c r="E15" s="454"/>
      <c r="F15" s="454" t="s">
        <v>463</v>
      </c>
      <c r="G15" s="454" t="s">
        <v>463</v>
      </c>
      <c r="H15" s="454" t="s">
        <v>463</v>
      </c>
      <c r="I15" s="455" t="s">
        <v>463</v>
      </c>
      <c r="J15" s="456" t="s">
        <v>1</v>
      </c>
    </row>
    <row r="16" spans="1:10" ht="14.4" customHeight="1" x14ac:dyDescent="0.3">
      <c r="A16" s="452" t="s">
        <v>467</v>
      </c>
      <c r="B16" s="453" t="s">
        <v>469</v>
      </c>
      <c r="C16" s="454">
        <v>8.6176700000000004</v>
      </c>
      <c r="D16" s="454">
        <v>12.705079999999999</v>
      </c>
      <c r="E16" s="454"/>
      <c r="F16" s="454">
        <v>16.333649999999999</v>
      </c>
      <c r="G16" s="454">
        <v>22.567410602762997</v>
      </c>
      <c r="H16" s="454">
        <v>-6.2337606027629988</v>
      </c>
      <c r="I16" s="455">
        <v>0.72377156101374873</v>
      </c>
      <c r="J16" s="456" t="s">
        <v>470</v>
      </c>
    </row>
    <row r="17" spans="1:10" ht="14.4" customHeight="1" x14ac:dyDescent="0.3">
      <c r="A17" s="452" t="s">
        <v>463</v>
      </c>
      <c r="B17" s="453" t="s">
        <v>463</v>
      </c>
      <c r="C17" s="454" t="s">
        <v>463</v>
      </c>
      <c r="D17" s="454" t="s">
        <v>463</v>
      </c>
      <c r="E17" s="454"/>
      <c r="F17" s="454" t="s">
        <v>463</v>
      </c>
      <c r="G17" s="454" t="s">
        <v>463</v>
      </c>
      <c r="H17" s="454" t="s">
        <v>463</v>
      </c>
      <c r="I17" s="455" t="s">
        <v>463</v>
      </c>
      <c r="J17" s="456" t="s">
        <v>471</v>
      </c>
    </row>
    <row r="18" spans="1:10" ht="14.4" customHeight="1" x14ac:dyDescent="0.3">
      <c r="A18" s="452" t="s">
        <v>472</v>
      </c>
      <c r="B18" s="453" t="s">
        <v>473</v>
      </c>
      <c r="C18" s="454" t="s">
        <v>463</v>
      </c>
      <c r="D18" s="454" t="s">
        <v>463</v>
      </c>
      <c r="E18" s="454"/>
      <c r="F18" s="454" t="s">
        <v>463</v>
      </c>
      <c r="G18" s="454" t="s">
        <v>463</v>
      </c>
      <c r="H18" s="454" t="s">
        <v>463</v>
      </c>
      <c r="I18" s="455" t="s">
        <v>463</v>
      </c>
      <c r="J18" s="456" t="s">
        <v>0</v>
      </c>
    </row>
    <row r="19" spans="1:10" ht="14.4" customHeight="1" x14ac:dyDescent="0.3">
      <c r="A19" s="452" t="s">
        <v>472</v>
      </c>
      <c r="B19" s="453" t="s">
        <v>290</v>
      </c>
      <c r="C19" s="454">
        <v>6.4176599999999997</v>
      </c>
      <c r="D19" s="454">
        <v>9.6177100000000006</v>
      </c>
      <c r="E19" s="454"/>
      <c r="F19" s="454">
        <v>10.694459999999999</v>
      </c>
      <c r="G19" s="454">
        <v>15.749999503912999</v>
      </c>
      <c r="H19" s="454">
        <v>-5.0555395039129998</v>
      </c>
      <c r="I19" s="455">
        <v>0.67901335472061575</v>
      </c>
      <c r="J19" s="456" t="s">
        <v>1</v>
      </c>
    </row>
    <row r="20" spans="1:10" ht="14.4" customHeight="1" x14ac:dyDescent="0.3">
      <c r="A20" s="452" t="s">
        <v>472</v>
      </c>
      <c r="B20" s="453" t="s">
        <v>291</v>
      </c>
      <c r="C20" s="454">
        <v>0</v>
      </c>
      <c r="D20" s="454">
        <v>0.34321999999999997</v>
      </c>
      <c r="E20" s="454"/>
      <c r="F20" s="454">
        <v>0.94144000000000005</v>
      </c>
      <c r="G20" s="454">
        <v>0.92975926717299995</v>
      </c>
      <c r="H20" s="454">
        <v>1.1680732827000107E-2</v>
      </c>
      <c r="I20" s="455">
        <v>1.0125631797814894</v>
      </c>
      <c r="J20" s="456" t="s">
        <v>1</v>
      </c>
    </row>
    <row r="21" spans="1:10" ht="14.4" customHeight="1" x14ac:dyDescent="0.3">
      <c r="A21" s="452" t="s">
        <v>472</v>
      </c>
      <c r="B21" s="453" t="s">
        <v>474</v>
      </c>
      <c r="C21" s="454">
        <v>6.4176599999999997</v>
      </c>
      <c r="D21" s="454">
        <v>9.9609300000000012</v>
      </c>
      <c r="E21" s="454"/>
      <c r="F21" s="454">
        <v>11.635899999999999</v>
      </c>
      <c r="G21" s="454">
        <v>16.679758771086</v>
      </c>
      <c r="H21" s="454">
        <v>-5.0438587710860006</v>
      </c>
      <c r="I21" s="455">
        <v>0.69760601215471896</v>
      </c>
      <c r="J21" s="456" t="s">
        <v>470</v>
      </c>
    </row>
    <row r="22" spans="1:10" ht="14.4" customHeight="1" x14ac:dyDescent="0.3">
      <c r="A22" s="452" t="s">
        <v>463</v>
      </c>
      <c r="B22" s="453" t="s">
        <v>463</v>
      </c>
      <c r="C22" s="454" t="s">
        <v>463</v>
      </c>
      <c r="D22" s="454" t="s">
        <v>463</v>
      </c>
      <c r="E22" s="454"/>
      <c r="F22" s="454" t="s">
        <v>463</v>
      </c>
      <c r="G22" s="454" t="s">
        <v>463</v>
      </c>
      <c r="H22" s="454" t="s">
        <v>463</v>
      </c>
      <c r="I22" s="455" t="s">
        <v>463</v>
      </c>
      <c r="J22" s="456" t="s">
        <v>471</v>
      </c>
    </row>
    <row r="23" spans="1:10" ht="14.4" customHeight="1" x14ac:dyDescent="0.3">
      <c r="A23" s="452" t="s">
        <v>475</v>
      </c>
      <c r="B23" s="453" t="s">
        <v>476</v>
      </c>
      <c r="C23" s="454" t="s">
        <v>463</v>
      </c>
      <c r="D23" s="454" t="s">
        <v>463</v>
      </c>
      <c r="E23" s="454"/>
      <c r="F23" s="454" t="s">
        <v>463</v>
      </c>
      <c r="G23" s="454" t="s">
        <v>463</v>
      </c>
      <c r="H23" s="454" t="s">
        <v>463</v>
      </c>
      <c r="I23" s="455" t="s">
        <v>463</v>
      </c>
      <c r="J23" s="456" t="s">
        <v>0</v>
      </c>
    </row>
    <row r="24" spans="1:10" ht="14.4" customHeight="1" x14ac:dyDescent="0.3">
      <c r="A24" s="452" t="s">
        <v>475</v>
      </c>
      <c r="B24" s="453" t="s">
        <v>290</v>
      </c>
      <c r="C24" s="454">
        <v>5.1251699999999998</v>
      </c>
      <c r="D24" s="454">
        <v>1.60545</v>
      </c>
      <c r="E24" s="454"/>
      <c r="F24" s="454">
        <v>4.5432800000000002</v>
      </c>
      <c r="G24" s="454">
        <v>7.2155862922502489</v>
      </c>
      <c r="H24" s="454">
        <v>-2.6723062922502487</v>
      </c>
      <c r="I24" s="455">
        <v>0.62964807237904097</v>
      </c>
      <c r="J24" s="456" t="s">
        <v>1</v>
      </c>
    </row>
    <row r="25" spans="1:10" ht="14.4" customHeight="1" x14ac:dyDescent="0.3">
      <c r="A25" s="452" t="s">
        <v>475</v>
      </c>
      <c r="B25" s="453" t="s">
        <v>291</v>
      </c>
      <c r="C25" s="454">
        <v>0.51704000000000006</v>
      </c>
      <c r="D25" s="454">
        <v>0.13225999999999999</v>
      </c>
      <c r="E25" s="454"/>
      <c r="F25" s="454">
        <v>0.27207999999999999</v>
      </c>
      <c r="G25" s="454">
        <v>0.44828603562225</v>
      </c>
      <c r="H25" s="454">
        <v>-0.17620603562225001</v>
      </c>
      <c r="I25" s="455">
        <v>0.60693391803368435</v>
      </c>
      <c r="J25" s="456" t="s">
        <v>1</v>
      </c>
    </row>
    <row r="26" spans="1:10" ht="14.4" customHeight="1" x14ac:dyDescent="0.3">
      <c r="A26" s="452" t="s">
        <v>475</v>
      </c>
      <c r="B26" s="453" t="s">
        <v>477</v>
      </c>
      <c r="C26" s="454">
        <v>5.6422099999999995</v>
      </c>
      <c r="D26" s="454">
        <v>1.7377100000000001</v>
      </c>
      <c r="E26" s="454"/>
      <c r="F26" s="454">
        <v>4.8153600000000001</v>
      </c>
      <c r="G26" s="454">
        <v>7.6638723278724985</v>
      </c>
      <c r="H26" s="454">
        <v>-2.8485123278724984</v>
      </c>
      <c r="I26" s="455">
        <v>0.62831944400837259</v>
      </c>
      <c r="J26" s="456" t="s">
        <v>470</v>
      </c>
    </row>
    <row r="27" spans="1:10" ht="14.4" customHeight="1" x14ac:dyDescent="0.3">
      <c r="A27" s="452" t="s">
        <v>463</v>
      </c>
      <c r="B27" s="453" t="s">
        <v>463</v>
      </c>
      <c r="C27" s="454" t="s">
        <v>463</v>
      </c>
      <c r="D27" s="454" t="s">
        <v>463</v>
      </c>
      <c r="E27" s="454"/>
      <c r="F27" s="454" t="s">
        <v>463</v>
      </c>
      <c r="G27" s="454" t="s">
        <v>463</v>
      </c>
      <c r="H27" s="454" t="s">
        <v>463</v>
      </c>
      <c r="I27" s="455" t="s">
        <v>463</v>
      </c>
      <c r="J27" s="456" t="s">
        <v>471</v>
      </c>
    </row>
    <row r="28" spans="1:10" ht="14.4" customHeight="1" x14ac:dyDescent="0.3">
      <c r="A28" s="452" t="s">
        <v>461</v>
      </c>
      <c r="B28" s="453" t="s">
        <v>465</v>
      </c>
      <c r="C28" s="454">
        <v>20.67754</v>
      </c>
      <c r="D28" s="454">
        <v>24.403719999999996</v>
      </c>
      <c r="E28" s="454"/>
      <c r="F28" s="454">
        <v>32.784910000000004</v>
      </c>
      <c r="G28" s="454">
        <v>46.911041701721494</v>
      </c>
      <c r="H28" s="454">
        <v>-14.126131701721491</v>
      </c>
      <c r="I28" s="455">
        <v>0.69887405631405741</v>
      </c>
      <c r="J28" s="456" t="s">
        <v>466</v>
      </c>
    </row>
  </sheetData>
  <mergeCells count="3">
    <mergeCell ref="F3:I3"/>
    <mergeCell ref="C4:D4"/>
    <mergeCell ref="A1:I1"/>
  </mergeCells>
  <conditionalFormatting sqref="F10 F29:F65537">
    <cfRule type="cellIs" dxfId="53" priority="18" stopIfTrue="1" operator="greaterThan">
      <formula>1</formula>
    </cfRule>
  </conditionalFormatting>
  <conditionalFormatting sqref="H5:H9">
    <cfRule type="expression" dxfId="52" priority="14">
      <formula>$H5&gt;0</formula>
    </cfRule>
  </conditionalFormatting>
  <conditionalFormatting sqref="I5:I9">
    <cfRule type="expression" dxfId="51" priority="15">
      <formula>$I5&gt;1</formula>
    </cfRule>
  </conditionalFormatting>
  <conditionalFormatting sqref="B5:B9">
    <cfRule type="expression" dxfId="50" priority="11">
      <formula>OR($J5="NS",$J5="SumaNS",$J5="Účet")</formula>
    </cfRule>
  </conditionalFormatting>
  <conditionalFormatting sqref="B5:D9 F5:I9">
    <cfRule type="expression" dxfId="49" priority="17">
      <formula>AND($J5&lt;&gt;"",$J5&lt;&gt;"mezeraKL")</formula>
    </cfRule>
  </conditionalFormatting>
  <conditionalFormatting sqref="B5:D9 F5:I9">
    <cfRule type="expression" dxfId="48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7" priority="13">
      <formula>OR($J5="SumaNS",$J5="NS")</formula>
    </cfRule>
  </conditionalFormatting>
  <conditionalFormatting sqref="A5:A9">
    <cfRule type="expression" dxfId="46" priority="9">
      <formula>AND($J5&lt;&gt;"mezeraKL",$J5&lt;&gt;"")</formula>
    </cfRule>
  </conditionalFormatting>
  <conditionalFormatting sqref="A5:A9">
    <cfRule type="expression" dxfId="45" priority="10">
      <formula>AND($J5&lt;&gt;"",$J5&lt;&gt;"mezeraKL")</formula>
    </cfRule>
  </conditionalFormatting>
  <conditionalFormatting sqref="H11:H28">
    <cfRule type="expression" dxfId="44" priority="5">
      <formula>$H11&gt;0</formula>
    </cfRule>
  </conditionalFormatting>
  <conditionalFormatting sqref="A11:A28">
    <cfRule type="expression" dxfId="43" priority="2">
      <formula>AND($J11&lt;&gt;"mezeraKL",$J11&lt;&gt;"")</formula>
    </cfRule>
  </conditionalFormatting>
  <conditionalFormatting sqref="I11:I28">
    <cfRule type="expression" dxfId="42" priority="6">
      <formula>$I11&gt;1</formula>
    </cfRule>
  </conditionalFormatting>
  <conditionalFormatting sqref="B11:B28">
    <cfRule type="expression" dxfId="41" priority="1">
      <formula>OR($J11="NS",$J11="SumaNS",$J11="Účet")</formula>
    </cfRule>
  </conditionalFormatting>
  <conditionalFormatting sqref="A11:D28 F11:I28">
    <cfRule type="expression" dxfId="40" priority="8">
      <formula>AND($J11&lt;&gt;"",$J11&lt;&gt;"mezeraKL")</formula>
    </cfRule>
  </conditionalFormatting>
  <conditionalFormatting sqref="B11:D28 F11:I28">
    <cfRule type="expression" dxfId="3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8 F11:I28">
    <cfRule type="expression" dxfId="3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4" bestFit="1" customWidth="1" collapsed="1"/>
    <col min="4" max="4" width="18.77734375" style="218" customWidth="1"/>
    <col min="5" max="5" width="9" style="214" bestFit="1" customWidth="1"/>
    <col min="6" max="6" width="18.77734375" style="218" customWidth="1"/>
    <col min="7" max="7" width="5" style="214" customWidth="1"/>
    <col min="8" max="8" width="12.44140625" style="214" hidden="1" customWidth="1" outlineLevel="1"/>
    <col min="9" max="9" width="8.5546875" style="214" hidden="1" customWidth="1" outlineLevel="1"/>
    <col min="10" max="10" width="25.77734375" style="214" customWidth="1" collapsed="1"/>
    <col min="11" max="11" width="8.77734375" style="214" customWidth="1"/>
    <col min="12" max="13" width="7.77734375" style="212" customWidth="1"/>
    <col min="14" max="14" width="11.109375" style="212" customWidth="1"/>
    <col min="15" max="16384" width="8.88671875" style="133"/>
  </cols>
  <sheetData>
    <row r="1" spans="1:14" ht="18.600000000000001" customHeight="1" thickBot="1" x14ac:dyDescent="0.4">
      <c r="A1" s="366" t="s">
        <v>166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</row>
    <row r="2" spans="1:14" ht="14.4" customHeight="1" thickBot="1" x14ac:dyDescent="0.35">
      <c r="A2" s="240" t="s">
        <v>281</v>
      </c>
      <c r="B2" s="62"/>
      <c r="C2" s="216"/>
      <c r="D2" s="216"/>
      <c r="E2" s="216"/>
      <c r="F2" s="216"/>
      <c r="G2" s="216"/>
      <c r="H2" s="216"/>
      <c r="I2" s="216"/>
      <c r="J2" s="216"/>
      <c r="K2" s="216"/>
      <c r="L2" s="217"/>
      <c r="M2" s="217"/>
      <c r="N2" s="217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133</v>
      </c>
      <c r="K3" s="365"/>
      <c r="L3" s="99">
        <f>IF(M3&lt;&gt;0,N3/M3,0)</f>
        <v>169.87009696079116</v>
      </c>
      <c r="M3" s="99">
        <f>SUBTOTAL(9,M5:M1048576)</f>
        <v>193</v>
      </c>
      <c r="N3" s="100">
        <f>SUBTOTAL(9,N5:N1048576)</f>
        <v>32784.928713432695</v>
      </c>
    </row>
    <row r="4" spans="1:14" s="213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59" t="s">
        <v>11</v>
      </c>
      <c r="K4" s="459" t="s">
        <v>12</v>
      </c>
      <c r="L4" s="460" t="s">
        <v>147</v>
      </c>
      <c r="M4" s="460" t="s">
        <v>13</v>
      </c>
      <c r="N4" s="461" t="s">
        <v>161</v>
      </c>
    </row>
    <row r="5" spans="1:14" ht="14.4" customHeight="1" x14ac:dyDescent="0.3">
      <c r="A5" s="462" t="s">
        <v>461</v>
      </c>
      <c r="B5" s="463" t="s">
        <v>462</v>
      </c>
      <c r="C5" s="464" t="s">
        <v>467</v>
      </c>
      <c r="D5" s="465" t="s">
        <v>593</v>
      </c>
      <c r="E5" s="464" t="s">
        <v>478</v>
      </c>
      <c r="F5" s="465" t="s">
        <v>596</v>
      </c>
      <c r="G5" s="464" t="s">
        <v>479</v>
      </c>
      <c r="H5" s="464" t="s">
        <v>480</v>
      </c>
      <c r="I5" s="464" t="s">
        <v>481</v>
      </c>
      <c r="J5" s="464" t="s">
        <v>482</v>
      </c>
      <c r="K5" s="464" t="s">
        <v>483</v>
      </c>
      <c r="L5" s="466">
        <v>167.60909759844338</v>
      </c>
      <c r="M5" s="466">
        <v>15</v>
      </c>
      <c r="N5" s="467">
        <v>2514.1364639766507</v>
      </c>
    </row>
    <row r="6" spans="1:14" ht="14.4" customHeight="1" x14ac:dyDescent="0.3">
      <c r="A6" s="468" t="s">
        <v>461</v>
      </c>
      <c r="B6" s="469" t="s">
        <v>462</v>
      </c>
      <c r="C6" s="470" t="s">
        <v>467</v>
      </c>
      <c r="D6" s="471" t="s">
        <v>593</v>
      </c>
      <c r="E6" s="470" t="s">
        <v>478</v>
      </c>
      <c r="F6" s="471" t="s">
        <v>596</v>
      </c>
      <c r="G6" s="470" t="s">
        <v>479</v>
      </c>
      <c r="H6" s="470" t="s">
        <v>484</v>
      </c>
      <c r="I6" s="470" t="s">
        <v>485</v>
      </c>
      <c r="J6" s="470" t="s">
        <v>486</v>
      </c>
      <c r="K6" s="470" t="s">
        <v>487</v>
      </c>
      <c r="L6" s="472">
        <v>148.92405842858383</v>
      </c>
      <c r="M6" s="472">
        <v>4</v>
      </c>
      <c r="N6" s="473">
        <v>595.69623371433534</v>
      </c>
    </row>
    <row r="7" spans="1:14" ht="14.4" customHeight="1" x14ac:dyDescent="0.3">
      <c r="A7" s="468" t="s">
        <v>461</v>
      </c>
      <c r="B7" s="469" t="s">
        <v>462</v>
      </c>
      <c r="C7" s="470" t="s">
        <v>467</v>
      </c>
      <c r="D7" s="471" t="s">
        <v>593</v>
      </c>
      <c r="E7" s="470" t="s">
        <v>478</v>
      </c>
      <c r="F7" s="471" t="s">
        <v>596</v>
      </c>
      <c r="G7" s="470" t="s">
        <v>479</v>
      </c>
      <c r="H7" s="470" t="s">
        <v>488</v>
      </c>
      <c r="I7" s="470" t="s">
        <v>169</v>
      </c>
      <c r="J7" s="470" t="s">
        <v>489</v>
      </c>
      <c r="K7" s="470"/>
      <c r="L7" s="472">
        <v>97.320500000000024</v>
      </c>
      <c r="M7" s="472">
        <v>2</v>
      </c>
      <c r="N7" s="473">
        <v>194.64100000000005</v>
      </c>
    </row>
    <row r="8" spans="1:14" ht="14.4" customHeight="1" x14ac:dyDescent="0.3">
      <c r="A8" s="468" t="s">
        <v>461</v>
      </c>
      <c r="B8" s="469" t="s">
        <v>462</v>
      </c>
      <c r="C8" s="470" t="s">
        <v>467</v>
      </c>
      <c r="D8" s="471" t="s">
        <v>593</v>
      </c>
      <c r="E8" s="470" t="s">
        <v>478</v>
      </c>
      <c r="F8" s="471" t="s">
        <v>596</v>
      </c>
      <c r="G8" s="470" t="s">
        <v>479</v>
      </c>
      <c r="H8" s="470" t="s">
        <v>490</v>
      </c>
      <c r="I8" s="470" t="s">
        <v>491</v>
      </c>
      <c r="J8" s="470" t="s">
        <v>492</v>
      </c>
      <c r="K8" s="470"/>
      <c r="L8" s="472">
        <v>496.25938545901516</v>
      </c>
      <c r="M8" s="472">
        <v>1</v>
      </c>
      <c r="N8" s="473">
        <v>496.25938545901516</v>
      </c>
    </row>
    <row r="9" spans="1:14" ht="14.4" customHeight="1" x14ac:dyDescent="0.3">
      <c r="A9" s="468" t="s">
        <v>461</v>
      </c>
      <c r="B9" s="469" t="s">
        <v>462</v>
      </c>
      <c r="C9" s="470" t="s">
        <v>467</v>
      </c>
      <c r="D9" s="471" t="s">
        <v>593</v>
      </c>
      <c r="E9" s="470" t="s">
        <v>478</v>
      </c>
      <c r="F9" s="471" t="s">
        <v>596</v>
      </c>
      <c r="G9" s="470" t="s">
        <v>479</v>
      </c>
      <c r="H9" s="470" t="s">
        <v>493</v>
      </c>
      <c r="I9" s="470" t="s">
        <v>169</v>
      </c>
      <c r="J9" s="470" t="s">
        <v>494</v>
      </c>
      <c r="K9" s="470"/>
      <c r="L9" s="472">
        <v>191.13096000000002</v>
      </c>
      <c r="M9" s="472">
        <v>5</v>
      </c>
      <c r="N9" s="473">
        <v>955.65480000000002</v>
      </c>
    </row>
    <row r="10" spans="1:14" ht="14.4" customHeight="1" x14ac:dyDescent="0.3">
      <c r="A10" s="468" t="s">
        <v>461</v>
      </c>
      <c r="B10" s="469" t="s">
        <v>462</v>
      </c>
      <c r="C10" s="470" t="s">
        <v>467</v>
      </c>
      <c r="D10" s="471" t="s">
        <v>593</v>
      </c>
      <c r="E10" s="470" t="s">
        <v>478</v>
      </c>
      <c r="F10" s="471" t="s">
        <v>596</v>
      </c>
      <c r="G10" s="470" t="s">
        <v>479</v>
      </c>
      <c r="H10" s="470" t="s">
        <v>495</v>
      </c>
      <c r="I10" s="470" t="s">
        <v>169</v>
      </c>
      <c r="J10" s="470" t="s">
        <v>496</v>
      </c>
      <c r="K10" s="470"/>
      <c r="L10" s="472">
        <v>320.34342077046847</v>
      </c>
      <c r="M10" s="472">
        <v>2</v>
      </c>
      <c r="N10" s="473">
        <v>640.68684154093694</v>
      </c>
    </row>
    <row r="11" spans="1:14" ht="14.4" customHeight="1" x14ac:dyDescent="0.3">
      <c r="A11" s="468" t="s">
        <v>461</v>
      </c>
      <c r="B11" s="469" t="s">
        <v>462</v>
      </c>
      <c r="C11" s="470" t="s">
        <v>467</v>
      </c>
      <c r="D11" s="471" t="s">
        <v>593</v>
      </c>
      <c r="E11" s="470" t="s">
        <v>478</v>
      </c>
      <c r="F11" s="471" t="s">
        <v>596</v>
      </c>
      <c r="G11" s="470" t="s">
        <v>479</v>
      </c>
      <c r="H11" s="470" t="s">
        <v>497</v>
      </c>
      <c r="I11" s="470" t="s">
        <v>498</v>
      </c>
      <c r="J11" s="470" t="s">
        <v>486</v>
      </c>
      <c r="K11" s="470" t="s">
        <v>499</v>
      </c>
      <c r="L11" s="472">
        <v>298.99999999999972</v>
      </c>
      <c r="M11" s="472">
        <v>1</v>
      </c>
      <c r="N11" s="473">
        <v>298.99999999999972</v>
      </c>
    </row>
    <row r="12" spans="1:14" ht="14.4" customHeight="1" x14ac:dyDescent="0.3">
      <c r="A12" s="468" t="s">
        <v>461</v>
      </c>
      <c r="B12" s="469" t="s">
        <v>462</v>
      </c>
      <c r="C12" s="470" t="s">
        <v>467</v>
      </c>
      <c r="D12" s="471" t="s">
        <v>593</v>
      </c>
      <c r="E12" s="470" t="s">
        <v>478</v>
      </c>
      <c r="F12" s="471" t="s">
        <v>596</v>
      </c>
      <c r="G12" s="470" t="s">
        <v>479</v>
      </c>
      <c r="H12" s="470" t="s">
        <v>500</v>
      </c>
      <c r="I12" s="470" t="s">
        <v>169</v>
      </c>
      <c r="J12" s="470" t="s">
        <v>501</v>
      </c>
      <c r="K12" s="470"/>
      <c r="L12" s="472">
        <v>187.4813218565501</v>
      </c>
      <c r="M12" s="472">
        <v>2</v>
      </c>
      <c r="N12" s="473">
        <v>374.96264371310019</v>
      </c>
    </row>
    <row r="13" spans="1:14" ht="14.4" customHeight="1" x14ac:dyDescent="0.3">
      <c r="A13" s="468" t="s">
        <v>461</v>
      </c>
      <c r="B13" s="469" t="s">
        <v>462</v>
      </c>
      <c r="C13" s="470" t="s">
        <v>467</v>
      </c>
      <c r="D13" s="471" t="s">
        <v>593</v>
      </c>
      <c r="E13" s="470" t="s">
        <v>478</v>
      </c>
      <c r="F13" s="471" t="s">
        <v>596</v>
      </c>
      <c r="G13" s="470" t="s">
        <v>479</v>
      </c>
      <c r="H13" s="470" t="s">
        <v>502</v>
      </c>
      <c r="I13" s="470" t="s">
        <v>502</v>
      </c>
      <c r="J13" s="470" t="s">
        <v>503</v>
      </c>
      <c r="K13" s="470" t="s">
        <v>504</v>
      </c>
      <c r="L13" s="472">
        <v>219.87986802060928</v>
      </c>
      <c r="M13" s="472">
        <v>3</v>
      </c>
      <c r="N13" s="473">
        <v>659.63960406182787</v>
      </c>
    </row>
    <row r="14" spans="1:14" ht="14.4" customHeight="1" x14ac:dyDescent="0.3">
      <c r="A14" s="468" t="s">
        <v>461</v>
      </c>
      <c r="B14" s="469" t="s">
        <v>462</v>
      </c>
      <c r="C14" s="470" t="s">
        <v>467</v>
      </c>
      <c r="D14" s="471" t="s">
        <v>593</v>
      </c>
      <c r="E14" s="470" t="s">
        <v>478</v>
      </c>
      <c r="F14" s="471" t="s">
        <v>596</v>
      </c>
      <c r="G14" s="470" t="s">
        <v>479</v>
      </c>
      <c r="H14" s="470" t="s">
        <v>505</v>
      </c>
      <c r="I14" s="470" t="s">
        <v>506</v>
      </c>
      <c r="J14" s="470" t="s">
        <v>503</v>
      </c>
      <c r="K14" s="470" t="s">
        <v>507</v>
      </c>
      <c r="L14" s="472">
        <v>123.32999999999997</v>
      </c>
      <c r="M14" s="472">
        <v>2</v>
      </c>
      <c r="N14" s="473">
        <v>246.65999999999994</v>
      </c>
    </row>
    <row r="15" spans="1:14" ht="14.4" customHeight="1" x14ac:dyDescent="0.3">
      <c r="A15" s="468" t="s">
        <v>461</v>
      </c>
      <c r="B15" s="469" t="s">
        <v>462</v>
      </c>
      <c r="C15" s="470" t="s">
        <v>467</v>
      </c>
      <c r="D15" s="471" t="s">
        <v>593</v>
      </c>
      <c r="E15" s="470" t="s">
        <v>478</v>
      </c>
      <c r="F15" s="471" t="s">
        <v>596</v>
      </c>
      <c r="G15" s="470" t="s">
        <v>479</v>
      </c>
      <c r="H15" s="470" t="s">
        <v>508</v>
      </c>
      <c r="I15" s="470" t="s">
        <v>169</v>
      </c>
      <c r="J15" s="470" t="s">
        <v>509</v>
      </c>
      <c r="K15" s="470"/>
      <c r="L15" s="472">
        <v>68.370974796692138</v>
      </c>
      <c r="M15" s="472">
        <v>4</v>
      </c>
      <c r="N15" s="473">
        <v>273.48389918676855</v>
      </c>
    </row>
    <row r="16" spans="1:14" ht="14.4" customHeight="1" x14ac:dyDescent="0.3">
      <c r="A16" s="468" t="s">
        <v>461</v>
      </c>
      <c r="B16" s="469" t="s">
        <v>462</v>
      </c>
      <c r="C16" s="470" t="s">
        <v>467</v>
      </c>
      <c r="D16" s="471" t="s">
        <v>593</v>
      </c>
      <c r="E16" s="470" t="s">
        <v>478</v>
      </c>
      <c r="F16" s="471" t="s">
        <v>596</v>
      </c>
      <c r="G16" s="470" t="s">
        <v>479</v>
      </c>
      <c r="H16" s="470" t="s">
        <v>510</v>
      </c>
      <c r="I16" s="470" t="s">
        <v>169</v>
      </c>
      <c r="J16" s="470" t="s">
        <v>511</v>
      </c>
      <c r="K16" s="470"/>
      <c r="L16" s="472">
        <v>207.10574556815851</v>
      </c>
      <c r="M16" s="472">
        <v>1</v>
      </c>
      <c r="N16" s="473">
        <v>207.10574556815851</v>
      </c>
    </row>
    <row r="17" spans="1:14" ht="14.4" customHeight="1" x14ac:dyDescent="0.3">
      <c r="A17" s="468" t="s">
        <v>461</v>
      </c>
      <c r="B17" s="469" t="s">
        <v>462</v>
      </c>
      <c r="C17" s="470" t="s">
        <v>467</v>
      </c>
      <c r="D17" s="471" t="s">
        <v>593</v>
      </c>
      <c r="E17" s="470" t="s">
        <v>478</v>
      </c>
      <c r="F17" s="471" t="s">
        <v>596</v>
      </c>
      <c r="G17" s="470" t="s">
        <v>479</v>
      </c>
      <c r="H17" s="470" t="s">
        <v>512</v>
      </c>
      <c r="I17" s="470" t="s">
        <v>513</v>
      </c>
      <c r="J17" s="470" t="s">
        <v>514</v>
      </c>
      <c r="K17" s="470" t="s">
        <v>515</v>
      </c>
      <c r="L17" s="472">
        <v>289.31488357091905</v>
      </c>
      <c r="M17" s="472">
        <v>5</v>
      </c>
      <c r="N17" s="473">
        <v>1446.5744178545954</v>
      </c>
    </row>
    <row r="18" spans="1:14" ht="14.4" customHeight="1" x14ac:dyDescent="0.3">
      <c r="A18" s="468" t="s">
        <v>461</v>
      </c>
      <c r="B18" s="469" t="s">
        <v>462</v>
      </c>
      <c r="C18" s="470" t="s">
        <v>467</v>
      </c>
      <c r="D18" s="471" t="s">
        <v>593</v>
      </c>
      <c r="E18" s="470" t="s">
        <v>478</v>
      </c>
      <c r="F18" s="471" t="s">
        <v>596</v>
      </c>
      <c r="G18" s="470" t="s">
        <v>479</v>
      </c>
      <c r="H18" s="470" t="s">
        <v>516</v>
      </c>
      <c r="I18" s="470" t="s">
        <v>169</v>
      </c>
      <c r="J18" s="470" t="s">
        <v>517</v>
      </c>
      <c r="K18" s="470"/>
      <c r="L18" s="472">
        <v>80.5304</v>
      </c>
      <c r="M18" s="472">
        <v>2</v>
      </c>
      <c r="N18" s="473">
        <v>161.0608</v>
      </c>
    </row>
    <row r="19" spans="1:14" ht="14.4" customHeight="1" x14ac:dyDescent="0.3">
      <c r="A19" s="468" t="s">
        <v>461</v>
      </c>
      <c r="B19" s="469" t="s">
        <v>462</v>
      </c>
      <c r="C19" s="470" t="s">
        <v>467</v>
      </c>
      <c r="D19" s="471" t="s">
        <v>593</v>
      </c>
      <c r="E19" s="470" t="s">
        <v>478</v>
      </c>
      <c r="F19" s="471" t="s">
        <v>596</v>
      </c>
      <c r="G19" s="470" t="s">
        <v>479</v>
      </c>
      <c r="H19" s="470" t="s">
        <v>518</v>
      </c>
      <c r="I19" s="470" t="s">
        <v>169</v>
      </c>
      <c r="J19" s="470" t="s">
        <v>519</v>
      </c>
      <c r="K19" s="470"/>
      <c r="L19" s="472">
        <v>189.60166510366366</v>
      </c>
      <c r="M19" s="472">
        <v>3</v>
      </c>
      <c r="N19" s="473">
        <v>568.80499531099099</v>
      </c>
    </row>
    <row r="20" spans="1:14" ht="14.4" customHeight="1" x14ac:dyDescent="0.3">
      <c r="A20" s="468" t="s">
        <v>461</v>
      </c>
      <c r="B20" s="469" t="s">
        <v>462</v>
      </c>
      <c r="C20" s="470" t="s">
        <v>467</v>
      </c>
      <c r="D20" s="471" t="s">
        <v>593</v>
      </c>
      <c r="E20" s="470" t="s">
        <v>478</v>
      </c>
      <c r="F20" s="471" t="s">
        <v>596</v>
      </c>
      <c r="G20" s="470" t="s">
        <v>479</v>
      </c>
      <c r="H20" s="470" t="s">
        <v>520</v>
      </c>
      <c r="I20" s="470" t="s">
        <v>169</v>
      </c>
      <c r="J20" s="470" t="s">
        <v>521</v>
      </c>
      <c r="K20" s="470"/>
      <c r="L20" s="472">
        <v>31.872</v>
      </c>
      <c r="M20" s="472">
        <v>1</v>
      </c>
      <c r="N20" s="473">
        <v>31.872</v>
      </c>
    </row>
    <row r="21" spans="1:14" ht="14.4" customHeight="1" x14ac:dyDescent="0.3">
      <c r="A21" s="468" t="s">
        <v>461</v>
      </c>
      <c r="B21" s="469" t="s">
        <v>462</v>
      </c>
      <c r="C21" s="470" t="s">
        <v>467</v>
      </c>
      <c r="D21" s="471" t="s">
        <v>593</v>
      </c>
      <c r="E21" s="470" t="s">
        <v>478</v>
      </c>
      <c r="F21" s="471" t="s">
        <v>596</v>
      </c>
      <c r="G21" s="470" t="s">
        <v>479</v>
      </c>
      <c r="H21" s="470" t="s">
        <v>522</v>
      </c>
      <c r="I21" s="470" t="s">
        <v>169</v>
      </c>
      <c r="J21" s="470" t="s">
        <v>523</v>
      </c>
      <c r="K21" s="470"/>
      <c r="L21" s="472">
        <v>69.287310573862996</v>
      </c>
      <c r="M21" s="472">
        <v>4</v>
      </c>
      <c r="N21" s="473">
        <v>277.14924229545198</v>
      </c>
    </row>
    <row r="22" spans="1:14" ht="14.4" customHeight="1" x14ac:dyDescent="0.3">
      <c r="A22" s="468" t="s">
        <v>461</v>
      </c>
      <c r="B22" s="469" t="s">
        <v>462</v>
      </c>
      <c r="C22" s="470" t="s">
        <v>467</v>
      </c>
      <c r="D22" s="471" t="s">
        <v>593</v>
      </c>
      <c r="E22" s="470" t="s">
        <v>478</v>
      </c>
      <c r="F22" s="471" t="s">
        <v>596</v>
      </c>
      <c r="G22" s="470" t="s">
        <v>479</v>
      </c>
      <c r="H22" s="470" t="s">
        <v>524</v>
      </c>
      <c r="I22" s="470" t="s">
        <v>525</v>
      </c>
      <c r="J22" s="470" t="s">
        <v>526</v>
      </c>
      <c r="K22" s="470"/>
      <c r="L22" s="472">
        <v>84.45779035911805</v>
      </c>
      <c r="M22" s="472">
        <v>4</v>
      </c>
      <c r="N22" s="473">
        <v>337.8311614364722</v>
      </c>
    </row>
    <row r="23" spans="1:14" ht="14.4" customHeight="1" x14ac:dyDescent="0.3">
      <c r="A23" s="468" t="s">
        <v>461</v>
      </c>
      <c r="B23" s="469" t="s">
        <v>462</v>
      </c>
      <c r="C23" s="470" t="s">
        <v>467</v>
      </c>
      <c r="D23" s="471" t="s">
        <v>593</v>
      </c>
      <c r="E23" s="470" t="s">
        <v>478</v>
      </c>
      <c r="F23" s="471" t="s">
        <v>596</v>
      </c>
      <c r="G23" s="470" t="s">
        <v>479</v>
      </c>
      <c r="H23" s="470" t="s">
        <v>527</v>
      </c>
      <c r="I23" s="470" t="s">
        <v>169</v>
      </c>
      <c r="J23" s="470" t="s">
        <v>528</v>
      </c>
      <c r="K23" s="470"/>
      <c r="L23" s="472">
        <v>84.331399362763818</v>
      </c>
      <c r="M23" s="472">
        <v>2</v>
      </c>
      <c r="N23" s="473">
        <v>168.66279872552764</v>
      </c>
    </row>
    <row r="24" spans="1:14" ht="14.4" customHeight="1" x14ac:dyDescent="0.3">
      <c r="A24" s="468" t="s">
        <v>461</v>
      </c>
      <c r="B24" s="469" t="s">
        <v>462</v>
      </c>
      <c r="C24" s="470" t="s">
        <v>467</v>
      </c>
      <c r="D24" s="471" t="s">
        <v>593</v>
      </c>
      <c r="E24" s="470" t="s">
        <v>478</v>
      </c>
      <c r="F24" s="471" t="s">
        <v>596</v>
      </c>
      <c r="G24" s="470" t="s">
        <v>479</v>
      </c>
      <c r="H24" s="470" t="s">
        <v>529</v>
      </c>
      <c r="I24" s="470" t="s">
        <v>169</v>
      </c>
      <c r="J24" s="470" t="s">
        <v>530</v>
      </c>
      <c r="K24" s="470"/>
      <c r="L24" s="472">
        <v>281.5885905819373</v>
      </c>
      <c r="M24" s="472">
        <v>2</v>
      </c>
      <c r="N24" s="473">
        <v>563.17718116387459</v>
      </c>
    </row>
    <row r="25" spans="1:14" ht="14.4" customHeight="1" x14ac:dyDescent="0.3">
      <c r="A25" s="468" t="s">
        <v>461</v>
      </c>
      <c r="B25" s="469" t="s">
        <v>462</v>
      </c>
      <c r="C25" s="470" t="s">
        <v>467</v>
      </c>
      <c r="D25" s="471" t="s">
        <v>593</v>
      </c>
      <c r="E25" s="470" t="s">
        <v>478</v>
      </c>
      <c r="F25" s="471" t="s">
        <v>596</v>
      </c>
      <c r="G25" s="470" t="s">
        <v>479</v>
      </c>
      <c r="H25" s="470" t="s">
        <v>531</v>
      </c>
      <c r="I25" s="470" t="s">
        <v>532</v>
      </c>
      <c r="J25" s="470" t="s">
        <v>533</v>
      </c>
      <c r="K25" s="470" t="s">
        <v>534</v>
      </c>
      <c r="L25" s="472">
        <v>209.90919964464251</v>
      </c>
      <c r="M25" s="472">
        <v>2</v>
      </c>
      <c r="N25" s="473">
        <v>419.81839928928503</v>
      </c>
    </row>
    <row r="26" spans="1:14" ht="14.4" customHeight="1" x14ac:dyDescent="0.3">
      <c r="A26" s="468" t="s">
        <v>461</v>
      </c>
      <c r="B26" s="469" t="s">
        <v>462</v>
      </c>
      <c r="C26" s="470" t="s">
        <v>467</v>
      </c>
      <c r="D26" s="471" t="s">
        <v>593</v>
      </c>
      <c r="E26" s="470" t="s">
        <v>478</v>
      </c>
      <c r="F26" s="471" t="s">
        <v>596</v>
      </c>
      <c r="G26" s="470" t="s">
        <v>479</v>
      </c>
      <c r="H26" s="470" t="s">
        <v>535</v>
      </c>
      <c r="I26" s="470" t="s">
        <v>535</v>
      </c>
      <c r="J26" s="470" t="s">
        <v>536</v>
      </c>
      <c r="K26" s="470" t="s">
        <v>537</v>
      </c>
      <c r="L26" s="472">
        <v>359.93</v>
      </c>
      <c r="M26" s="472">
        <v>1</v>
      </c>
      <c r="N26" s="473">
        <v>359.93</v>
      </c>
    </row>
    <row r="27" spans="1:14" ht="14.4" customHeight="1" x14ac:dyDescent="0.3">
      <c r="A27" s="468" t="s">
        <v>461</v>
      </c>
      <c r="B27" s="469" t="s">
        <v>462</v>
      </c>
      <c r="C27" s="470" t="s">
        <v>467</v>
      </c>
      <c r="D27" s="471" t="s">
        <v>593</v>
      </c>
      <c r="E27" s="470" t="s">
        <v>478</v>
      </c>
      <c r="F27" s="471" t="s">
        <v>596</v>
      </c>
      <c r="G27" s="470" t="s">
        <v>479</v>
      </c>
      <c r="H27" s="470" t="s">
        <v>538</v>
      </c>
      <c r="I27" s="470" t="s">
        <v>169</v>
      </c>
      <c r="J27" s="470" t="s">
        <v>539</v>
      </c>
      <c r="K27" s="470"/>
      <c r="L27" s="472">
        <v>37.349999999999994</v>
      </c>
      <c r="M27" s="472">
        <v>2</v>
      </c>
      <c r="N27" s="473">
        <v>74.699999999999989</v>
      </c>
    </row>
    <row r="28" spans="1:14" ht="14.4" customHeight="1" x14ac:dyDescent="0.3">
      <c r="A28" s="468" t="s">
        <v>461</v>
      </c>
      <c r="B28" s="469" t="s">
        <v>462</v>
      </c>
      <c r="C28" s="470" t="s">
        <v>467</v>
      </c>
      <c r="D28" s="471" t="s">
        <v>593</v>
      </c>
      <c r="E28" s="470" t="s">
        <v>478</v>
      </c>
      <c r="F28" s="471" t="s">
        <v>596</v>
      </c>
      <c r="G28" s="470" t="s">
        <v>479</v>
      </c>
      <c r="H28" s="470" t="s">
        <v>540</v>
      </c>
      <c r="I28" s="470" t="s">
        <v>541</v>
      </c>
      <c r="J28" s="470" t="s">
        <v>542</v>
      </c>
      <c r="K28" s="470" t="s">
        <v>543</v>
      </c>
      <c r="L28" s="472">
        <v>123.11937638063685</v>
      </c>
      <c r="M28" s="472">
        <v>2</v>
      </c>
      <c r="N28" s="473">
        <v>246.2387527612737</v>
      </c>
    </row>
    <row r="29" spans="1:14" ht="14.4" customHeight="1" x14ac:dyDescent="0.3">
      <c r="A29" s="468" t="s">
        <v>461</v>
      </c>
      <c r="B29" s="469" t="s">
        <v>462</v>
      </c>
      <c r="C29" s="470" t="s">
        <v>467</v>
      </c>
      <c r="D29" s="471" t="s">
        <v>593</v>
      </c>
      <c r="E29" s="470" t="s">
        <v>478</v>
      </c>
      <c r="F29" s="471" t="s">
        <v>596</v>
      </c>
      <c r="G29" s="470" t="s">
        <v>479</v>
      </c>
      <c r="H29" s="470" t="s">
        <v>544</v>
      </c>
      <c r="I29" s="470" t="s">
        <v>169</v>
      </c>
      <c r="J29" s="470" t="s">
        <v>545</v>
      </c>
      <c r="K29" s="470"/>
      <c r="L29" s="472">
        <v>132.14202577622984</v>
      </c>
      <c r="M29" s="472">
        <v>2</v>
      </c>
      <c r="N29" s="473">
        <v>264.28405155245969</v>
      </c>
    </row>
    <row r="30" spans="1:14" ht="14.4" customHeight="1" x14ac:dyDescent="0.3">
      <c r="A30" s="468" t="s">
        <v>461</v>
      </c>
      <c r="B30" s="469" t="s">
        <v>462</v>
      </c>
      <c r="C30" s="470" t="s">
        <v>467</v>
      </c>
      <c r="D30" s="471" t="s">
        <v>593</v>
      </c>
      <c r="E30" s="470" t="s">
        <v>546</v>
      </c>
      <c r="F30" s="471" t="s">
        <v>597</v>
      </c>
      <c r="G30" s="470" t="s">
        <v>479</v>
      </c>
      <c r="H30" s="470" t="s">
        <v>547</v>
      </c>
      <c r="I30" s="470" t="s">
        <v>548</v>
      </c>
      <c r="J30" s="470" t="s">
        <v>549</v>
      </c>
      <c r="K30" s="470" t="s">
        <v>550</v>
      </c>
      <c r="L30" s="472">
        <v>40.25</v>
      </c>
      <c r="M30" s="472">
        <v>4</v>
      </c>
      <c r="N30" s="473">
        <v>161</v>
      </c>
    </row>
    <row r="31" spans="1:14" ht="14.4" customHeight="1" x14ac:dyDescent="0.3">
      <c r="A31" s="468" t="s">
        <v>461</v>
      </c>
      <c r="B31" s="469" t="s">
        <v>462</v>
      </c>
      <c r="C31" s="470" t="s">
        <v>467</v>
      </c>
      <c r="D31" s="471" t="s">
        <v>593</v>
      </c>
      <c r="E31" s="470" t="s">
        <v>546</v>
      </c>
      <c r="F31" s="471" t="s">
        <v>597</v>
      </c>
      <c r="G31" s="470" t="s">
        <v>479</v>
      </c>
      <c r="H31" s="470" t="s">
        <v>551</v>
      </c>
      <c r="I31" s="470" t="s">
        <v>552</v>
      </c>
      <c r="J31" s="470" t="s">
        <v>553</v>
      </c>
      <c r="K31" s="470" t="s">
        <v>554</v>
      </c>
      <c r="L31" s="472">
        <v>68.710382604988567</v>
      </c>
      <c r="M31" s="472">
        <v>20</v>
      </c>
      <c r="N31" s="473">
        <v>1374.2076520997714</v>
      </c>
    </row>
    <row r="32" spans="1:14" ht="14.4" customHeight="1" x14ac:dyDescent="0.3">
      <c r="A32" s="468" t="s">
        <v>461</v>
      </c>
      <c r="B32" s="469" t="s">
        <v>462</v>
      </c>
      <c r="C32" s="470" t="s">
        <v>467</v>
      </c>
      <c r="D32" s="471" t="s">
        <v>593</v>
      </c>
      <c r="E32" s="470" t="s">
        <v>546</v>
      </c>
      <c r="F32" s="471" t="s">
        <v>597</v>
      </c>
      <c r="G32" s="470" t="s">
        <v>479</v>
      </c>
      <c r="H32" s="470" t="s">
        <v>555</v>
      </c>
      <c r="I32" s="470" t="s">
        <v>556</v>
      </c>
      <c r="J32" s="470" t="s">
        <v>557</v>
      </c>
      <c r="K32" s="470" t="s">
        <v>558</v>
      </c>
      <c r="L32" s="472">
        <v>82.969861027158714</v>
      </c>
      <c r="M32" s="472">
        <v>10</v>
      </c>
      <c r="N32" s="473">
        <v>829.69861027158709</v>
      </c>
    </row>
    <row r="33" spans="1:14" ht="14.4" customHeight="1" x14ac:dyDescent="0.3">
      <c r="A33" s="468" t="s">
        <v>461</v>
      </c>
      <c r="B33" s="469" t="s">
        <v>462</v>
      </c>
      <c r="C33" s="470" t="s">
        <v>467</v>
      </c>
      <c r="D33" s="471" t="s">
        <v>593</v>
      </c>
      <c r="E33" s="470" t="s">
        <v>546</v>
      </c>
      <c r="F33" s="471" t="s">
        <v>597</v>
      </c>
      <c r="G33" s="470" t="s">
        <v>479</v>
      </c>
      <c r="H33" s="470" t="s">
        <v>559</v>
      </c>
      <c r="I33" s="470" t="s">
        <v>560</v>
      </c>
      <c r="J33" s="470" t="s">
        <v>561</v>
      </c>
      <c r="K33" s="470" t="s">
        <v>562</v>
      </c>
      <c r="L33" s="472">
        <v>265.12000000000006</v>
      </c>
      <c r="M33" s="472">
        <v>6</v>
      </c>
      <c r="N33" s="473">
        <v>1590.7200000000003</v>
      </c>
    </row>
    <row r="34" spans="1:14" ht="14.4" customHeight="1" x14ac:dyDescent="0.3">
      <c r="A34" s="468" t="s">
        <v>461</v>
      </c>
      <c r="B34" s="469" t="s">
        <v>462</v>
      </c>
      <c r="C34" s="470" t="s">
        <v>472</v>
      </c>
      <c r="D34" s="471" t="s">
        <v>594</v>
      </c>
      <c r="E34" s="470" t="s">
        <v>478</v>
      </c>
      <c r="F34" s="471" t="s">
        <v>596</v>
      </c>
      <c r="G34" s="470" t="s">
        <v>479</v>
      </c>
      <c r="H34" s="470" t="s">
        <v>563</v>
      </c>
      <c r="I34" s="470" t="s">
        <v>564</v>
      </c>
      <c r="J34" s="470" t="s">
        <v>565</v>
      </c>
      <c r="K34" s="470" t="s">
        <v>566</v>
      </c>
      <c r="L34" s="472">
        <v>87.029854798757086</v>
      </c>
      <c r="M34" s="472">
        <v>15</v>
      </c>
      <c r="N34" s="473">
        <v>1305.4478219813564</v>
      </c>
    </row>
    <row r="35" spans="1:14" ht="14.4" customHeight="1" x14ac:dyDescent="0.3">
      <c r="A35" s="468" t="s">
        <v>461</v>
      </c>
      <c r="B35" s="469" t="s">
        <v>462</v>
      </c>
      <c r="C35" s="470" t="s">
        <v>472</v>
      </c>
      <c r="D35" s="471" t="s">
        <v>594</v>
      </c>
      <c r="E35" s="470" t="s">
        <v>478</v>
      </c>
      <c r="F35" s="471" t="s">
        <v>596</v>
      </c>
      <c r="G35" s="470" t="s">
        <v>479</v>
      </c>
      <c r="H35" s="470" t="s">
        <v>480</v>
      </c>
      <c r="I35" s="470" t="s">
        <v>481</v>
      </c>
      <c r="J35" s="470" t="s">
        <v>482</v>
      </c>
      <c r="K35" s="470" t="s">
        <v>483</v>
      </c>
      <c r="L35" s="472">
        <v>167.60951252623545</v>
      </c>
      <c r="M35" s="472">
        <v>14</v>
      </c>
      <c r="N35" s="473">
        <v>2346.5331753672963</v>
      </c>
    </row>
    <row r="36" spans="1:14" ht="14.4" customHeight="1" x14ac:dyDescent="0.3">
      <c r="A36" s="468" t="s">
        <v>461</v>
      </c>
      <c r="B36" s="469" t="s">
        <v>462</v>
      </c>
      <c r="C36" s="470" t="s">
        <v>472</v>
      </c>
      <c r="D36" s="471" t="s">
        <v>594</v>
      </c>
      <c r="E36" s="470" t="s">
        <v>478</v>
      </c>
      <c r="F36" s="471" t="s">
        <v>596</v>
      </c>
      <c r="G36" s="470" t="s">
        <v>479</v>
      </c>
      <c r="H36" s="470" t="s">
        <v>490</v>
      </c>
      <c r="I36" s="470" t="s">
        <v>491</v>
      </c>
      <c r="J36" s="470" t="s">
        <v>492</v>
      </c>
      <c r="K36" s="470"/>
      <c r="L36" s="472">
        <v>496.25949634435625</v>
      </c>
      <c r="M36" s="472">
        <v>3</v>
      </c>
      <c r="N36" s="473">
        <v>1488.7784890330688</v>
      </c>
    </row>
    <row r="37" spans="1:14" ht="14.4" customHeight="1" x14ac:dyDescent="0.3">
      <c r="A37" s="468" t="s">
        <v>461</v>
      </c>
      <c r="B37" s="469" t="s">
        <v>462</v>
      </c>
      <c r="C37" s="470" t="s">
        <v>472</v>
      </c>
      <c r="D37" s="471" t="s">
        <v>594</v>
      </c>
      <c r="E37" s="470" t="s">
        <v>478</v>
      </c>
      <c r="F37" s="471" t="s">
        <v>596</v>
      </c>
      <c r="G37" s="470" t="s">
        <v>479</v>
      </c>
      <c r="H37" s="470" t="s">
        <v>567</v>
      </c>
      <c r="I37" s="470" t="s">
        <v>568</v>
      </c>
      <c r="J37" s="470" t="s">
        <v>569</v>
      </c>
      <c r="K37" s="470" t="s">
        <v>570</v>
      </c>
      <c r="L37" s="472">
        <v>152.1599994586046</v>
      </c>
      <c r="M37" s="472">
        <v>2</v>
      </c>
      <c r="N37" s="473">
        <v>304.3199989172092</v>
      </c>
    </row>
    <row r="38" spans="1:14" ht="14.4" customHeight="1" x14ac:dyDescent="0.3">
      <c r="A38" s="468" t="s">
        <v>461</v>
      </c>
      <c r="B38" s="469" t="s">
        <v>462</v>
      </c>
      <c r="C38" s="470" t="s">
        <v>472</v>
      </c>
      <c r="D38" s="471" t="s">
        <v>594</v>
      </c>
      <c r="E38" s="470" t="s">
        <v>478</v>
      </c>
      <c r="F38" s="471" t="s">
        <v>596</v>
      </c>
      <c r="G38" s="470" t="s">
        <v>479</v>
      </c>
      <c r="H38" s="470" t="s">
        <v>571</v>
      </c>
      <c r="I38" s="470" t="s">
        <v>572</v>
      </c>
      <c r="J38" s="470" t="s">
        <v>573</v>
      </c>
      <c r="K38" s="470" t="s">
        <v>574</v>
      </c>
      <c r="L38" s="472">
        <v>531.27</v>
      </c>
      <c r="M38" s="472">
        <v>2</v>
      </c>
      <c r="N38" s="473">
        <v>1062.54</v>
      </c>
    </row>
    <row r="39" spans="1:14" ht="14.4" customHeight="1" x14ac:dyDescent="0.3">
      <c r="A39" s="468" t="s">
        <v>461</v>
      </c>
      <c r="B39" s="469" t="s">
        <v>462</v>
      </c>
      <c r="C39" s="470" t="s">
        <v>472</v>
      </c>
      <c r="D39" s="471" t="s">
        <v>594</v>
      </c>
      <c r="E39" s="470" t="s">
        <v>478</v>
      </c>
      <c r="F39" s="471" t="s">
        <v>596</v>
      </c>
      <c r="G39" s="470" t="s">
        <v>479</v>
      </c>
      <c r="H39" s="470" t="s">
        <v>500</v>
      </c>
      <c r="I39" s="470" t="s">
        <v>169</v>
      </c>
      <c r="J39" s="470" t="s">
        <v>501</v>
      </c>
      <c r="K39" s="470"/>
      <c r="L39" s="472">
        <v>39.112089116910738</v>
      </c>
      <c r="M39" s="472">
        <v>2</v>
      </c>
      <c r="N39" s="473">
        <v>78.224178233821476</v>
      </c>
    </row>
    <row r="40" spans="1:14" ht="14.4" customHeight="1" x14ac:dyDescent="0.3">
      <c r="A40" s="468" t="s">
        <v>461</v>
      </c>
      <c r="B40" s="469" t="s">
        <v>462</v>
      </c>
      <c r="C40" s="470" t="s">
        <v>472</v>
      </c>
      <c r="D40" s="471" t="s">
        <v>594</v>
      </c>
      <c r="E40" s="470" t="s">
        <v>478</v>
      </c>
      <c r="F40" s="471" t="s">
        <v>596</v>
      </c>
      <c r="G40" s="470" t="s">
        <v>479</v>
      </c>
      <c r="H40" s="470" t="s">
        <v>575</v>
      </c>
      <c r="I40" s="470" t="s">
        <v>576</v>
      </c>
      <c r="J40" s="470" t="s">
        <v>577</v>
      </c>
      <c r="K40" s="470"/>
      <c r="L40" s="472">
        <v>252.97800000000001</v>
      </c>
      <c r="M40" s="472">
        <v>1</v>
      </c>
      <c r="N40" s="473">
        <v>252.97800000000001</v>
      </c>
    </row>
    <row r="41" spans="1:14" ht="14.4" customHeight="1" x14ac:dyDescent="0.3">
      <c r="A41" s="468" t="s">
        <v>461</v>
      </c>
      <c r="B41" s="469" t="s">
        <v>462</v>
      </c>
      <c r="C41" s="470" t="s">
        <v>472</v>
      </c>
      <c r="D41" s="471" t="s">
        <v>594</v>
      </c>
      <c r="E41" s="470" t="s">
        <v>478</v>
      </c>
      <c r="F41" s="471" t="s">
        <v>596</v>
      </c>
      <c r="G41" s="470" t="s">
        <v>479</v>
      </c>
      <c r="H41" s="470" t="s">
        <v>512</v>
      </c>
      <c r="I41" s="470" t="s">
        <v>513</v>
      </c>
      <c r="J41" s="470" t="s">
        <v>514</v>
      </c>
      <c r="K41" s="470" t="s">
        <v>515</v>
      </c>
      <c r="L41" s="472">
        <v>280.61885802899411</v>
      </c>
      <c r="M41" s="472">
        <v>8</v>
      </c>
      <c r="N41" s="473">
        <v>2244.9508642319529</v>
      </c>
    </row>
    <row r="42" spans="1:14" ht="14.4" customHeight="1" x14ac:dyDescent="0.3">
      <c r="A42" s="468" t="s">
        <v>461</v>
      </c>
      <c r="B42" s="469" t="s">
        <v>462</v>
      </c>
      <c r="C42" s="470" t="s">
        <v>472</v>
      </c>
      <c r="D42" s="471" t="s">
        <v>594</v>
      </c>
      <c r="E42" s="470" t="s">
        <v>478</v>
      </c>
      <c r="F42" s="471" t="s">
        <v>596</v>
      </c>
      <c r="G42" s="470" t="s">
        <v>479</v>
      </c>
      <c r="H42" s="470" t="s">
        <v>516</v>
      </c>
      <c r="I42" s="470" t="s">
        <v>169</v>
      </c>
      <c r="J42" s="470" t="s">
        <v>517</v>
      </c>
      <c r="K42" s="470"/>
      <c r="L42" s="472">
        <v>85.756454757250125</v>
      </c>
      <c r="M42" s="472">
        <v>1</v>
      </c>
      <c r="N42" s="473">
        <v>85.756454757250125</v>
      </c>
    </row>
    <row r="43" spans="1:14" ht="14.4" customHeight="1" x14ac:dyDescent="0.3">
      <c r="A43" s="468" t="s">
        <v>461</v>
      </c>
      <c r="B43" s="469" t="s">
        <v>462</v>
      </c>
      <c r="C43" s="470" t="s">
        <v>472</v>
      </c>
      <c r="D43" s="471" t="s">
        <v>594</v>
      </c>
      <c r="E43" s="470" t="s">
        <v>478</v>
      </c>
      <c r="F43" s="471" t="s">
        <v>596</v>
      </c>
      <c r="G43" s="470" t="s">
        <v>479</v>
      </c>
      <c r="H43" s="470" t="s">
        <v>522</v>
      </c>
      <c r="I43" s="470" t="s">
        <v>169</v>
      </c>
      <c r="J43" s="470" t="s">
        <v>523</v>
      </c>
      <c r="K43" s="470"/>
      <c r="L43" s="472">
        <v>73.007310573862995</v>
      </c>
      <c r="M43" s="472">
        <v>2</v>
      </c>
      <c r="N43" s="473">
        <v>146.01462114772599</v>
      </c>
    </row>
    <row r="44" spans="1:14" ht="14.4" customHeight="1" x14ac:dyDescent="0.3">
      <c r="A44" s="468" t="s">
        <v>461</v>
      </c>
      <c r="B44" s="469" t="s">
        <v>462</v>
      </c>
      <c r="C44" s="470" t="s">
        <v>472</v>
      </c>
      <c r="D44" s="471" t="s">
        <v>594</v>
      </c>
      <c r="E44" s="470" t="s">
        <v>478</v>
      </c>
      <c r="F44" s="471" t="s">
        <v>596</v>
      </c>
      <c r="G44" s="470" t="s">
        <v>479</v>
      </c>
      <c r="H44" s="470" t="s">
        <v>578</v>
      </c>
      <c r="I44" s="470" t="s">
        <v>169</v>
      </c>
      <c r="J44" s="470" t="s">
        <v>579</v>
      </c>
      <c r="K44" s="470" t="s">
        <v>580</v>
      </c>
      <c r="L44" s="472">
        <v>202.39969262094638</v>
      </c>
      <c r="M44" s="472">
        <v>1</v>
      </c>
      <c r="N44" s="473">
        <v>202.39969262094638</v>
      </c>
    </row>
    <row r="45" spans="1:14" ht="14.4" customHeight="1" x14ac:dyDescent="0.3">
      <c r="A45" s="468" t="s">
        <v>461</v>
      </c>
      <c r="B45" s="469" t="s">
        <v>462</v>
      </c>
      <c r="C45" s="470" t="s">
        <v>472</v>
      </c>
      <c r="D45" s="471" t="s">
        <v>594</v>
      </c>
      <c r="E45" s="470" t="s">
        <v>478</v>
      </c>
      <c r="F45" s="471" t="s">
        <v>596</v>
      </c>
      <c r="G45" s="470" t="s">
        <v>479</v>
      </c>
      <c r="H45" s="470" t="s">
        <v>524</v>
      </c>
      <c r="I45" s="470" t="s">
        <v>525</v>
      </c>
      <c r="J45" s="470" t="s">
        <v>526</v>
      </c>
      <c r="K45" s="470"/>
      <c r="L45" s="472">
        <v>98.130576115695419</v>
      </c>
      <c r="M45" s="472">
        <v>1</v>
      </c>
      <c r="N45" s="473">
        <v>98.130576115695419</v>
      </c>
    </row>
    <row r="46" spans="1:14" ht="14.4" customHeight="1" x14ac:dyDescent="0.3">
      <c r="A46" s="468" t="s">
        <v>461</v>
      </c>
      <c r="B46" s="469" t="s">
        <v>462</v>
      </c>
      <c r="C46" s="470" t="s">
        <v>472</v>
      </c>
      <c r="D46" s="471" t="s">
        <v>594</v>
      </c>
      <c r="E46" s="470" t="s">
        <v>478</v>
      </c>
      <c r="F46" s="471" t="s">
        <v>596</v>
      </c>
      <c r="G46" s="470" t="s">
        <v>479</v>
      </c>
      <c r="H46" s="470" t="s">
        <v>527</v>
      </c>
      <c r="I46" s="470" t="s">
        <v>169</v>
      </c>
      <c r="J46" s="470" t="s">
        <v>528</v>
      </c>
      <c r="K46" s="470"/>
      <c r="L46" s="472">
        <v>83.964886688707395</v>
      </c>
      <c r="M46" s="472">
        <v>1</v>
      </c>
      <c r="N46" s="473">
        <v>83.964886688707395</v>
      </c>
    </row>
    <row r="47" spans="1:14" ht="14.4" customHeight="1" x14ac:dyDescent="0.3">
      <c r="A47" s="468" t="s">
        <v>461</v>
      </c>
      <c r="B47" s="469" t="s">
        <v>462</v>
      </c>
      <c r="C47" s="470" t="s">
        <v>472</v>
      </c>
      <c r="D47" s="471" t="s">
        <v>594</v>
      </c>
      <c r="E47" s="470" t="s">
        <v>478</v>
      </c>
      <c r="F47" s="471" t="s">
        <v>596</v>
      </c>
      <c r="G47" s="470" t="s">
        <v>479</v>
      </c>
      <c r="H47" s="470" t="s">
        <v>581</v>
      </c>
      <c r="I47" s="470" t="s">
        <v>169</v>
      </c>
      <c r="J47" s="470" t="s">
        <v>582</v>
      </c>
      <c r="K47" s="470" t="s">
        <v>583</v>
      </c>
      <c r="L47" s="472">
        <v>744.44338596886769</v>
      </c>
      <c r="M47" s="472">
        <v>1</v>
      </c>
      <c r="N47" s="473">
        <v>744.44338596886769</v>
      </c>
    </row>
    <row r="48" spans="1:14" ht="14.4" customHeight="1" x14ac:dyDescent="0.3">
      <c r="A48" s="468" t="s">
        <v>461</v>
      </c>
      <c r="B48" s="469" t="s">
        <v>462</v>
      </c>
      <c r="C48" s="470" t="s">
        <v>472</v>
      </c>
      <c r="D48" s="471" t="s">
        <v>594</v>
      </c>
      <c r="E48" s="470" t="s">
        <v>478</v>
      </c>
      <c r="F48" s="471" t="s">
        <v>596</v>
      </c>
      <c r="G48" s="470" t="s">
        <v>479</v>
      </c>
      <c r="H48" s="470" t="s">
        <v>584</v>
      </c>
      <c r="I48" s="470" t="s">
        <v>169</v>
      </c>
      <c r="J48" s="470" t="s">
        <v>585</v>
      </c>
      <c r="K48" s="470" t="s">
        <v>586</v>
      </c>
      <c r="L48" s="472">
        <v>49.99722222222222</v>
      </c>
      <c r="M48" s="472">
        <v>5</v>
      </c>
      <c r="N48" s="473">
        <v>249.98611111111109</v>
      </c>
    </row>
    <row r="49" spans="1:14" ht="14.4" customHeight="1" x14ac:dyDescent="0.3">
      <c r="A49" s="468" t="s">
        <v>461</v>
      </c>
      <c r="B49" s="469" t="s">
        <v>462</v>
      </c>
      <c r="C49" s="470" t="s">
        <v>472</v>
      </c>
      <c r="D49" s="471" t="s">
        <v>594</v>
      </c>
      <c r="E49" s="470" t="s">
        <v>546</v>
      </c>
      <c r="F49" s="471" t="s">
        <v>597</v>
      </c>
      <c r="G49" s="470" t="s">
        <v>479</v>
      </c>
      <c r="H49" s="470" t="s">
        <v>547</v>
      </c>
      <c r="I49" s="470" t="s">
        <v>548</v>
      </c>
      <c r="J49" s="470" t="s">
        <v>549</v>
      </c>
      <c r="K49" s="470" t="s">
        <v>550</v>
      </c>
      <c r="L49" s="472">
        <v>40.25</v>
      </c>
      <c r="M49" s="472">
        <v>3</v>
      </c>
      <c r="N49" s="473">
        <v>120.75</v>
      </c>
    </row>
    <row r="50" spans="1:14" ht="14.4" customHeight="1" x14ac:dyDescent="0.3">
      <c r="A50" s="468" t="s">
        <v>461</v>
      </c>
      <c r="B50" s="469" t="s">
        <v>462</v>
      </c>
      <c r="C50" s="470" t="s">
        <v>472</v>
      </c>
      <c r="D50" s="471" t="s">
        <v>594</v>
      </c>
      <c r="E50" s="470" t="s">
        <v>546</v>
      </c>
      <c r="F50" s="471" t="s">
        <v>597</v>
      </c>
      <c r="G50" s="470" t="s">
        <v>479</v>
      </c>
      <c r="H50" s="470" t="s">
        <v>551</v>
      </c>
      <c r="I50" s="470" t="s">
        <v>552</v>
      </c>
      <c r="J50" s="470" t="s">
        <v>553</v>
      </c>
      <c r="K50" s="470" t="s">
        <v>554</v>
      </c>
      <c r="L50" s="472">
        <v>68.004263795187356</v>
      </c>
      <c r="M50" s="472">
        <v>8</v>
      </c>
      <c r="N50" s="473">
        <v>544.03411036149885</v>
      </c>
    </row>
    <row r="51" spans="1:14" ht="14.4" customHeight="1" x14ac:dyDescent="0.3">
      <c r="A51" s="468" t="s">
        <v>461</v>
      </c>
      <c r="B51" s="469" t="s">
        <v>462</v>
      </c>
      <c r="C51" s="470" t="s">
        <v>472</v>
      </c>
      <c r="D51" s="471" t="s">
        <v>594</v>
      </c>
      <c r="E51" s="470" t="s">
        <v>546</v>
      </c>
      <c r="F51" s="471" t="s">
        <v>597</v>
      </c>
      <c r="G51" s="470" t="s">
        <v>479</v>
      </c>
      <c r="H51" s="470" t="s">
        <v>587</v>
      </c>
      <c r="I51" s="470" t="s">
        <v>588</v>
      </c>
      <c r="J51" s="470" t="s">
        <v>561</v>
      </c>
      <c r="K51" s="470" t="s">
        <v>589</v>
      </c>
      <c r="L51" s="472">
        <v>92.22000000000007</v>
      </c>
      <c r="M51" s="472">
        <v>3</v>
      </c>
      <c r="N51" s="473">
        <v>276.6600000000002</v>
      </c>
    </row>
    <row r="52" spans="1:14" ht="14.4" customHeight="1" x14ac:dyDescent="0.3">
      <c r="A52" s="468" t="s">
        <v>461</v>
      </c>
      <c r="B52" s="469" t="s">
        <v>462</v>
      </c>
      <c r="C52" s="470" t="s">
        <v>475</v>
      </c>
      <c r="D52" s="471" t="s">
        <v>595</v>
      </c>
      <c r="E52" s="470" t="s">
        <v>478</v>
      </c>
      <c r="F52" s="471" t="s">
        <v>596</v>
      </c>
      <c r="G52" s="470" t="s">
        <v>479</v>
      </c>
      <c r="H52" s="470" t="s">
        <v>590</v>
      </c>
      <c r="I52" s="470" t="s">
        <v>591</v>
      </c>
      <c r="J52" s="470" t="s">
        <v>592</v>
      </c>
      <c r="K52" s="470"/>
      <c r="L52" s="472">
        <v>2271.64</v>
      </c>
      <c r="M52" s="472">
        <v>2</v>
      </c>
      <c r="N52" s="473">
        <v>4543.28</v>
      </c>
    </row>
    <row r="53" spans="1:14" ht="14.4" customHeight="1" thickBot="1" x14ac:dyDescent="0.35">
      <c r="A53" s="474" t="s">
        <v>461</v>
      </c>
      <c r="B53" s="475" t="s">
        <v>462</v>
      </c>
      <c r="C53" s="476" t="s">
        <v>475</v>
      </c>
      <c r="D53" s="477" t="s">
        <v>595</v>
      </c>
      <c r="E53" s="476" t="s">
        <v>546</v>
      </c>
      <c r="F53" s="477" t="s">
        <v>597</v>
      </c>
      <c r="G53" s="476" t="s">
        <v>479</v>
      </c>
      <c r="H53" s="476" t="s">
        <v>551</v>
      </c>
      <c r="I53" s="476" t="s">
        <v>552</v>
      </c>
      <c r="J53" s="476" t="s">
        <v>553</v>
      </c>
      <c r="K53" s="476" t="s">
        <v>554</v>
      </c>
      <c r="L53" s="478">
        <v>68.019916728525587</v>
      </c>
      <c r="M53" s="478">
        <v>4</v>
      </c>
      <c r="N53" s="479">
        <v>272.07966691410235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8" customWidth="1"/>
    <col min="2" max="2" width="5.44140625" style="212" bestFit="1" customWidth="1"/>
    <col min="3" max="3" width="6.109375" style="212" bestFit="1" customWidth="1"/>
    <col min="4" max="4" width="7.44140625" style="212" bestFit="1" customWidth="1"/>
    <col min="5" max="5" width="6.21875" style="212" bestFit="1" customWidth="1"/>
    <col min="6" max="6" width="6.33203125" style="215" bestFit="1" customWidth="1"/>
    <col min="7" max="7" width="6.109375" style="215" bestFit="1" customWidth="1"/>
    <col min="8" max="8" width="7.44140625" style="215" bestFit="1" customWidth="1"/>
    <col min="9" max="9" width="6.21875" style="215" bestFit="1" customWidth="1"/>
    <col min="10" max="10" width="5.44140625" style="212" bestFit="1" customWidth="1"/>
    <col min="11" max="11" width="6.109375" style="212" bestFit="1" customWidth="1"/>
    <col min="12" max="12" width="7.44140625" style="212" bestFit="1" customWidth="1"/>
    <col min="13" max="13" width="6.21875" style="212" bestFit="1" customWidth="1"/>
    <col min="14" max="14" width="5.33203125" style="215" bestFit="1" customWidth="1"/>
    <col min="15" max="15" width="6.109375" style="215" bestFit="1" customWidth="1"/>
    <col min="16" max="16" width="7.44140625" style="215" bestFit="1" customWidth="1"/>
    <col min="17" max="17" width="6.21875" style="215" bestFit="1" customWidth="1"/>
    <col min="18" max="16384" width="8.88671875" style="133"/>
  </cols>
  <sheetData>
    <row r="1" spans="1:17" ht="18.600000000000001" customHeight="1" thickBot="1" x14ac:dyDescent="0.4">
      <c r="A1" s="368" t="s">
        <v>245</v>
      </c>
      <c r="B1" s="368"/>
      <c r="C1" s="368"/>
      <c r="D1" s="368"/>
      <c r="E1" s="368"/>
      <c r="F1" s="331"/>
      <c r="G1" s="331"/>
      <c r="H1" s="331"/>
      <c r="I1" s="331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40" t="s">
        <v>281</v>
      </c>
      <c r="B2" s="219"/>
      <c r="C2" s="219"/>
      <c r="D2" s="219"/>
      <c r="E2" s="219"/>
    </row>
    <row r="3" spans="1:17" ht="14.4" customHeight="1" thickBot="1" x14ac:dyDescent="0.35">
      <c r="A3" s="307" t="s">
        <v>3</v>
      </c>
      <c r="B3" s="311">
        <f>SUM(B6:B1048576)</f>
        <v>99</v>
      </c>
      <c r="C3" s="312">
        <f>SUM(C6:C1048576)</f>
        <v>4</v>
      </c>
      <c r="D3" s="312">
        <f>SUM(D6:D1048576)</f>
        <v>0</v>
      </c>
      <c r="E3" s="313">
        <f>SUM(E6:E1048576)</f>
        <v>0</v>
      </c>
      <c r="F3" s="310">
        <f>IF(SUM($B3:$E3)=0,"",B3/SUM($B3:$E3))</f>
        <v>0.96116504854368934</v>
      </c>
      <c r="G3" s="308">
        <f t="shared" ref="G3:I3" si="0">IF(SUM($B3:$E3)=0,"",C3/SUM($B3:$E3))</f>
        <v>3.8834951456310676E-2</v>
      </c>
      <c r="H3" s="308">
        <f t="shared" si="0"/>
        <v>0</v>
      </c>
      <c r="I3" s="309">
        <f t="shared" si="0"/>
        <v>0</v>
      </c>
      <c r="J3" s="312">
        <f>SUM(J6:J1048576)</f>
        <v>27</v>
      </c>
      <c r="K3" s="312">
        <f>SUM(K6:K1048576)</f>
        <v>4</v>
      </c>
      <c r="L3" s="312">
        <f>SUM(L6:L1048576)</f>
        <v>0</v>
      </c>
      <c r="M3" s="313">
        <f>SUM(M6:M1048576)</f>
        <v>0</v>
      </c>
      <c r="N3" s="310">
        <f>IF(SUM($J3:$M3)=0,"",J3/SUM($J3:$M3))</f>
        <v>0.87096774193548387</v>
      </c>
      <c r="O3" s="308">
        <f t="shared" ref="O3:Q3" si="1">IF(SUM($J3:$M3)=0,"",K3/SUM($J3:$M3))</f>
        <v>0.12903225806451613</v>
      </c>
      <c r="P3" s="308">
        <f t="shared" si="1"/>
        <v>0</v>
      </c>
      <c r="Q3" s="309">
        <f t="shared" si="1"/>
        <v>0</v>
      </c>
    </row>
    <row r="4" spans="1:17" ht="14.4" customHeight="1" thickBot="1" x14ac:dyDescent="0.35">
      <c r="A4" s="306"/>
      <c r="B4" s="381" t="s">
        <v>247</v>
      </c>
      <c r="C4" s="382"/>
      <c r="D4" s="382"/>
      <c r="E4" s="383"/>
      <c r="F4" s="378" t="s">
        <v>252</v>
      </c>
      <c r="G4" s="379"/>
      <c r="H4" s="379"/>
      <c r="I4" s="380"/>
      <c r="J4" s="381" t="s">
        <v>253</v>
      </c>
      <c r="K4" s="382"/>
      <c r="L4" s="382"/>
      <c r="M4" s="383"/>
      <c r="N4" s="378" t="s">
        <v>254</v>
      </c>
      <c r="O4" s="379"/>
      <c r="P4" s="379"/>
      <c r="Q4" s="380"/>
    </row>
    <row r="5" spans="1:17" ht="14.4" customHeight="1" thickBot="1" x14ac:dyDescent="0.35">
      <c r="A5" s="480" t="s">
        <v>246</v>
      </c>
      <c r="B5" s="481" t="s">
        <v>248</v>
      </c>
      <c r="C5" s="481" t="s">
        <v>249</v>
      </c>
      <c r="D5" s="481" t="s">
        <v>250</v>
      </c>
      <c r="E5" s="482" t="s">
        <v>251</v>
      </c>
      <c r="F5" s="483" t="s">
        <v>248</v>
      </c>
      <c r="G5" s="484" t="s">
        <v>249</v>
      </c>
      <c r="H5" s="484" t="s">
        <v>250</v>
      </c>
      <c r="I5" s="485" t="s">
        <v>251</v>
      </c>
      <c r="J5" s="481" t="s">
        <v>248</v>
      </c>
      <c r="K5" s="481" t="s">
        <v>249</v>
      </c>
      <c r="L5" s="481" t="s">
        <v>250</v>
      </c>
      <c r="M5" s="482" t="s">
        <v>251</v>
      </c>
      <c r="N5" s="483" t="s">
        <v>248</v>
      </c>
      <c r="O5" s="484" t="s">
        <v>249</v>
      </c>
      <c r="P5" s="484" t="s">
        <v>250</v>
      </c>
      <c r="Q5" s="485" t="s">
        <v>251</v>
      </c>
    </row>
    <row r="6" spans="1:17" ht="14.4" customHeight="1" x14ac:dyDescent="0.3">
      <c r="A6" s="492" t="s">
        <v>598</v>
      </c>
      <c r="B6" s="498"/>
      <c r="C6" s="466"/>
      <c r="D6" s="466"/>
      <c r="E6" s="467"/>
      <c r="F6" s="495"/>
      <c r="G6" s="486"/>
      <c r="H6" s="486"/>
      <c r="I6" s="501"/>
      <c r="J6" s="498"/>
      <c r="K6" s="466"/>
      <c r="L6" s="466"/>
      <c r="M6" s="467"/>
      <c r="N6" s="495"/>
      <c r="O6" s="486"/>
      <c r="P6" s="486"/>
      <c r="Q6" s="487"/>
    </row>
    <row r="7" spans="1:17" ht="14.4" customHeight="1" x14ac:dyDescent="0.3">
      <c r="A7" s="493" t="s">
        <v>599</v>
      </c>
      <c r="B7" s="499">
        <v>54</v>
      </c>
      <c r="C7" s="472">
        <v>4</v>
      </c>
      <c r="D7" s="472"/>
      <c r="E7" s="473"/>
      <c r="F7" s="496">
        <v>0.93103448275862066</v>
      </c>
      <c r="G7" s="488">
        <v>6.8965517241379309E-2</v>
      </c>
      <c r="H7" s="488">
        <v>0</v>
      </c>
      <c r="I7" s="502">
        <v>0</v>
      </c>
      <c r="J7" s="499">
        <v>13</v>
      </c>
      <c r="K7" s="472">
        <v>4</v>
      </c>
      <c r="L7" s="472"/>
      <c r="M7" s="473"/>
      <c r="N7" s="496">
        <v>0.76470588235294112</v>
      </c>
      <c r="O7" s="488">
        <v>0.23529411764705882</v>
      </c>
      <c r="P7" s="488">
        <v>0</v>
      </c>
      <c r="Q7" s="489">
        <v>0</v>
      </c>
    </row>
    <row r="8" spans="1:17" ht="14.4" customHeight="1" x14ac:dyDescent="0.3">
      <c r="A8" s="493" t="s">
        <v>600</v>
      </c>
      <c r="B8" s="499">
        <v>43</v>
      </c>
      <c r="C8" s="472"/>
      <c r="D8" s="472"/>
      <c r="E8" s="473"/>
      <c r="F8" s="496">
        <v>1</v>
      </c>
      <c r="G8" s="488">
        <v>0</v>
      </c>
      <c r="H8" s="488">
        <v>0</v>
      </c>
      <c r="I8" s="502">
        <v>0</v>
      </c>
      <c r="J8" s="499">
        <v>12</v>
      </c>
      <c r="K8" s="472"/>
      <c r="L8" s="472"/>
      <c r="M8" s="473"/>
      <c r="N8" s="496">
        <v>1</v>
      </c>
      <c r="O8" s="488">
        <v>0</v>
      </c>
      <c r="P8" s="488">
        <v>0</v>
      </c>
      <c r="Q8" s="489">
        <v>0</v>
      </c>
    </row>
    <row r="9" spans="1:17" ht="14.4" customHeight="1" thickBot="1" x14ac:dyDescent="0.35">
      <c r="A9" s="494" t="s">
        <v>601</v>
      </c>
      <c r="B9" s="500">
        <v>2</v>
      </c>
      <c r="C9" s="478"/>
      <c r="D9" s="478"/>
      <c r="E9" s="479"/>
      <c r="F9" s="497">
        <v>1</v>
      </c>
      <c r="G9" s="490">
        <v>0</v>
      </c>
      <c r="H9" s="490">
        <v>0</v>
      </c>
      <c r="I9" s="503">
        <v>0</v>
      </c>
      <c r="J9" s="500">
        <v>2</v>
      </c>
      <c r="K9" s="478"/>
      <c r="L9" s="478"/>
      <c r="M9" s="479"/>
      <c r="N9" s="497">
        <v>1</v>
      </c>
      <c r="O9" s="490">
        <v>0</v>
      </c>
      <c r="P9" s="490">
        <v>0</v>
      </c>
      <c r="Q9" s="49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2015-04-25T23:07:09Z</dcterms:modified>
</cp:coreProperties>
</file>