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D23" i="419"/>
  <c r="AC23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V6" i="419"/>
  <c r="J6" i="419"/>
  <c r="AF6" i="419"/>
  <c r="AB6" i="419"/>
  <c r="X6" i="419"/>
  <c r="T6" i="419"/>
  <c r="P6" i="419"/>
  <c r="L6" i="419"/>
  <c r="H6" i="419"/>
  <c r="AD6" i="419"/>
  <c r="R6" i="419"/>
  <c r="AH6" i="419"/>
  <c r="AE6" i="419"/>
  <c r="AA6" i="419"/>
  <c r="W6" i="419"/>
  <c r="S6" i="419"/>
  <c r="O6" i="419"/>
  <c r="K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Q3" i="377" l="1"/>
  <c r="H3" i="390"/>
  <c r="Q3" i="347"/>
  <c r="S3" i="347"/>
  <c r="U3" i="347"/>
  <c r="H3" i="387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<sst xmlns="http://schemas.openxmlformats.org/spreadsheetml/2006/main" count="7597" uniqueCount="1749">
  <si>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</si>
  <si>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</si>
  <si>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</si>
  <si>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</si>
  <si>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</si>
  <si>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</si>
  <si>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</si>
  <si>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</si>
  <si>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</si>
  <si>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</si>
  <si>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</si>
  <si>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</si>
  <si>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</si>
  <si>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</si>
  <si>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</si>
  <si>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</si>
  <si>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</si>
  <si>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</si>
  <si>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</si>
  <si>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</si>
  <si>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</si>
  <si>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</si>
  <si>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</si>
  <si>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</si>
  <si>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</si>
  <si>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</si>
  <si>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</si>
  <si>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</si>
  <si>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</si>
  <si>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</si>
  <si>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</si>
  <si>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</si>
  <si>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</si>
  <si>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</si>
  <si>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</si>
  <si>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</si>
  <si>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</si>
  <si>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</si>
  <si>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</si>
  <si>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</si>
  <si>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</si>
  <si>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</si>
  <si>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</si>
  <si>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</si>
  <si>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</si>
  <si>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</si>
  <si>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</si>
  <si>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</si>
  <si>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</si>
  <si>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</si>
  <si>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</si>
  <si>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</si>
  <si>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</si>
  <si>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</si>
  <si>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</si>
  <si>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</si>
  <si>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</si>
  <si>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</si>
  <si>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</si>
  <si>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</si>
  <si>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</si>
  <si>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</si>
  <si>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</si>
  <si>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</si>
  <si>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</si>
  <si>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</si>
  <si>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</si>
  <si>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</si>
  <si>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</si>
  <si>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</si>
  <si>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</si>
  <si>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</si>
  <si>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</si>
  <si>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</si>
  <si>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</si>
  <si>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</si>
  <si>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</si>
  <si>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</si>
  <si>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</si>
  <si>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</si>
  <si>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</si>
  <si>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</si>
  <si>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</si>
  <si>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</si>
  <si>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</si>
  <si>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</si>
  <si>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</si>
  <si>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</si>
  <si>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</si>
  <si>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</si>
  <si>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</si>
  <si>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</si>
  <si>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</si>
  <si>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</si>
  <si>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</si>
  <si>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</si>
  <si>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</si>
  <si>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</si>
  <si>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</si>
  <si>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</si>
  <si>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</si>
  <si>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</si>
  <si>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</si>
  <si>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</si>
  <si>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</si>
  <si>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</si>
  <si>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</si>
  <si>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</si>
  <si>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</si>
  <si>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</si>
  <si>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</si>
  <si>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</si>
  <si>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</si>
  <si>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</si>
  <si>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</si>
  <si>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</si>
  <si>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</si>
  <si>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</si>
  <si>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</si>
  <si>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</si>
  <si>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</si>
  <si>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</si>
  <si>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</si>
  <si>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</si>
  <si>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</si>
  <si>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</si>
  <si>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</si>
  <si>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</si>
  <si>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</si>
  <si>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</si>
  <si>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</si>
  <si>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</si>
  <si>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</si>
  <si>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</si>
  <si>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</si>
  <si>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</si>
  <si>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</si>
  <si>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</si>
  <si>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</si>
  <si>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</si>
  <si>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</si>
  <si>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</si>
  <si>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</si>
  <si>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</si>
  <si>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</si>
  <si>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</si>
  <si>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</si>
  <si>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</si>
  <si>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</si>
  <si>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</si>
  <si>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</si>
  <si>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</si>
  <si>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</si>
  <si>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</si>
  <si>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</si>
  <si>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</si>
  <si>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</si>
  <si>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</si>
  <si>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</si>
  <si>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</si>
  <si>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</si>
  <si>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</si>
  <si>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</si>
  <si>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</si>
  <si>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</si>
  <si>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</si>
  <si>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</si>
  <si>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</si>
  <si>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</si>
  <si>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</si>
  <si>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</si>
  <si>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</si>
  <si>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</si>
  <si>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</si>
  <si>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</si>
  <si>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</si>
  <si>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</si>
  <si>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</si>
  <si>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</si>
  <si>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</si>
  <si>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</si>
  <si>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</si>
  <si>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</si>
  <si>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</si>
  <si>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</si>
  <si>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</si>
  <si>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</si>
  <si>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</si>
  <si>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</si>
  <si>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</si>
  <si>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</si>
  <si>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</si>
  <si>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</si>
  <si>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</si>
  <si>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</si>
  <si>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</si>
  <si>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</si>
  <si>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</si>
  <si>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</si>
  <si>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</si>
  <si>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</si>
  <si>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</si>
  <si>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</si>
  <si>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</si>
  <si>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</si>
  <si>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</si>
  <si>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</si>
  <si>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</si>
  <si>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</si>
  <si>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</si>
  <si>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</si>
  <si>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</si>
  <si>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</si>
  <si>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</si>
  <si>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</si>
  <si>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</si>
  <si>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</si>
  <si>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</si>
  <si>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</si>
  <si>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</si>
  <si>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</si>
  <si>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</si>
  <si>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</si>
  <si>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</si>
  <si>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</si>
  <si>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</si>
  <si>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</si>
  <si>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</si>
  <si>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</si>
  <si>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</si>
  <si>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</si>
  <si>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</si>
  <si>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</si>
  <si>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</si>
  <si>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</si>
  <si>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</si>
  <si>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</si>
  <si>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</si>
  <si>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</si>
  <si>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</si>
  <si>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</si>
  <si>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</si>
  <si>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</si>
  <si>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</si>
  <si>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</si>
  <si>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</si>
  <si>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</si>
  <si>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</si>
  <si>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</si>
  <si>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</si>
  <si>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</si>
  <si>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</si>
  <si>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</si>
  <si>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</si>
  <si>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</si>
  <si>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</si>
  <si>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</si>
  <si>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</si>
  <si>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</si>
  <si>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</si>
  <si>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</si>
  <si>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</si>
  <si>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</si>
  <si>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</si>
  <si>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</si>
  <si>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</si>
  <si>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</si>
  <si>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</si>
  <si>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</si>
  <si>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</si>
  <si>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</si>
  <si>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</si>
  <si>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</si>
  <si>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</si>
  <si>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</si>
  <si>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</si>
  <si>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</si>
  <si>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</si>
  <si>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</si>
  <si>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</si>
  <si>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</si>
  <si>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</si>
  <si>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</si>
  <si>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</si>
  <si>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</si>
  <si>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</si>
  <si>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</si>
  <si>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</si>
  <si>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</si>
  <si>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</si>
  <si>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</si>
  <si>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</si>
  <si>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</si>
  <si>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</si>
  <si>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</si>
  <si>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</si>
  <si>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</si>
  <si>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</si>
  <si>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</si>
  <si>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</si>
  <si>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</si>
  <si>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</si>
  <si>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</si>
  <si>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</si>
  <si>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</si>
  <si>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</si>
  <si>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</si>
  <si>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</si>
  <si>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</si>
  <si>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</si>
  <si>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</si>
  <si>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</si>
  <si>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</si>
  <si>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</si>
  <si>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</si>
  <si>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</si>
  <si>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</si>
  <si>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</si>
  <si>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</si>
  <si>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</si>
  <si>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</si>
  <si>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</si>
  <si>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</si>
  <si>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</si>
  <si>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</si>
  <si>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</si>
  <si>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</si>
  <si>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</si>
  <si>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</si>
  <si>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</si>
  <si>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</si>
  <si>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</si>
  <si>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</si>
  <si>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</si>
  <si>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</si>
  <si>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</si>
  <si>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</si>
  <si>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</si>
  <si>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</si>
  <si>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</si>
  <si>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</si>
  <si>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</si>
  <si>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</si>
  <si>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</si>
  <si>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</si>
  <si>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</si>
  <si>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</si>
  <si>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</si>
  <si>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</si>
  <si>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</si>
  <si>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</si>
  <si>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</si>
  <si>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</si>
  <si>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</si>
  <si>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</si>
  <si>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</si>
  <si>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</si>
  <si>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</si>
  <si>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</si>
  <si>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</si>
  <si>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</si>
  <si>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</si>
  <si>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</si>
  <si>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</si>
  <si>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</si>
  <si>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</si>
  <si>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</si>
  <si>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</si>
  <si>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</si>
  <si>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</si>
  <si>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</si>
  <si>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</si>
  <si>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</si>
  <si>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</si>
  <si>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</si>
  <si>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</si>
  <si>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</si>
  <si>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</si>
  <si>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</si>
  <si>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</si>
  <si>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</si>
  <si>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</si>
  <si>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</si>
  <si>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</si>
  <si>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</si>
  <si>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</si>
  <si>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</si>
  <si>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</si>
  <si>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</si>
  <si>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</si>
  <si>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</si>
  <si>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</si>
  <si>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</si>
  <si>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</si>
  <si>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</si>
  <si>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</si>
  <si>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</si>
  <si>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</si>
  <si>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</si>
  <si>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</si>
  <si>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</si>
  <si>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</si>
  <si>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</si>
  <si>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</si>
  <si>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</si>
  <si>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</si>
  <si>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</si>
  <si>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</si>
  <si>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</si>
  <si>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</si>
  <si>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</si>
  <si>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</si>
  <si>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</si>
  <si>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</si>
  <si>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</si>
  <si>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</si>
  <si>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</si>
  <si>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</si>
  <si>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</si>
  <si>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</si>
  <si>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</si>
  <si>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</si>
  <si>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</si>
  <si>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</si>
  <si>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</si>
  <si>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</si>
  <si>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</si>
  <si>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</si>
  <si>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</si>
  <si>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</si>
  <si>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</si>
  <si>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</si>
  <si>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</si>
  <si>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</si>
  <si>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</si>
  <si>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</si>
  <si>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</si>
  <si>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</si>
  <si>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</si>
  <si>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</si>
  <si>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</si>
  <si>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</si>
  <si>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</si>
  <si>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</si>
  <si>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</si>
  <si>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</si>
  <si>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</si>
  <si>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</si>
  <si>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</si>
  <si>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</si>
  <si>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</si>
  <si>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</si>
  <si>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</si>
  <si>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</si>
  <si>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</si>
  <si>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</si>
  <si>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</si>
  <si>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</si>
  <si>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</si>
  <si>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</si>
  <si>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</si>
  <si>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</si>
  <si>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</si>
  <si>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</si>
  <si>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</si>
  <si>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</si>
  <si>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</si>
  <si>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</si>
  <si>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29</t>
  </si>
  <si>
    <t>Oddělení plastické a estetické chirurgie</t>
  </si>
  <si>
    <t/>
  </si>
  <si>
    <t>50113190     medicinální plyny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</si>
  <si>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</si>
  <si>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</si>
  <si>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</si>
  <si>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</si>
  <si>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</si>
  <si>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</si>
  <si>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</si>
  <si>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</si>
  <si>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</si>
  <si>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</si>
  <si>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</si>
  <si>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</si>
  <si>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</si>
  <si>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</si>
  <si>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</si>
  <si>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</si>
  <si>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</si>
  <si>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</si>
  <si>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</si>
  <si>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162316</t>
  </si>
  <si>
    <t>62316</t>
  </si>
  <si>
    <t>BETADINE - zelená</t>
  </si>
  <si>
    <t>LIQ 1X120ML</t>
  </si>
  <si>
    <t>395997</t>
  </si>
  <si>
    <t>DZ SOFTASEPT N BEZBARVÝ 250 ml</t>
  </si>
  <si>
    <t>905098</t>
  </si>
  <si>
    <t>23989</t>
  </si>
  <si>
    <t>DZ OCTENISEPT 1 l</t>
  </si>
  <si>
    <t>930065</t>
  </si>
  <si>
    <t>DZ PRONTOSAN ROZTOK 350ml</t>
  </si>
  <si>
    <t>905022</t>
  </si>
  <si>
    <t>DZ Prontosan wound gel 30ml</t>
  </si>
  <si>
    <t>162317</t>
  </si>
  <si>
    <t>62317</t>
  </si>
  <si>
    <t>LIQ 1X1000ML</t>
  </si>
  <si>
    <t>198864</t>
  </si>
  <si>
    <t>98864</t>
  </si>
  <si>
    <t>FYZIOLOGICKÝ ROZTOK VIAFLO</t>
  </si>
  <si>
    <t>INF SOL 50X100ML</t>
  </si>
  <si>
    <t>900321</t>
  </si>
  <si>
    <t>KL PRIPRAVEK</t>
  </si>
  <si>
    <t>841577</t>
  </si>
  <si>
    <t>MENALIND Professional olej.přís. 500ml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</si>
  <si>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</si>
  <si>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</si>
  <si>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</si>
  <si>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</si>
  <si>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</si>
  <si>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</si>
  <si>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</si>
  <si>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</si>
  <si>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</si>
  <si>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</si>
  <si>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</si>
  <si>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</si>
  <si>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</si>
  <si>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</si>
  <si>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</si>
  <si>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</si>
  <si>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</si>
  <si>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</si>
  <si>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</si>
  <si>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</si>
  <si>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</si>
  <si>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930043</t>
  </si>
  <si>
    <t>DZ TRIXO LIND 100 ml</t>
  </si>
  <si>
    <t>900012</t>
  </si>
  <si>
    <t>KL SOL.HYD.PEROX.3% 200G</t>
  </si>
  <si>
    <t>500326</t>
  </si>
  <si>
    <t>1000</t>
  </si>
  <si>
    <t>KL BENZINUM 500 ml/333g HVLP</t>
  </si>
  <si>
    <t>920376</t>
  </si>
  <si>
    <t>KL SOL.HYD.PEROX.3% 200G v sirokohrdle lahvi</t>
  </si>
  <si>
    <t>4269</t>
  </si>
  <si>
    <t>IRUXOL MONO</t>
  </si>
  <si>
    <t>DRM UNG 1X10GM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</si>
  <si>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</si>
  <si>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</si>
  <si>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</si>
  <si>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</si>
  <si>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</si>
  <si>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</si>
  <si>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</si>
  <si>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</si>
  <si>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</si>
  <si>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</si>
  <si>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</si>
  <si>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</si>
  <si>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</si>
  <si>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</si>
  <si>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</si>
  <si>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397339</t>
  </si>
  <si>
    <t>Menalind mycí žínky</t>
  </si>
  <si>
    <t>8ks</t>
  </si>
  <si>
    <t>921057</t>
  </si>
  <si>
    <t>KL CREMOR UREA,NEOAQ.,HEL.OL.,AQ.,100G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</si>
  <si>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</si>
  <si>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</si>
  <si>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</si>
  <si>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</si>
  <si>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</si>
  <si>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</si>
  <si>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</si>
  <si>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</si>
  <si>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</si>
  <si>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</si>
  <si>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</si>
  <si>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</si>
  <si>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</si>
  <si>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</si>
  <si>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</si>
  <si>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</si>
  <si>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</si>
  <si>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P</t>
  </si>
  <si>
    <t>158092</t>
  </si>
  <si>
    <t>58092</t>
  </si>
  <si>
    <t>CEFAZOLIN SANDOZ 1 G</t>
  </si>
  <si>
    <t>INJ SIC 10X1GM</t>
  </si>
  <si>
    <t>100362</t>
  </si>
  <si>
    <t>362</t>
  </si>
  <si>
    <t>ADRENALIN LECIVA</t>
  </si>
  <si>
    <t>INJ 5X1ML/1MG</t>
  </si>
  <si>
    <t>193109</t>
  </si>
  <si>
    <t>93109</t>
  </si>
  <si>
    <t>SUPRACAIN 4%</t>
  </si>
  <si>
    <t>INJ 10X2ML</t>
  </si>
  <si>
    <t>101681</t>
  </si>
  <si>
    <t>1681</t>
  </si>
  <si>
    <t>EMLA KREM 5%</t>
  </si>
  <si>
    <t>CRM 1X30GM</t>
  </si>
  <si>
    <t>920200</t>
  </si>
  <si>
    <t>15877</t>
  </si>
  <si>
    <t>DZ BRAUNOL 1 L</t>
  </si>
  <si>
    <t>920064</t>
  </si>
  <si>
    <t>KL SOL.METHYLROS.CHL.1% 10G</t>
  </si>
  <si>
    <t>900007</t>
  </si>
  <si>
    <t>KL SOL.HYD.PEROX.3% 100G</t>
  </si>
  <si>
    <t>920120</t>
  </si>
  <si>
    <t>KL SOL.FORMALDEHYDI 10% 5 KG</t>
  </si>
  <si>
    <t>UN 2209</t>
  </si>
  <si>
    <t>120053</t>
  </si>
  <si>
    <t>20053</t>
  </si>
  <si>
    <t>BENOXI 0.4 % UNIMED PHARMA</t>
  </si>
  <si>
    <t>OPH GTT SOL 1X10ML</t>
  </si>
  <si>
    <t>500194</t>
  </si>
  <si>
    <t>KL ZLUTA (FLAVINOVA) VATA, 1000G</t>
  </si>
  <si>
    <t>2x500g v litrových lahvích</t>
  </si>
  <si>
    <t>114875</t>
  </si>
  <si>
    <t>14875</t>
  </si>
  <si>
    <t>CRM 1X20GM</t>
  </si>
  <si>
    <t>850152</t>
  </si>
  <si>
    <t>153349</t>
  </si>
  <si>
    <t>Tisseel Lyo 2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</si>
  <si>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</si>
  <si>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</si>
  <si>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</si>
  <si>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</si>
  <si>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</si>
  <si>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</si>
  <si>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J01DB04 - Cefazolin</t>
  </si>
  <si>
    <t>J01DB04</t>
  </si>
  <si>
    <t>INJ PLV SOL 10X1GM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</si>
  <si>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</si>
  <si>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</si>
  <si>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</si>
  <si>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</si>
  <si>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</si>
  <si>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</si>
  <si>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</si>
  <si>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</si>
  <si>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</si>
  <si>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</si>
  <si>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</si>
  <si>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</si>
  <si>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</si>
  <si>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</si>
  <si>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</si>
  <si>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</si>
  <si>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</si>
  <si>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</si>
  <si>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</si>
  <si>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</si>
  <si>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</si>
  <si>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5951</t>
  </si>
  <si>
    <t>AMOKSIKLAV 1 G</t>
  </si>
  <si>
    <t>POR TBL FLM 14</t>
  </si>
  <si>
    <t>Betamethason</t>
  </si>
  <si>
    <t>89870</t>
  </si>
  <si>
    <t>DIPROPHOS</t>
  </si>
  <si>
    <t>INJ SUS 1X1ML/7MG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</si>
  <si>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</si>
  <si>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</si>
  <si>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</si>
  <si>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</si>
  <si>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</si>
  <si>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</si>
  <si>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</si>
  <si>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</si>
  <si>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</si>
  <si>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Jiná antiinfektiva</t>
  </si>
  <si>
    <t>802</t>
  </si>
  <si>
    <t>OPHTHALMO-SEPTONEX</t>
  </si>
  <si>
    <t>OPH GTT SOL 1X10ML SKLO</t>
  </si>
  <si>
    <t>Jodovaný povidon</t>
  </si>
  <si>
    <t>16319</t>
  </si>
  <si>
    <t>DRM UNG 1X20GM</t>
  </si>
  <si>
    <t>DRM UNG 1X100GM</t>
  </si>
  <si>
    <t>Klindamycin</t>
  </si>
  <si>
    <t>100339</t>
  </si>
  <si>
    <t>DALACIN C 300 MG</t>
  </si>
  <si>
    <t>POR CPS DUR 16X300MG</t>
  </si>
  <si>
    <t>Kombinace různých antibiotik</t>
  </si>
  <si>
    <t>OPH UNG 1X5GM</t>
  </si>
  <si>
    <t>Methylprednisolon-aceponát</t>
  </si>
  <si>
    <t>85344</t>
  </si>
  <si>
    <t>ADVANTAN KRÉM</t>
  </si>
  <si>
    <t>DRM CRM 1X10GM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</si>
  <si>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</si>
  <si>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</si>
  <si>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</si>
  <si>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</si>
  <si>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</si>
  <si>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</si>
  <si>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</si>
  <si>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Naftidrofuryl</t>
  </si>
  <si>
    <t>66015</t>
  </si>
  <si>
    <t>ENELBIN 100 RETARD</t>
  </si>
  <si>
    <t>POR TBL PRO 100X100MG</t>
  </si>
  <si>
    <t>Nimesulid</t>
  </si>
  <si>
    <t>12892</t>
  </si>
  <si>
    <t>AULIN</t>
  </si>
  <si>
    <t>POR TBL NOB 30X100MG</t>
  </si>
  <si>
    <t>12893</t>
  </si>
  <si>
    <t>POR TBL NOB 60X100MG</t>
  </si>
  <si>
    <t>Pentoxifylin</t>
  </si>
  <si>
    <t>53479</t>
  </si>
  <si>
    <t>TRENTAL 400</t>
  </si>
  <si>
    <t>POR TBL RET 20X400MG</t>
  </si>
  <si>
    <t>Progesteron</t>
  </si>
  <si>
    <t>76921</t>
  </si>
  <si>
    <t>UTROGESTAN</t>
  </si>
  <si>
    <t>POR CPS MOL 30X100MG</t>
  </si>
  <si>
    <t>132648</t>
  </si>
  <si>
    <t>Sodná sůl metamizolu</t>
  </si>
  <si>
    <t>55823</t>
  </si>
  <si>
    <t>NOVALGIN TABLETY</t>
  </si>
  <si>
    <t>POR TBL FLM 20X500MG</t>
  </si>
  <si>
    <t>Sulfadiazin, stříbrná sůl, kombinace</t>
  </si>
  <si>
    <t>DRM CRM 1X20GM</t>
  </si>
  <si>
    <t>DRM CRM 1X60GM</t>
  </si>
  <si>
    <t>Telmisartan</t>
  </si>
  <si>
    <t>158198</t>
  </si>
  <si>
    <t>TELMISARTAN SANDOZ 80 MG</t>
  </si>
  <si>
    <t>POR TBL NOB 100X80MG</t>
  </si>
  <si>
    <t>Tramadol, kombinace</t>
  </si>
  <si>
    <t>17925</t>
  </si>
  <si>
    <t>ZALDIAR</t>
  </si>
  <si>
    <t>POR TBL FLM 20</t>
  </si>
  <si>
    <t>17926</t>
  </si>
  <si>
    <t>POR TBL FLM 30</t>
  </si>
  <si>
    <t>Zolpidem</t>
  </si>
  <si>
    <t>16286</t>
  </si>
  <si>
    <t>STILNOX</t>
  </si>
  <si>
    <t>POR TBL FLM 20X10MG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</si>
  <si>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</si>
  <si>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</si>
  <si>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</si>
  <si>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</si>
  <si>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</si>
  <si>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</si>
  <si>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</si>
  <si>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</si>
  <si>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80576</t>
  </si>
  <si>
    <t>NÁPLAST HYPOALERGENNÍ CURAPOR STERILNÍ</t>
  </si>
  <si>
    <t>5X7CM,SAMOLEPÍCÍ,S POLŠTÁŘKEM,1KS</t>
  </si>
  <si>
    <t>80987</t>
  </si>
  <si>
    <t>OBINADLO ELASTICKÉ FIXA CREP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</si>
  <si>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</si>
  <si>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</si>
  <si>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</si>
  <si>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</si>
  <si>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</si>
  <si>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</si>
  <si>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10X10CM PŘEDAKTIVOVANÉ KRYTÍ,10KS</t>
  </si>
  <si>
    <t>81102</t>
  </si>
  <si>
    <t>7,5X7,5CM PŘEDAKTIVOVANÉ KRYTÍ 10KS</t>
  </si>
  <si>
    <t>21073</t>
  </si>
  <si>
    <t>GÁZA SKLÁDANÁ KOMPRESY STERILNÍ STERILUX ES</t>
  </si>
  <si>
    <t>10X10CM,8 VRSTEV,2KS</t>
  </si>
  <si>
    <t>21072</t>
  </si>
  <si>
    <t>7,5X7,5CM,8 VRSTEV,2KS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</si>
  <si>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</si>
  <si>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</si>
  <si>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</si>
  <si>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</si>
  <si>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</si>
  <si>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</si>
  <si>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</si>
  <si>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</si>
  <si>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</si>
  <si>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</si>
  <si>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</si>
  <si>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</si>
  <si>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</si>
  <si>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</si>
  <si>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</si>
  <si>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81855</t>
  </si>
  <si>
    <t>OBINADLO ELASTICKÉ KREPOVÉ CR10</t>
  </si>
  <si>
    <t>10CMX4,5M,1KS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</si>
  <si>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</si>
  <si>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</si>
  <si>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</si>
  <si>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</si>
  <si>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</si>
  <si>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</si>
  <si>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</si>
  <si>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</si>
  <si>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</si>
  <si>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</si>
  <si>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</si>
  <si>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</si>
  <si>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</si>
  <si>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</si>
  <si>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</si>
  <si>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</si>
  <si>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</si>
  <si>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78807</t>
  </si>
  <si>
    <t>ORTÉZA PALCE ORTEX 020</t>
  </si>
  <si>
    <t>FIXACE KLOUBU PALCE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</si>
  <si>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</si>
  <si>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</si>
  <si>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</si>
  <si>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</si>
  <si>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</si>
  <si>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</si>
  <si>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</si>
  <si>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</si>
  <si>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</si>
  <si>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63774</t>
  </si>
  <si>
    <t>ORTÉZA ZÁPĚSTÍ A PALCE RUKY ORTEX 028</t>
  </si>
  <si>
    <t>FIXAČNÍ S DLAHOU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</si>
  <si>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</si>
  <si>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</si>
  <si>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</si>
  <si>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</si>
  <si>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Cefuroxim</t>
  </si>
  <si>
    <t>47727</t>
  </si>
  <si>
    <t>ZINNAT 500 MG</t>
  </si>
  <si>
    <t>POR TBL FLM 10X500MG</t>
  </si>
  <si>
    <t>Diosmin, kombinace</t>
  </si>
  <si>
    <t>14075</t>
  </si>
  <si>
    <t>DETRALEX</t>
  </si>
  <si>
    <t>POR TBL FLM 60X500MG</t>
  </si>
  <si>
    <t>Fenoxymethylpenicilin</t>
  </si>
  <si>
    <t>45998</t>
  </si>
  <si>
    <t>OSPEN 1500</t>
  </si>
  <si>
    <t>POR TBL FLM 30X1500KU</t>
  </si>
  <si>
    <t>Jiná kapiláry stabilizující látky</t>
  </si>
  <si>
    <t>202700</t>
  </si>
  <si>
    <t>AESCIN-TEVA</t>
  </si>
  <si>
    <t>POR TBL ENT 60X20MG</t>
  </si>
  <si>
    <t>59808</t>
  </si>
  <si>
    <t>FRAXIPARINE FORTE</t>
  </si>
  <si>
    <t>INJ SOL 10X0.8ML</t>
  </si>
  <si>
    <t>47085</t>
  </si>
  <si>
    <t>PENTOMER RETARD 400 MG</t>
  </si>
  <si>
    <t>POR TBL PRO 100X400MG</t>
  </si>
  <si>
    <t>80986</t>
  </si>
  <si>
    <t>8CMX4M,TAŽNOST 160%,20KS</t>
  </si>
  <si>
    <t>80988</t>
  </si>
  <si>
    <t>12CMX4M,TAŽNOST 160%,20KS</t>
  </si>
  <si>
    <t>140717</t>
  </si>
  <si>
    <t>PÁS BŘIŠNÍ ELASTICKÝ</t>
  </si>
  <si>
    <t>ORTEX 031A</t>
  </si>
  <si>
    <t>39963</t>
  </si>
  <si>
    <t>ORTÉZA PRSTOVÁ</t>
  </si>
  <si>
    <t>TYP 012C</t>
  </si>
  <si>
    <t>140259</t>
  </si>
  <si>
    <t>DLAHA PRO KONZERVATIVNÍ LÉČBU RUPTURY DORZÁLNÍ APO</t>
  </si>
  <si>
    <t>TŘÍČLÁNKOVÝCH PRSTŮ RUKY</t>
  </si>
  <si>
    <t>140637</t>
  </si>
  <si>
    <t>ORTÉZA HLEZENNÍHO KLOUBU RIGIDNÍ ORTEX 06F</t>
  </si>
  <si>
    <t>TYP WALKER</t>
  </si>
  <si>
    <t>140721</t>
  </si>
  <si>
    <t>ORTÉZA PRSTOVÁ DYNAMICKÁ FLEKČNÍ (PIP)</t>
  </si>
  <si>
    <t>UNIVERZÁLNÍ PROVEDENÍ PRO PRSTY PRAVÉ A LEVÉ RUKY, VELIKOST 1-5</t>
  </si>
  <si>
    <t>63693</t>
  </si>
  <si>
    <t>ORTÉZA KOLENNÍ ROZEPÍNACÍ TYP 01</t>
  </si>
  <si>
    <t>893115517001-006 S DVOUOSÝM KLOUBEM A UPÍNACÍMI PÁSKY, PŘEDNÍ ZAPÍNÁNÍ</t>
  </si>
  <si>
    <t>6582</t>
  </si>
  <si>
    <t>ORTÉZA FIXAČNÍ ZÁPĚSTÍ ORTEX 07B</t>
  </si>
  <si>
    <t>MALÁ,PRAVÁ</t>
  </si>
  <si>
    <t>Ortopedicko protetické pomůcky individuálně zhotovené</t>
  </si>
  <si>
    <t>328</t>
  </si>
  <si>
    <t>EPITÉZA INDIVIDUÁLNĚ ZHOTOVENÁ</t>
  </si>
  <si>
    <t>74991</t>
  </si>
  <si>
    <t>AMOKSIKLAV 156,25 MG/5 ML SUSPENZE</t>
  </si>
  <si>
    <t>POR PLV SUS 100 ML</t>
  </si>
  <si>
    <t>Antibiotika v kombinaci s ostatními léčivy</t>
  </si>
  <si>
    <t>1077</t>
  </si>
  <si>
    <t>OPHTHALMO-FRAMYKOIN COMP.</t>
  </si>
  <si>
    <t>192144</t>
  </si>
  <si>
    <t>192354</t>
  </si>
  <si>
    <t>Ciklopirox</t>
  </si>
  <si>
    <t>76150</t>
  </si>
  <si>
    <t>BATRAFEN KRÉM</t>
  </si>
  <si>
    <t>DRM CRM 1X20GM/200MG</t>
  </si>
  <si>
    <t>Ciprofloxacin</t>
  </si>
  <si>
    <t>53202</t>
  </si>
  <si>
    <t>CIPHIN 500</t>
  </si>
  <si>
    <t>Diazepam</t>
  </si>
  <si>
    <t>69417</t>
  </si>
  <si>
    <t>DIAZEPAM DESITIN RECTAL TUBE 5 MG</t>
  </si>
  <si>
    <t>RCT SOL 5X2.5ML/5MG</t>
  </si>
  <si>
    <t>Flukonazol</t>
  </si>
  <si>
    <t>66039</t>
  </si>
  <si>
    <t>MYCOMAX 150</t>
  </si>
  <si>
    <t>POR CPS DUR 1X150MG</t>
  </si>
  <si>
    <t>107806</t>
  </si>
  <si>
    <t>POR TBL ENT 30X20MG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</si>
  <si>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</si>
  <si>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</si>
  <si>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</si>
  <si>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</si>
  <si>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</si>
  <si>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</si>
  <si>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</si>
  <si>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</si>
  <si>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</si>
  <si>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Kolagenáza, kombinace</t>
  </si>
  <si>
    <t>4270</t>
  </si>
  <si>
    <t>DRM UNG 1X30GM</t>
  </si>
  <si>
    <t>Kyselina acetylsalicylová</t>
  </si>
  <si>
    <t>151142</t>
  </si>
  <si>
    <t>ANOPYRIN 100 MG</t>
  </si>
  <si>
    <t>66046</t>
  </si>
  <si>
    <t>AULIN GEL</t>
  </si>
  <si>
    <t>DRM GEL 1X100GM/3GM</t>
  </si>
  <si>
    <t>66044</t>
  </si>
  <si>
    <t>DRM GEL 1X30GM/900MG</t>
  </si>
  <si>
    <t>Pantoprazol</t>
  </si>
  <si>
    <t>49113</t>
  </si>
  <si>
    <t>CONTROLOC 20 MG</t>
  </si>
  <si>
    <t>POR TBL ENT 28X20MG I</t>
  </si>
  <si>
    <t>138841</t>
  </si>
  <si>
    <t>DORETA 37,5 MG/325 MG</t>
  </si>
  <si>
    <t>POR TBL FLM 3X10</t>
  </si>
  <si>
    <t>45800</t>
  </si>
  <si>
    <t>MAXIS COMFORT COTTON A-G SE SAMODRŽÍCÍM LEMEM</t>
  </si>
  <si>
    <t>5112</t>
  </si>
  <si>
    <t>PÁS BŘIŠNÍ VERBA 932 521 4</t>
  </si>
  <si>
    <t>OBDVOD TRUPU 105-115CM,VEL.5</t>
  </si>
  <si>
    <t>39709</t>
  </si>
  <si>
    <t>DLAHA PRO FIXACI PRSTŮ RUKY TYP A</t>
  </si>
  <si>
    <t>VELIKOST A2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</si>
  <si>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</si>
  <si>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</si>
  <si>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</si>
  <si>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</si>
  <si>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</si>
  <si>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</si>
  <si>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140561</t>
  </si>
  <si>
    <t>ORTÉZA ZÁPĚSTÍ FIXAČNÍ UNIVERZÁLNÍ</t>
  </si>
  <si>
    <t>ORTEX 07H, S PEVNÝMI DLAHAMI, STRANOVĚ UNIVERZÁLNÍ</t>
  </si>
  <si>
    <t>140714</t>
  </si>
  <si>
    <t>ORTÉZA HLEZENNÍHO KLOUBU FIXAČNÍ S TŘEMI DLAHAMI</t>
  </si>
  <si>
    <t>ORTEX 06A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</si>
  <si>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</si>
  <si>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</si>
  <si>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</si>
  <si>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</si>
  <si>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</si>
  <si>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</si>
  <si>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12494</t>
  </si>
  <si>
    <t>AUGMENTIN 1 G</t>
  </si>
  <si>
    <t>POR TBL FLM 14 I</t>
  </si>
  <si>
    <t>Bromazepam</t>
  </si>
  <si>
    <t>88219</t>
  </si>
  <si>
    <t>LEXAURIN 3</t>
  </si>
  <si>
    <t>POR TBL NOB 30X3MG</t>
  </si>
  <si>
    <t>Drospirenon a ethinylestradiol</t>
  </si>
  <si>
    <t>181978</t>
  </si>
  <si>
    <t>VELMARI 3 MG/0,02 MG</t>
  </si>
  <si>
    <t>POR TBL FLM 84</t>
  </si>
  <si>
    <t>Methylprednisolon</t>
  </si>
  <si>
    <t>90044</t>
  </si>
  <si>
    <t>DEPO-MEDROL 40 MG/ML</t>
  </si>
  <si>
    <t>INJ SUS 1X1ML/40MG</t>
  </si>
  <si>
    <t>Pseudoefedrin, kombinace</t>
  </si>
  <si>
    <t>83059</t>
  </si>
  <si>
    <t>CLARINASE REPETABS</t>
  </si>
  <si>
    <t>POR TBL RET 14</t>
  </si>
  <si>
    <t>17924</t>
  </si>
  <si>
    <t>POR TBL FLM 10</t>
  </si>
  <si>
    <t>201609</t>
  </si>
  <si>
    <t>5115</t>
  </si>
  <si>
    <t>PÁS BŘIŠNÍ VERBA 932 518 9</t>
  </si>
  <si>
    <t>OBDVOD TRUPU 75-85CM,VEL.2</t>
  </si>
  <si>
    <t>Elektrolyty</t>
  </si>
  <si>
    <t>199372</t>
  </si>
  <si>
    <t>INF SOL 1X100ML</t>
  </si>
  <si>
    <t>16322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</si>
  <si>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</si>
  <si>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</si>
  <si>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</si>
  <si>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</si>
  <si>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</si>
  <si>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</si>
  <si>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</si>
  <si>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</si>
  <si>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</si>
  <si>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</si>
  <si>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</si>
  <si>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</si>
  <si>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</si>
  <si>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</si>
  <si>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</si>
  <si>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</si>
  <si>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Sulfamethoxazol a trimethoprim</t>
  </si>
  <si>
    <t>3377</t>
  </si>
  <si>
    <t>BISEPTOL 480</t>
  </si>
  <si>
    <t>POR TBL NOB 20X480MG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</si>
  <si>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</si>
  <si>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</si>
  <si>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</si>
  <si>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</si>
  <si>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</si>
  <si>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</si>
  <si>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</si>
  <si>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</si>
  <si>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</si>
  <si>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</si>
  <si>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</si>
  <si>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21071</t>
  </si>
  <si>
    <t>5X5CM,8 VRSTEV,2KS</t>
  </si>
  <si>
    <t>140361</t>
  </si>
  <si>
    <t>BERLE FRANCOUZSKÁ DURALOVÁ VERA</t>
  </si>
  <si>
    <t>VYMĚKČENÁ RUKOJEŤ, NOSNOST 150 KG</t>
  </si>
  <si>
    <t>11616</t>
  </si>
  <si>
    <t>SEDAČKA NA VANU 4100</t>
  </si>
  <si>
    <t>ZESÍLENÁ KONSTRUKCE S PLASTOVÝM POVRCHEM, Š. 33 CM, NASTAVITELNÁ, PODPŮRNÉ MADLO</t>
  </si>
  <si>
    <t>85524</t>
  </si>
  <si>
    <t>AMOKSIKLAV 375 MG</t>
  </si>
  <si>
    <t>POR TBL FLM 21</t>
  </si>
  <si>
    <t>85525</t>
  </si>
  <si>
    <t>AMOKSIKLAV 625 MG</t>
  </si>
  <si>
    <t>Diklofenak</t>
  </si>
  <si>
    <t>58425</t>
  </si>
  <si>
    <t>DOLMINA 50</t>
  </si>
  <si>
    <t>POR TBL FLM 30X50MG</t>
  </si>
  <si>
    <t>132632</t>
  </si>
  <si>
    <t>132634</t>
  </si>
  <si>
    <t>Hydrogenované námelové alkaloidy</t>
  </si>
  <si>
    <t>91032</t>
  </si>
  <si>
    <t>SECATOXIN FORTE</t>
  </si>
  <si>
    <t>POR GTT SOL 1X25ML</t>
  </si>
  <si>
    <t>Chlorid draselný</t>
  </si>
  <si>
    <t>17188</t>
  </si>
  <si>
    <t>KALIUM CHLORATUM BIOMEDICA</t>
  </si>
  <si>
    <t>POR TBL ENT 50X500MG</t>
  </si>
  <si>
    <t>62315</t>
  </si>
  <si>
    <t>BETADINE</t>
  </si>
  <si>
    <t>DRM SOL 1X30ML</t>
  </si>
  <si>
    <t>62320</t>
  </si>
  <si>
    <t>DRM UNG 1X20GM 10%</t>
  </si>
  <si>
    <t>203323</t>
  </si>
  <si>
    <t>DRM UNG 1X100GM 10%</t>
  </si>
  <si>
    <t>32057</t>
  </si>
  <si>
    <t>INJ SOL 2X0.3ML</t>
  </si>
  <si>
    <t>32061</t>
  </si>
  <si>
    <t>INJ SOL 10X0.6ML</t>
  </si>
  <si>
    <t>32063</t>
  </si>
  <si>
    <t>32064</t>
  </si>
  <si>
    <t>INJ SOL 10X1ML</t>
  </si>
  <si>
    <t>Ramipril</t>
  </si>
  <si>
    <t>56973</t>
  </si>
  <si>
    <t>TRITACE 1,25 MG</t>
  </si>
  <si>
    <t>POR TBL NOB 30X1.25MG</t>
  </si>
  <si>
    <t>14876</t>
  </si>
  <si>
    <t>DRM CRM 1X25GM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</si>
  <si>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</si>
  <si>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</si>
  <si>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</si>
  <si>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</si>
  <si>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</si>
  <si>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</si>
  <si>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</si>
  <si>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</si>
  <si>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81960</t>
  </si>
  <si>
    <t>KRYTÍ ALGINÁTOVÉ MELGISORB AG</t>
  </si>
  <si>
    <t>10X10CM,10KS</t>
  </si>
  <si>
    <t>80240</t>
  </si>
  <si>
    <t>OBINADLO ELASTICKÉ FIXAČNÍ PEHA CREPP</t>
  </si>
  <si>
    <t>8CMX4M,V NAPN.STAVU,20KS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</si>
  <si>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</si>
  <si>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</si>
  <si>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</si>
  <si>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</si>
  <si>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</si>
  <si>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</si>
  <si>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</si>
  <si>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81453</t>
  </si>
  <si>
    <t>KRYTÍ HYDROKOLOIDNÍ SUPRASORB H DUNN-TENKÝ</t>
  </si>
  <si>
    <t>10X10CM,SAMOLEPÍCÍ,10KS</t>
  </si>
  <si>
    <t>80182</t>
  </si>
  <si>
    <t>FIXACE HYPOALERGENNÍ MEFIX</t>
  </si>
  <si>
    <t>10CMX10M,SAMOLEPÍCÍ,NETKANÝ TEXTIL,1KS</t>
  </si>
  <si>
    <t>80578</t>
  </si>
  <si>
    <t>5X7CM,SAMOLEPÍCÍ,S POLŠTÁŘKEM,5KS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</si>
  <si>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</si>
  <si>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</si>
  <si>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</si>
  <si>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</si>
  <si>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</si>
  <si>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</si>
  <si>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</si>
  <si>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5113</t>
  </si>
  <si>
    <t>PÁS BŘIŠNÍ VERBA 932 520 5</t>
  </si>
  <si>
    <t>OBDVOD TRUPU 95-105CM,VEL.4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</si>
  <si>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</si>
  <si>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</si>
  <si>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</si>
  <si>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</si>
  <si>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</si>
  <si>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11870</t>
  </si>
  <si>
    <t>ORTÉZA ZÁPĚSTÍ MODEL 410</t>
  </si>
  <si>
    <t>DVĚ HLINÍKOVÉ DLAHY</t>
  </si>
  <si>
    <t>11872</t>
  </si>
  <si>
    <t>ORTÉZA ZÁPĚSTÍ KRÁTKÁ MODEL 430</t>
  </si>
  <si>
    <t>S JEDNOU HLINÍKOVOU DLAHOU</t>
  </si>
  <si>
    <t>22891</t>
  </si>
  <si>
    <t>TAH PERONEÁLNÍ PT 96</t>
  </si>
  <si>
    <t>793137148000,2 VEL. PODLE OBVODU POD KOLENEM</t>
  </si>
  <si>
    <t>47725</t>
  </si>
  <si>
    <t>ZINNAT 250 MG</t>
  </si>
  <si>
    <t>119672</t>
  </si>
  <si>
    <t>DICLOFENAC DUO PHARMASWISS 75 MG</t>
  </si>
  <si>
    <t>POR CPS RDR 30X75MG</t>
  </si>
  <si>
    <t>Flutikason-furoát</t>
  </si>
  <si>
    <t>29815</t>
  </si>
  <si>
    <t>AVAMYS 27,5 MIKROGRAMŮ/DÁVKA</t>
  </si>
  <si>
    <t>NAS SPR SUS 60X27.5RG</t>
  </si>
  <si>
    <t>Levocetirizin</t>
  </si>
  <si>
    <t>85143</t>
  </si>
  <si>
    <t>XYZAL</t>
  </si>
  <si>
    <t>POR TBL FLM 100X5MG</t>
  </si>
  <si>
    <t>59810</t>
  </si>
  <si>
    <t>Ofloxacin</t>
  </si>
  <si>
    <t>59687</t>
  </si>
  <si>
    <t>OFLOXIN 200</t>
  </si>
  <si>
    <t>POR TBL FLM 14X200MG</t>
  </si>
  <si>
    <t>49115</t>
  </si>
  <si>
    <t>POR TBL ENT 100X20MG</t>
  </si>
  <si>
    <t>Pefloxacin</t>
  </si>
  <si>
    <t>94156</t>
  </si>
  <si>
    <t>ABAKTAL 400 MG TABLETY</t>
  </si>
  <si>
    <t>53480</t>
  </si>
  <si>
    <t>POR TBL RET 100X400MG</t>
  </si>
  <si>
    <t>Sultamicilin</t>
  </si>
  <si>
    <t>17149</t>
  </si>
  <si>
    <t>UNASYN</t>
  </si>
  <si>
    <t>POR TBL FLM 12X375MG</t>
  </si>
  <si>
    <t>138844</t>
  </si>
  <si>
    <t>POR TBL FLM 6X10</t>
  </si>
  <si>
    <t>169075</t>
  </si>
  <si>
    <t>KRYTÍ DEBRISOFT</t>
  </si>
  <si>
    <t>K MECHANICKÉMU ČIŠTĚNÍ RÁNY,31222,5KS</t>
  </si>
  <si>
    <t>93655</t>
  </si>
  <si>
    <t>ORTÉZA KOLENNÍ</t>
  </si>
  <si>
    <t>PROTECT.ST PRO</t>
  </si>
  <si>
    <t>21933</t>
  </si>
  <si>
    <t>PÁS BŘIŠNÍ JASPER F201</t>
  </si>
  <si>
    <t>VÝŠKA 15CM,VELIKOST XL</t>
  </si>
  <si>
    <t>6581</t>
  </si>
  <si>
    <t>ORTÉZA FIXAČNÍ ZÁPĚSTÍ ORTEX 07A</t>
  </si>
  <si>
    <t>MALÁ,LEVÁ,DL.17CM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</si>
  <si>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</si>
  <si>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</si>
  <si>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</si>
  <si>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J01CR02 - Amoxicilin a enzymový inhibitor</t>
  </si>
  <si>
    <t>J01FA09 - Klarithromycin</t>
  </si>
  <si>
    <t>R06AE09 - Levocetirizin</t>
  </si>
  <si>
    <t>J01MA02 - Ciprofloxacin</t>
  </si>
  <si>
    <t>C09AA05 - Ramipril</t>
  </si>
  <si>
    <t>J01DC02 - Cefuroxim</t>
  </si>
  <si>
    <t>C09BA04 - Perindopril a diuretika</t>
  </si>
  <si>
    <t>J01FF01 - Klindamycin</t>
  </si>
  <si>
    <t>C09CA07 - Telmisartan</t>
  </si>
  <si>
    <t>M01AX17 - Nimesulid</t>
  </si>
  <si>
    <t>H02AB04 - Methylprednisolon</t>
  </si>
  <si>
    <t>B01AB06 - Nadroparin</t>
  </si>
  <si>
    <t>A02BC02 - Pantoprazol</t>
  </si>
  <si>
    <t>B01AB06</t>
  </si>
  <si>
    <t>C09CA07</t>
  </si>
  <si>
    <t>J01CR02</t>
  </si>
  <si>
    <t>J01FF01</t>
  </si>
  <si>
    <t>M01AX17</t>
  </si>
  <si>
    <t>J01DC02</t>
  </si>
  <si>
    <t>A02BC02</t>
  </si>
  <si>
    <t>H02AB04</t>
  </si>
  <si>
    <t>R06AE09</t>
  </si>
  <si>
    <t>J01FA09</t>
  </si>
  <si>
    <t>J01MA02</t>
  </si>
  <si>
    <t>C09AA05</t>
  </si>
  <si>
    <t>C09BA04</t>
  </si>
  <si>
    <t>Přehled plnění PL - Preskripce léčivých přípravků - orientační přehled</t>
  </si>
  <si>
    <t>50115070     ostatní ZPr - katetry (sk.Z_513)</t>
  </si>
  <si>
    <t>2966</t>
  </si>
  <si>
    <t>pracoviště DK COS</t>
  </si>
  <si>
    <t>pracoviště DK COS Celkem</t>
  </si>
  <si>
    <t>ZA444</t>
  </si>
  <si>
    <t>Tampon nesterilní stáčený 20 x 19 cm bez RTG nití bal. á 100 ks 1320300404</t>
  </si>
  <si>
    <t>ZA447</t>
  </si>
  <si>
    <t>Vata obvazová 200 g nesterilní skládaná 1102352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</si>
  <si>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</si>
  <si>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</si>
  <si>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</si>
  <si>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</si>
  <si>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</si>
  <si>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</si>
  <si>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ZI558</t>
  </si>
  <si>
    <t>Náplast curapor   7 x   5 cm 22120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</si>
  <si>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</si>
  <si>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</si>
  <si>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</si>
  <si>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</si>
  <si>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ZA556</t>
  </si>
  <si>
    <t>Obvaz sádrový safix plus 10 cm x 3 m á 2 ks 3327410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</si>
  <si>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</si>
  <si>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</si>
  <si>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</si>
  <si>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</si>
  <si>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</si>
  <si>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</si>
  <si>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</si>
  <si>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</si>
  <si>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</si>
  <si>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</si>
  <si>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</si>
  <si>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</si>
  <si>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</si>
  <si>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</si>
  <si>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</si>
  <si>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</si>
  <si>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</si>
  <si>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</si>
  <si>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</si>
  <si>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</si>
  <si>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</si>
  <si>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</si>
  <si>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ZA783</t>
  </si>
  <si>
    <t>Drén Easy Flow 40 mm/30 cm, á 10 ks, 97.816.92.224</t>
  </si>
  <si>
    <t>ZB196</t>
  </si>
  <si>
    <t>Šití prolen bl 4-0 bal. á 36 ks EH7151H</t>
  </si>
  <si>
    <t>ZD423</t>
  </si>
  <si>
    <t>Šití silon monofil 4/0 EP 1,5 blue bal. á 24 ks SM 2061</t>
  </si>
  <si>
    <t>ZB060</t>
  </si>
  <si>
    <t>Šití prolen bl 6-0 bal. á 24 ks W8005T</t>
  </si>
  <si>
    <t>ZB181</t>
  </si>
  <si>
    <t>Šití prolen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</si>
  <si>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</si>
  <si>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</si>
  <si>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</si>
  <si>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</si>
  <si>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</si>
  <si>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(1,5)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</si>
  <si>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</si>
  <si>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</si>
  <si>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</si>
  <si>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</si>
  <si>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</si>
  <si>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bal. á 36 ks C1048220</t>
  </si>
  <si>
    <t>ZB201</t>
  </si>
  <si>
    <t>Šití etlon bk 8-0 bal. á 12 ks W2812</t>
  </si>
  <si>
    <t>ZB184</t>
  </si>
  <si>
    <t>Šití vicryl un 3-0 bal. á 12 ks W9890</t>
  </si>
  <si>
    <t>ZF256</t>
  </si>
  <si>
    <t>Šití vicryl vi 5-0 bal. á 12 ks W9442</t>
  </si>
  <si>
    <t>ZB094</t>
  </si>
  <si>
    <t>Šití maxon 5/0 1EP bal. á 36 ks SMM5526 (náhrada za pův.6535-21)</t>
  </si>
  <si>
    <t>ZB528</t>
  </si>
  <si>
    <t>Šití monosyn bezbarvý 4/0 (1.5) bal. á 36 ks C0023624</t>
  </si>
  <si>
    <t>ZA360</t>
  </si>
  <si>
    <t>Jehla sterican 0,5 x 25 mm oranžová 9186158</t>
  </si>
  <si>
    <t>ZA832</t>
  </si>
  <si>
    <t>Jehla injekční 0,9 x 40 mm žlutá 4657519</t>
  </si>
  <si>
    <t>ZA834</t>
  </si>
  <si>
    <t>Jehla injekční 0,7 x 40 mm černá 4660021</t>
  </si>
  <si>
    <t>ZB556</t>
  </si>
  <si>
    <t>Jehla injekční 1,2 x 40 mm růžová 4665120</t>
  </si>
  <si>
    <t>ZH201</t>
  </si>
  <si>
    <t>Jehla injekční 0,8 x 120 mm zelená 4665643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</si>
  <si>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</si>
  <si>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</si>
  <si>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</si>
  <si>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</si>
  <si>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</si>
  <si>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</si>
  <si>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</si>
  <si>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</si>
  <si>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</si>
  <si>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</si>
  <si>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</si>
  <si>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</si>
  <si>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</si>
  <si>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</si>
  <si>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</si>
  <si>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</si>
  <si>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</si>
  <si>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</si>
  <si>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</si>
  <si>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</si>
  <si>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</si>
  <si>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</si>
  <si>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ZJ302</t>
  </si>
  <si>
    <t>Implantát mammární anatomický GS-AN-390-T</t>
  </si>
  <si>
    <t>ZA432</t>
  </si>
  <si>
    <t>Obvaz sádrový safix plus 14 cm x 3 m 3327430</t>
  </si>
  <si>
    <t>ZA431</t>
  </si>
  <si>
    <t>Obvaz sádrový safix plus 12 cm x 3 m 3327420</t>
  </si>
  <si>
    <t>ZL464</t>
  </si>
  <si>
    <t>Popisovač sterilní se dvěma hroty Sandel 4-in-1Marker, bal. á 25 ks, S1041F</t>
  </si>
  <si>
    <t>KH905</t>
  </si>
  <si>
    <t>extraktor kožních svorek PSX-X</t>
  </si>
  <si>
    <t>ZE278</t>
  </si>
  <si>
    <t>Drát vodící 0,90 mm bal. á 10 ks 26-875-00-05</t>
  </si>
  <si>
    <t>ZA017</t>
  </si>
  <si>
    <t>Šroub kortikální 1.5 mm 200.816</t>
  </si>
  <si>
    <t>ZC145</t>
  </si>
  <si>
    <t>Šroub kortikální 2.0 mm 201.814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</si>
  <si>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</si>
  <si>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</si>
  <si>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</si>
  <si>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</si>
  <si>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</si>
  <si>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</si>
  <si>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</si>
  <si>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</si>
  <si>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</si>
  <si>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</si>
  <si>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</si>
  <si>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</si>
  <si>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</si>
  <si>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</si>
  <si>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</si>
  <si>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</si>
  <si>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</si>
  <si>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</si>
  <si>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ZC679</t>
  </si>
  <si>
    <t>Šití vicryl plus vi 2-0 bal. á 36 ks VCP9900H</t>
  </si>
  <si>
    <t>ZA917</t>
  </si>
  <si>
    <t>Šití silon braided white bal. á 20 ks SB2056</t>
  </si>
  <si>
    <t>ZB156</t>
  </si>
  <si>
    <t>Šití premilene 3/0 bal. á 36 ks C2090014</t>
  </si>
  <si>
    <t>ZC060</t>
  </si>
  <si>
    <t>Šití etlon bk 11-0 bal. á 12 ks W2881</t>
  </si>
  <si>
    <t>ZB061</t>
  </si>
  <si>
    <t>Šití prolen bl 4-0 bal. á 24 ks W8011T</t>
  </si>
  <si>
    <t>ZD243</t>
  </si>
  <si>
    <t>Šítí prolen 2-0 bal. á 36 ks EH7697H</t>
  </si>
  <si>
    <t>ZA781</t>
  </si>
  <si>
    <t>Šití maxon 3/0 bal. á 36 ks 8886621741</t>
  </si>
  <si>
    <t>ZB154</t>
  </si>
  <si>
    <t>Šití premilene 5/0 bal. á 36 ks C2090012</t>
  </si>
  <si>
    <t>ZA004</t>
  </si>
  <si>
    <t>Obvaz elastický síťový pruban č. 5 427305</t>
  </si>
  <si>
    <t>ZA008</t>
  </si>
  <si>
    <t>Obvaz elastický síťový pruban č. 10 427310</t>
  </si>
  <si>
    <t>ZA315</t>
  </si>
  <si>
    <t>Kompresa NT 5 x 5 cm / 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</si>
  <si>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</si>
  <si>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</si>
  <si>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</si>
  <si>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</si>
  <si>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</si>
  <si>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</si>
  <si>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ZA463</t>
  </si>
  <si>
    <t>Kompresa NT 10 x 20 cm / 2 ks sterilní 26620</t>
  </si>
  <si>
    <t>ZA464</t>
  </si>
  <si>
    <t>Kompresa NT 10 x 10 cm / 2 ks sterilní 26520</t>
  </si>
  <si>
    <t>ZA589</t>
  </si>
  <si>
    <t>Tampon sterilní stáčený 30 x 30 cm / 5 ks karton á 1500 ks 28007</t>
  </si>
  <si>
    <t>ZA664</t>
  </si>
  <si>
    <t>Flamigel 250 ml FLAM250</t>
  </si>
  <si>
    <t>ZC854</t>
  </si>
  <si>
    <t>Kompresa NT 7,5 x 7,5 cm / 2 ks sterilní 26510</t>
  </si>
  <si>
    <t>ZD103</t>
  </si>
  <si>
    <t>Náplast omniplast 2,5 cm x 9,2 m 9004530</t>
  </si>
  <si>
    <t>ZD934</t>
  </si>
  <si>
    <t>Obinadlo elastické idealflex krátkotažné 12 cm x 5 m bal. á 10 ks 931324</t>
  </si>
  <si>
    <t>ZI600</t>
  </si>
  <si>
    <t>Náplast curapor 10 x 15 cm 22122 ( náhrada za cosmopor )</t>
  </si>
  <si>
    <t>ZA437</t>
  </si>
  <si>
    <t>Obvaz elastický síťový pruban č. 14 427314</t>
  </si>
  <si>
    <t>ZA471</t>
  </si>
  <si>
    <t>Náplast curaplast poinjekční bal. á 250 ks 30625</t>
  </si>
  <si>
    <t>ZI522</t>
  </si>
  <si>
    <t>Krytí askina 10 x 12 cm derm - sterilní folie bal. á 10 ks F72035</t>
  </si>
  <si>
    <t>ZK920</t>
  </si>
  <si>
    <t>Kanystr Info V.A.C. M8275063</t>
  </si>
  <si>
    <t>ZA003</t>
  </si>
  <si>
    <t>Obvaz elastický síťový pruban č. 2 4273020</t>
  </si>
  <si>
    <t>ZA458</t>
  </si>
  <si>
    <t>Kompresa vliwazel 20 x 40 / 50 ks nesterilní 30436</t>
  </si>
  <si>
    <t>ZL853</t>
  </si>
  <si>
    <t>Krytí mastný tyl jelonet 10 x 40 cm á 10 ks 7459</t>
  </si>
  <si>
    <t>ZF715</t>
  </si>
  <si>
    <t>Obinadlo fixační peha-haft 4cm á 4m 932411</t>
  </si>
  <si>
    <t>ZF714</t>
  </si>
  <si>
    <t>Náplast derma plast sensitive spots pr.22 mm bal. á 200 ks 535382</t>
  </si>
  <si>
    <t>ZL801</t>
  </si>
  <si>
    <t>Houba V.A.C. Veraflo Dressing small ULTVFL05SM</t>
  </si>
  <si>
    <t>ZH913</t>
  </si>
  <si>
    <t>Krytí askina 15 x 20 cm derm - sterilní folie bal. á 10 ks F72038</t>
  </si>
  <si>
    <t>ZC096</t>
  </si>
  <si>
    <t>Polštářek vatový 10 x 10 sterilní á 2 ks karton á 600 ks 28500</t>
  </si>
  <si>
    <t>ZE140</t>
  </si>
  <si>
    <t>Komprese oční Eycopad sterilní 4155407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</si>
  <si>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</si>
  <si>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</si>
  <si>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</si>
  <si>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</si>
  <si>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</si>
  <si>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</si>
  <si>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</si>
  <si>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</si>
  <si>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</si>
  <si>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</si>
  <si>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</si>
  <si>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</si>
  <si>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ZA787</t>
  </si>
  <si>
    <t>Stříkačka injekční 2-dílná 10 ml L Inject Solo 4606108V</t>
  </si>
  <si>
    <t>ZA788</t>
  </si>
  <si>
    <t>Stříkačka injekční 2-dílná 20 ml L Inject Solo 4606205V</t>
  </si>
  <si>
    <t>ZA897</t>
  </si>
  <si>
    <t>Nůž na stehy krátký sterilní bal. á 100 ks 11.000.00.010</t>
  </si>
  <si>
    <t>ZB771</t>
  </si>
  <si>
    <t>Držák jehly základní 450201</t>
  </si>
  <si>
    <t>ZB775</t>
  </si>
  <si>
    <t>Zkumavka koagulace 4 ml modrá 454328</t>
  </si>
  <si>
    <t>ZC769</t>
  </si>
  <si>
    <t>Hadička spojovací HS 1,8 x 450LL 606301-ND</t>
  </si>
  <si>
    <t>ZF159</t>
  </si>
  <si>
    <t>Nádoba na kontaminovaný odpad 1 l 15-0002</t>
  </si>
  <si>
    <t>ZH491</t>
  </si>
  <si>
    <t>Stříkačka injekční 3-dílná 50 - 60 ml LL MRG00711</t>
  </si>
  <si>
    <t>ZI179</t>
  </si>
  <si>
    <t>Zkumavka s mediem+ flovakovaný tampon eSwab růžový 490CE.A</t>
  </si>
  <si>
    <t>ZI913</t>
  </si>
  <si>
    <t>Čepel pro nůž transplantační 158 mm 397112120130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</si>
  <si>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</si>
  <si>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</si>
  <si>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</si>
  <si>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</si>
  <si>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</si>
  <si>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</si>
  <si>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ZA833</t>
  </si>
  <si>
    <t>Jehla injekční 0,8 x 40 mm zelená 4657527</t>
  </si>
  <si>
    <t>ZA835</t>
  </si>
  <si>
    <t>Jehla injekční 0,6 x 25 mm modrá 4657667</t>
  </si>
  <si>
    <t>ZL425</t>
  </si>
  <si>
    <t>Rukavice operační ansell sensi - touch vel. 7,0 bal. á 40 párů 8050153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</si>
  <si>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</si>
  <si>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</si>
  <si>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</si>
  <si>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</si>
  <si>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</si>
  <si>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</si>
  <si>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</si>
  <si>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</si>
  <si>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</si>
  <si>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</si>
  <si>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</si>
  <si>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</si>
  <si>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</si>
  <si>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</si>
  <si>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</si>
  <si>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</si>
  <si>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</si>
  <si>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</si>
  <si>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Spotřeba zdravotnického materiálu - orientační přehled</t>
  </si>
  <si>
    <t>ON Data</t>
  </si>
  <si>
    <t>601 - Pracoviště plastické chirurgie</t>
  </si>
  <si>
    <t>606 - Pracoviště ortopedie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</si>
  <si>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</si>
  <si>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</si>
  <si>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</si>
  <si>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</si>
  <si>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</si>
  <si>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</si>
  <si>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</si>
  <si>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</si>
  <si>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</si>
  <si>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</si>
  <si>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</si>
  <si>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</si>
  <si>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</si>
  <si>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</si>
  <si>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</si>
  <si>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</si>
  <si>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</si>
  <si>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0072972</t>
  </si>
  <si>
    <t>AMOKSIKLAV 1,2 G</t>
  </si>
  <si>
    <t>0084090</t>
  </si>
  <si>
    <t>DEXAMED</t>
  </si>
  <si>
    <t>0090021</t>
  </si>
  <si>
    <t>MARCAINE SPINAL 0,5%</t>
  </si>
  <si>
    <t>0093109</t>
  </si>
  <si>
    <t>0154815</t>
  </si>
  <si>
    <t>0002684</t>
  </si>
  <si>
    <t>3</t>
  </si>
  <si>
    <t>0017751</t>
  </si>
  <si>
    <t>DRÁT KIRSCHNERŮV OCEL</t>
  </si>
  <si>
    <t>0082077</t>
  </si>
  <si>
    <t>KRYTÍ COM 30 OBVAZOVÁ TEXTÍLIE KOMBINOVANÁ</t>
  </si>
  <si>
    <t>0111047</t>
  </si>
  <si>
    <t>DRÁT KIRSCHNER., DÉL.15,5 CM, PR. 0,8-4 MM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</si>
  <si>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</si>
  <si>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</si>
  <si>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</si>
  <si>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</si>
  <si>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</si>
  <si>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</si>
  <si>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</si>
  <si>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</si>
  <si>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</si>
  <si>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</si>
  <si>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</si>
  <si>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</si>
  <si>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</si>
  <si>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</si>
  <si>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</si>
  <si>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</si>
  <si>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</si>
  <si>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</si>
  <si>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</si>
  <si>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</si>
  <si>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</si>
  <si>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</si>
  <si>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</si>
  <si>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</si>
  <si>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</si>
  <si>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</si>
  <si>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</si>
  <si>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</si>
  <si>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</si>
  <si>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</si>
  <si>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</si>
  <si>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</si>
  <si>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</si>
  <si>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</si>
  <si>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</si>
  <si>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</si>
  <si>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</si>
  <si>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</si>
  <si>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</si>
  <si>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</si>
  <si>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</si>
  <si>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</si>
  <si>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</si>
  <si>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</si>
  <si>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</si>
  <si>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</si>
  <si>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</si>
  <si>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</si>
  <si>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</si>
  <si>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</si>
  <si>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</si>
  <si>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</si>
  <si>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</si>
  <si>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</si>
  <si>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</si>
  <si>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</si>
  <si>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</si>
  <si>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</si>
  <si>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</si>
  <si>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</si>
  <si>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</si>
  <si>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</si>
  <si>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</si>
  <si>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</si>
  <si>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</si>
  <si>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</si>
  <si>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</si>
  <si>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</si>
  <si>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</si>
  <si>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</si>
  <si>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</si>
  <si>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</si>
  <si>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</si>
  <si>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</si>
  <si>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</si>
  <si>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</si>
  <si>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</si>
  <si>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</si>
  <si>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</si>
  <si>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</si>
  <si>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</si>
  <si>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</si>
  <si>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</si>
  <si>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</si>
  <si>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</si>
  <si>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</si>
  <si>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</si>
  <si>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</si>
  <si>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</si>
  <si>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</si>
  <si>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</si>
  <si>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</si>
  <si>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</si>
  <si>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</si>
  <si>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</si>
  <si>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</si>
  <si>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</si>
  <si>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</si>
  <si>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</si>
  <si>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</si>
  <si>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</si>
  <si>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</si>
  <si>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</si>
  <si>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</si>
  <si>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</si>
  <si>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</si>
  <si>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</si>
  <si>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</si>
  <si>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</si>
  <si>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</si>
  <si>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</si>
  <si>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</si>
  <si>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</si>
  <si>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</si>
  <si>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</si>
  <si>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</si>
  <si>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</si>
  <si>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</si>
  <si>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</si>
  <si>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</si>
  <si>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</si>
  <si>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</si>
  <si>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</si>
  <si>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</si>
  <si>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</si>
  <si>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</si>
  <si>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</si>
  <si>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</si>
  <si>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</si>
  <si>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53515</t>
  </si>
  <si>
    <t>SUTURA ŠLACHY EXTENSORU RUKY A ZÁPĚSTÍ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</si>
  <si>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</si>
  <si>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</si>
  <si>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</si>
  <si>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</si>
  <si>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</si>
  <si>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</si>
  <si>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</si>
  <si>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</si>
  <si>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</si>
  <si>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</si>
  <si>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61131</t>
  </si>
  <si>
    <t>EXCIZE KOŽNÍ LÉZE, SUTURA VÍCE NEŽ 10 CM</t>
  </si>
  <si>
    <t>62440</t>
  </si>
  <si>
    <t>ŠTĚP PŘI POPÁLENÍ (A OSTATNÍCH KOŽNÍCH ZTRÁTÁCH) D</t>
  </si>
  <si>
    <t>75399</t>
  </si>
  <si>
    <t>DERMATOPLASTIKA JEDNOHO VÍČKA NEBO BLEPHAROCHALASI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</si>
  <si>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</si>
  <si>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</si>
  <si>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</si>
  <si>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</si>
  <si>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</si>
  <si>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</si>
  <si>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</si>
  <si>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</si>
  <si>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</si>
  <si>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</si>
  <si>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61391</t>
  </si>
  <si>
    <t>VYTVOŘENÍ NOVÉ PRSNÍ BRADAVKY A PRSNÍHO DVORCE</t>
  </si>
  <si>
    <t>61425</t>
  </si>
  <si>
    <t>OPERACE RINOFYMY</t>
  </si>
  <si>
    <t>51875</t>
  </si>
  <si>
    <t>PŘILOŽENÍ MĚKKÉHO OBVAZU (ZINKOKLIH, ŠKROBOVÝ OBVA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</si>
  <si>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</si>
  <si>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</si>
  <si>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</si>
  <si>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</si>
  <si>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</si>
  <si>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</si>
  <si>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</si>
  <si>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</si>
  <si>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</si>
  <si>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</si>
  <si>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</si>
  <si>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</si>
  <si>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</si>
  <si>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</si>
  <si>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</si>
  <si>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</si>
  <si>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</si>
  <si>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</si>
  <si>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</si>
  <si>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</si>
  <si>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</si>
  <si>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</si>
  <si>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</si>
  <si>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</si>
  <si>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</si>
  <si>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</si>
  <si>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</si>
  <si>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</si>
  <si>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</si>
  <si>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</si>
  <si>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</si>
  <si>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</si>
  <si>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</si>
  <si>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66697</t>
  </si>
  <si>
    <t>EXCIZE / EXSTIRPACE HLAVIČKY METATARZU - JEDNA</t>
  </si>
  <si>
    <t>05</t>
  </si>
  <si>
    <t>06</t>
  </si>
  <si>
    <t>07</t>
  </si>
  <si>
    <t>09</t>
  </si>
  <si>
    <t>10</t>
  </si>
  <si>
    <t>66679</t>
  </si>
  <si>
    <t>EXARTIKULACE (AMPUTACE METATARZÁLNÍ) FALANGEÁLNÍ -</t>
  </si>
  <si>
    <t>53517</t>
  </si>
  <si>
    <t>SUTURA NEBO REINSERCE ŠLACHY FLEXORU RUKY A ZÁPĚST</t>
  </si>
  <si>
    <t>6F1</t>
  </si>
  <si>
    <t>61473</t>
  </si>
  <si>
    <t>IMPLANTACE TKÁŇOVÉHO EXPANDERU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</si>
  <si>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</si>
  <si>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</si>
  <si>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</si>
  <si>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</si>
  <si>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</si>
  <si>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</si>
  <si>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</si>
  <si>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</si>
  <si>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</si>
  <si>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</si>
  <si>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</si>
  <si>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</si>
  <si>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</si>
  <si>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</si>
  <si>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</si>
  <si>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32 - Hemato-onkologická klinika</t>
  </si>
  <si>
    <t>37 - Ústav klinické a molekulární patologie</t>
  </si>
  <si>
    <t>32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</si>
  <si>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</si>
  <si>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</si>
  <si>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</si>
  <si>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</si>
  <si>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</si>
  <si>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</si>
  <si>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</si>
  <si>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</si>
  <si>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</si>
  <si>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</si>
  <si>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</si>
  <si>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</si>
  <si>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</si>
  <si>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</si>
  <si>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</si>
  <si>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</si>
  <si>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</si>
  <si>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</si>
  <si>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</si>
  <si>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</si>
  <si>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</si>
  <si>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</si>
  <si>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</si>
  <si>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</si>
  <si>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</si>
  <si>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</si>
  <si>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</si>
  <si>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</si>
  <si>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</si>
  <si>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87011</t>
  </si>
  <si>
    <t>KONZULTACE NÁLEZU PATOLOGEM CÍLENÁ NA ŽÁDOST OŠETŘ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</si>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</sst>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3" fillId="8" borderId="77" xfId="0" applyNumberFormat="1" applyFont="1" applyFill="1" applyBorder="1"/>
    <xf numFmtId="3" fontId="53" fillId="8" borderId="76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5" fillId="2" borderId="83" xfId="0" applyNumberFormat="1" applyFont="1" applyFill="1" applyBorder="1" applyAlignment="1">
      <alignment horizontal="center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5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1" xfId="0" applyFont="1" applyFill="1" applyBorder="1"/>
    <xf numFmtId="0" fontId="33" fillId="0" borderId="27" xfId="0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73" fontId="40" fillId="4" borderId="149" xfId="0" applyNumberFormat="1" applyFont="1" applyFill="1" applyBorder="1" applyAlignment="1">
      <alignment horizontal="center"/>
    </xf>
    <xf numFmtId="173" fontId="40" fillId="4" borderId="150" xfId="0" applyNumberFormat="1" applyFont="1" applyFill="1" applyBorder="1" applyAlignment="1">
      <alignment horizontal="center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 wrapText="1"/>
    </xf>
    <xf numFmtId="175" fontId="33" fillId="0" borderId="151" xfId="0" applyNumberFormat="1" applyFont="1" applyBorder="1" applyAlignment="1">
      <alignment horizontal="right"/>
    </xf>
    <xf numFmtId="175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8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7" xfId="0" applyNumberFormat="1" applyFont="1" applyBorder="1"/>
    <xf numFmtId="174" fontId="33" fillId="0" borderId="155" xfId="0" applyNumberFormat="1" applyFont="1" applyBorder="1"/>
    <xf numFmtId="173" fontId="40" fillId="4" borderId="57" xfId="0" applyNumberFormat="1" applyFont="1" applyFill="1" applyBorder="1" applyAlignment="1"/>
    <xf numFmtId="173" fontId="33" fillId="0" borderId="147" xfId="0" applyNumberFormat="1" applyFont="1" applyBorder="1"/>
    <xf numFmtId="173" fontId="33" fillId="0" borderId="148" xfId="0" applyNumberFormat="1" applyFont="1" applyBorder="1"/>
    <xf numFmtId="173" fontId="40" fillId="2" borderId="57" xfId="0" applyNumberFormat="1" applyFont="1" applyFill="1" applyBorder="1" applyAlignment="1"/>
    <xf numFmtId="173" fontId="33" fillId="0" borderId="155" xfId="0" applyNumberFormat="1" applyFont="1" applyBorder="1"/>
    <xf numFmtId="173" fontId="33" fillId="0" borderId="57" xfId="0" applyNumberFormat="1" applyFont="1" applyBorder="1"/>
    <xf numFmtId="9" fontId="33" fillId="0" borderId="147" xfId="0" applyNumberFormat="1" applyFont="1" applyBorder="1"/>
    <xf numFmtId="173" fontId="40" fillId="4" borderId="156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58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9" xfId="0" applyNumberFormat="1" applyFont="1" applyBorder="1" applyAlignment="1">
      <alignment horizontal="right"/>
    </xf>
    <xf numFmtId="175" fontId="33" fillId="0" borderId="159" xfId="0" applyNumberFormat="1" applyFont="1" applyBorder="1" applyAlignment="1">
      <alignment horizontal="right"/>
    </xf>
    <xf numFmtId="173" fontId="33" fillId="0" borderId="146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1" xfId="0" applyNumberFormat="1" applyFont="1" applyFill="1" applyBorder="1"/>
    <xf numFmtId="0" fontId="40" fillId="0" borderId="140" xfId="0" applyFont="1" applyFill="1" applyBorder="1"/>
    <xf numFmtId="169" fontId="33" fillId="0" borderId="138" xfId="0" applyNumberFormat="1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9" xfId="0" applyNumberFormat="1" applyFont="1" applyFill="1" applyBorder="1"/>
    <xf numFmtId="169" fontId="33" fillId="0" borderId="142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0.31834463573835248</c:v>
                </c:pt>
                <c:pt idx="1">
                  <c:v>0.31398339732062364</c:v>
                </c:pt>
                <c:pt idx="2">
                  <c:v>0.33531302451149991</c:v>
                </c:pt>
                <c:pt idx="3">
                  <c:v>0.32968926440327828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83632"/>
        <c:axId val="998384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0.25489093129714391</c:v>
                </c:pt>
                <c:pt idx="1">
                  <c:v>0.25489093129714391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385984"/>
        <c:axId val="998384416"/>
      </c:scatterChart>
      <c:catAx>
        <c:axId val="99838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8384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384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8383632"/>
        <c:crosses val="autoZero"/>
        <c:crossBetween val="between"/>
      </c:valAx>
      <c:valAx>
        <c:axId val="9983859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8384416"/>
        <c:crosses val="max"/>
        <c:crossBetween val="midCat"/>
      </c:valAx>
      <c:valAx>
        <c:axId val="998384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83859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40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7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634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4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1149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7" t="s">
        <v>1150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1177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1452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1456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1461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1655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1713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1748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2" customWidth="1"/>
    <col min="7" max="7" width="10" style="212" customWidth="1"/>
    <col min="8" max="8" width="6.77734375" style="215" bestFit="1" customWidth="1"/>
    <col min="9" max="9" width="6.6640625" style="212" customWidth="1"/>
    <col min="10" max="10" width="10" style="212" customWidth="1"/>
    <col min="11" max="11" width="6.77734375" style="215" bestFit="1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68" t="s">
        <v>634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40" t="s">
        <v>286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0.3</v>
      </c>
      <c r="J3" s="43">
        <f>SUBTOTAL(9,J6:J1048576)</f>
        <v>41.582999999999991</v>
      </c>
      <c r="K3" s="44">
        <f>IF(M3=0,0,J3/M3)</f>
        <v>1</v>
      </c>
      <c r="L3" s="43">
        <f>SUBTOTAL(9,L6:L1048576)</f>
        <v>0.3</v>
      </c>
      <c r="M3" s="45">
        <f>SUBTOTAL(9,M6:M1048576)</f>
        <v>41.582999999999991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2" t="s">
        <v>135</v>
      </c>
      <c r="B5" s="498" t="s">
        <v>136</v>
      </c>
      <c r="C5" s="498" t="s">
        <v>71</v>
      </c>
      <c r="D5" s="498" t="s">
        <v>137</v>
      </c>
      <c r="E5" s="498" t="s">
        <v>138</v>
      </c>
      <c r="F5" s="499" t="s">
        <v>28</v>
      </c>
      <c r="G5" s="499" t="s">
        <v>14</v>
      </c>
      <c r="H5" s="484" t="s">
        <v>139</v>
      </c>
      <c r="I5" s="483" t="s">
        <v>28</v>
      </c>
      <c r="J5" s="499" t="s">
        <v>14</v>
      </c>
      <c r="K5" s="484" t="s">
        <v>139</v>
      </c>
      <c r="L5" s="483" t="s">
        <v>28</v>
      </c>
      <c r="M5" s="500" t="s">
        <v>14</v>
      </c>
    </row>
    <row r="6" spans="1:13" ht="14.4" customHeight="1" thickBot="1" x14ac:dyDescent="0.35">
      <c r="A6" s="489" t="s">
        <v>474</v>
      </c>
      <c r="B6" s="502" t="s">
        <v>632</v>
      </c>
      <c r="C6" s="502" t="s">
        <v>587</v>
      </c>
      <c r="D6" s="502" t="s">
        <v>588</v>
      </c>
      <c r="E6" s="502" t="s">
        <v>633</v>
      </c>
      <c r="F6" s="490"/>
      <c r="G6" s="490"/>
      <c r="H6" s="308">
        <v>0</v>
      </c>
      <c r="I6" s="490">
        <v>0.3</v>
      </c>
      <c r="J6" s="490">
        <v>41.582999999999991</v>
      </c>
      <c r="K6" s="308">
        <v>1</v>
      </c>
      <c r="L6" s="490">
        <v>0.3</v>
      </c>
      <c r="M6" s="491">
        <v>41.582999999999991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8" customWidth="1"/>
    <col min="2" max="2" width="5.44140625" style="212" bestFit="1" customWidth="1"/>
    <col min="3" max="3" width="6.109375" style="212" bestFit="1" customWidth="1"/>
    <col min="4" max="4" width="7.44140625" style="212" bestFit="1" customWidth="1"/>
    <col min="5" max="5" width="6.21875" style="212" bestFit="1" customWidth="1"/>
    <col min="6" max="6" width="6.33203125" style="215" bestFit="1" customWidth="1"/>
    <col min="7" max="7" width="6.109375" style="215" bestFit="1" customWidth="1"/>
    <col min="8" max="8" width="7.44140625" style="215" bestFit="1" customWidth="1"/>
    <col min="9" max="9" width="6.21875" style="215" bestFit="1" customWidth="1"/>
    <col min="10" max="10" width="5.44140625" style="212" bestFit="1" customWidth="1"/>
    <col min="11" max="11" width="6.109375" style="212" bestFit="1" customWidth="1"/>
    <col min="12" max="12" width="7.44140625" style="212" bestFit="1" customWidth="1"/>
    <col min="13" max="13" width="6.21875" style="212" bestFit="1" customWidth="1"/>
    <col min="14" max="14" width="5.33203125" style="215" bestFit="1" customWidth="1"/>
    <col min="15" max="15" width="6.109375" style="215" bestFit="1" customWidth="1"/>
    <col min="16" max="16" width="7.44140625" style="215" bestFit="1" customWidth="1"/>
    <col min="17" max="17" width="6.21875" style="215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40" t="s">
        <v>286</v>
      </c>
      <c r="B2" s="219"/>
      <c r="C2" s="219"/>
      <c r="D2" s="219"/>
      <c r="E2" s="219"/>
    </row>
    <row r="3" spans="1:17" ht="14.4" customHeight="1" thickBot="1" x14ac:dyDescent="0.35">
      <c r="A3" s="307" t="s">
        <v>3</v>
      </c>
      <c r="B3" s="311">
        <f>SUM(B6:B1048576)</f>
        <v>141</v>
      </c>
      <c r="C3" s="312">
        <f>SUM(C6:C1048576)</f>
        <v>4</v>
      </c>
      <c r="D3" s="312">
        <f>SUM(D6:D1048576)</f>
        <v>1</v>
      </c>
      <c r="E3" s="313">
        <f>SUM(E6:E1048576)</f>
        <v>0</v>
      </c>
      <c r="F3" s="310">
        <f>IF(SUM($B3:$E3)=0,"",B3/SUM($B3:$E3))</f>
        <v>0.96575342465753422</v>
      </c>
      <c r="G3" s="308">
        <f t="shared" ref="G3:I3" si="0">IF(SUM($B3:$E3)=0,"",C3/SUM($B3:$E3))</f>
        <v>2.7397260273972601E-2</v>
      </c>
      <c r="H3" s="308">
        <f t="shared" si="0"/>
        <v>6.8493150684931503E-3</v>
      </c>
      <c r="I3" s="309">
        <f t="shared" si="0"/>
        <v>0</v>
      </c>
      <c r="J3" s="312">
        <f>SUM(J6:J1048576)</f>
        <v>36</v>
      </c>
      <c r="K3" s="312">
        <f>SUM(K6:K1048576)</f>
        <v>4</v>
      </c>
      <c r="L3" s="312">
        <f>SUM(L6:L1048576)</f>
        <v>1</v>
      </c>
      <c r="M3" s="313">
        <f>SUM(M6:M1048576)</f>
        <v>0</v>
      </c>
      <c r="N3" s="310">
        <f>IF(SUM($J3:$M3)=0,"",J3/SUM($J3:$M3))</f>
        <v>0.87804878048780488</v>
      </c>
      <c r="O3" s="308">
        <f t="shared" ref="O3:Q3" si="1">IF(SUM($J3:$M3)=0,"",K3/SUM($J3:$M3))</f>
        <v>9.7560975609756101E-2</v>
      </c>
      <c r="P3" s="308">
        <f t="shared" si="1"/>
        <v>2.4390243902439025E-2</v>
      </c>
      <c r="Q3" s="309">
        <f t="shared" si="1"/>
        <v>0</v>
      </c>
    </row>
    <row r="4" spans="1:17" ht="14.4" customHeight="1" thickBot="1" x14ac:dyDescent="0.35">
      <c r="A4" s="306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503" t="s">
        <v>250</v>
      </c>
      <c r="B5" s="504" t="s">
        <v>252</v>
      </c>
      <c r="C5" s="504" t="s">
        <v>253</v>
      </c>
      <c r="D5" s="504" t="s">
        <v>254</v>
      </c>
      <c r="E5" s="505" t="s">
        <v>255</v>
      </c>
      <c r="F5" s="506" t="s">
        <v>252</v>
      </c>
      <c r="G5" s="507" t="s">
        <v>253</v>
      </c>
      <c r="H5" s="507" t="s">
        <v>254</v>
      </c>
      <c r="I5" s="508" t="s">
        <v>255</v>
      </c>
      <c r="J5" s="504" t="s">
        <v>252</v>
      </c>
      <c r="K5" s="504" t="s">
        <v>253</v>
      </c>
      <c r="L5" s="504" t="s">
        <v>254</v>
      </c>
      <c r="M5" s="505" t="s">
        <v>255</v>
      </c>
      <c r="N5" s="506" t="s">
        <v>252</v>
      </c>
      <c r="O5" s="507" t="s">
        <v>253</v>
      </c>
      <c r="P5" s="507" t="s">
        <v>254</v>
      </c>
      <c r="Q5" s="508" t="s">
        <v>255</v>
      </c>
    </row>
    <row r="6" spans="1:17" ht="14.4" customHeight="1" x14ac:dyDescent="0.3">
      <c r="A6" s="513" t="s">
        <v>635</v>
      </c>
      <c r="B6" s="519"/>
      <c r="C6" s="468"/>
      <c r="D6" s="468"/>
      <c r="E6" s="469"/>
      <c r="F6" s="516"/>
      <c r="G6" s="487"/>
      <c r="H6" s="487"/>
      <c r="I6" s="522"/>
      <c r="J6" s="519"/>
      <c r="K6" s="468"/>
      <c r="L6" s="468"/>
      <c r="M6" s="469"/>
      <c r="N6" s="516"/>
      <c r="O6" s="487"/>
      <c r="P6" s="487"/>
      <c r="Q6" s="509"/>
    </row>
    <row r="7" spans="1:17" ht="14.4" customHeight="1" x14ac:dyDescent="0.3">
      <c r="A7" s="514" t="s">
        <v>636</v>
      </c>
      <c r="B7" s="520">
        <v>74</v>
      </c>
      <c r="C7" s="474">
        <v>4</v>
      </c>
      <c r="D7" s="474">
        <v>1</v>
      </c>
      <c r="E7" s="475"/>
      <c r="F7" s="517">
        <v>0.93670886075949367</v>
      </c>
      <c r="G7" s="510">
        <v>5.0632911392405063E-2</v>
      </c>
      <c r="H7" s="510">
        <v>1.2658227848101266E-2</v>
      </c>
      <c r="I7" s="523">
        <v>0</v>
      </c>
      <c r="J7" s="520">
        <v>17</v>
      </c>
      <c r="K7" s="474">
        <v>4</v>
      </c>
      <c r="L7" s="474">
        <v>1</v>
      </c>
      <c r="M7" s="475"/>
      <c r="N7" s="517">
        <v>0.77272727272727271</v>
      </c>
      <c r="O7" s="510">
        <v>0.18181818181818182</v>
      </c>
      <c r="P7" s="510">
        <v>4.5454545454545456E-2</v>
      </c>
      <c r="Q7" s="511">
        <v>0</v>
      </c>
    </row>
    <row r="8" spans="1:17" ht="14.4" customHeight="1" x14ac:dyDescent="0.3">
      <c r="A8" s="514" t="s">
        <v>637</v>
      </c>
      <c r="B8" s="520">
        <v>64</v>
      </c>
      <c r="C8" s="474"/>
      <c r="D8" s="474"/>
      <c r="E8" s="475"/>
      <c r="F8" s="517">
        <v>1</v>
      </c>
      <c r="G8" s="510">
        <v>0</v>
      </c>
      <c r="H8" s="510">
        <v>0</v>
      </c>
      <c r="I8" s="523">
        <v>0</v>
      </c>
      <c r="J8" s="520">
        <v>16</v>
      </c>
      <c r="K8" s="474"/>
      <c r="L8" s="474"/>
      <c r="M8" s="475"/>
      <c r="N8" s="517">
        <v>1</v>
      </c>
      <c r="O8" s="510">
        <v>0</v>
      </c>
      <c r="P8" s="510">
        <v>0</v>
      </c>
      <c r="Q8" s="511">
        <v>0</v>
      </c>
    </row>
    <row r="9" spans="1:17" ht="14.4" customHeight="1" thickBot="1" x14ac:dyDescent="0.35">
      <c r="A9" s="515" t="s">
        <v>638</v>
      </c>
      <c r="B9" s="521">
        <v>3</v>
      </c>
      <c r="C9" s="480"/>
      <c r="D9" s="480"/>
      <c r="E9" s="481"/>
      <c r="F9" s="518">
        <v>1</v>
      </c>
      <c r="G9" s="488">
        <v>0</v>
      </c>
      <c r="H9" s="488">
        <v>0</v>
      </c>
      <c r="I9" s="524">
        <v>0</v>
      </c>
      <c r="J9" s="521">
        <v>3</v>
      </c>
      <c r="K9" s="480"/>
      <c r="L9" s="480"/>
      <c r="M9" s="481"/>
      <c r="N9" s="518">
        <v>1</v>
      </c>
      <c r="O9" s="488">
        <v>0</v>
      </c>
      <c r="P9" s="488">
        <v>0</v>
      </c>
      <c r="Q9" s="51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40" t="s">
        <v>286</v>
      </c>
      <c r="B2" s="211"/>
      <c r="C2" s="211"/>
      <c r="D2" s="211"/>
      <c r="E2" s="211"/>
      <c r="F2" s="211"/>
      <c r="G2" s="211"/>
      <c r="H2" s="211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2">
        <v>29</v>
      </c>
      <c r="B5" s="453" t="s">
        <v>469</v>
      </c>
      <c r="C5" s="456">
        <v>186730.36000000004</v>
      </c>
      <c r="D5" s="456">
        <v>669</v>
      </c>
      <c r="E5" s="456">
        <v>138413.90000000005</v>
      </c>
      <c r="F5" s="525">
        <v>0.7412501105872662</v>
      </c>
      <c r="G5" s="456">
        <v>453</v>
      </c>
      <c r="H5" s="525">
        <v>0.67713004484304928</v>
      </c>
      <c r="I5" s="456">
        <v>48316.460000000006</v>
      </c>
      <c r="J5" s="525">
        <v>0.25874988941273391</v>
      </c>
      <c r="K5" s="456">
        <v>216</v>
      </c>
      <c r="L5" s="525">
        <v>0.32286995515695066</v>
      </c>
      <c r="M5" s="456" t="s">
        <v>69</v>
      </c>
      <c r="N5" s="154"/>
    </row>
    <row r="6" spans="1:14" ht="14.4" customHeight="1" x14ac:dyDescent="0.3">
      <c r="A6" s="452">
        <v>29</v>
      </c>
      <c r="B6" s="453" t="s">
        <v>639</v>
      </c>
      <c r="C6" s="456">
        <v>50126.230000000025</v>
      </c>
      <c r="D6" s="456">
        <v>379</v>
      </c>
      <c r="E6" s="456">
        <v>32513.190000000021</v>
      </c>
      <c r="F6" s="525">
        <v>0.64862627809831308</v>
      </c>
      <c r="G6" s="456">
        <v>236</v>
      </c>
      <c r="H6" s="525">
        <v>0.62269129287598945</v>
      </c>
      <c r="I6" s="456">
        <v>17613.04</v>
      </c>
      <c r="J6" s="525">
        <v>0.35137372190168686</v>
      </c>
      <c r="K6" s="456">
        <v>143</v>
      </c>
      <c r="L6" s="525">
        <v>0.37730870712401055</v>
      </c>
      <c r="M6" s="456" t="s">
        <v>1</v>
      </c>
      <c r="N6" s="154"/>
    </row>
    <row r="7" spans="1:14" ht="14.4" customHeight="1" x14ac:dyDescent="0.3">
      <c r="A7" s="452">
        <v>29</v>
      </c>
      <c r="B7" s="453" t="s">
        <v>640</v>
      </c>
      <c r="C7" s="456">
        <v>0</v>
      </c>
      <c r="D7" s="456">
        <v>1</v>
      </c>
      <c r="E7" s="456" t="s">
        <v>470</v>
      </c>
      <c r="F7" s="525" t="s">
        <v>470</v>
      </c>
      <c r="G7" s="456" t="s">
        <v>470</v>
      </c>
      <c r="H7" s="525">
        <v>0</v>
      </c>
      <c r="I7" s="456">
        <v>0</v>
      </c>
      <c r="J7" s="525" t="s">
        <v>470</v>
      </c>
      <c r="K7" s="456">
        <v>1</v>
      </c>
      <c r="L7" s="525">
        <v>1</v>
      </c>
      <c r="M7" s="456" t="s">
        <v>1</v>
      </c>
      <c r="N7" s="154"/>
    </row>
    <row r="8" spans="1:14" ht="14.4" customHeight="1" x14ac:dyDescent="0.3">
      <c r="A8" s="452">
        <v>29</v>
      </c>
      <c r="B8" s="453" t="s">
        <v>641</v>
      </c>
      <c r="C8" s="456">
        <v>136604.13000000003</v>
      </c>
      <c r="D8" s="456">
        <v>289</v>
      </c>
      <c r="E8" s="456">
        <v>105900.71000000004</v>
      </c>
      <c r="F8" s="525">
        <v>0.77523798145780809</v>
      </c>
      <c r="G8" s="456">
        <v>217</v>
      </c>
      <c r="H8" s="525">
        <v>0.75086505190311414</v>
      </c>
      <c r="I8" s="456">
        <v>30703.420000000002</v>
      </c>
      <c r="J8" s="525">
        <v>0.22476201854219191</v>
      </c>
      <c r="K8" s="456">
        <v>72</v>
      </c>
      <c r="L8" s="525">
        <v>0.2491349480968858</v>
      </c>
      <c r="M8" s="456" t="s">
        <v>1</v>
      </c>
      <c r="N8" s="154"/>
    </row>
    <row r="9" spans="1:14" ht="14.4" customHeight="1" x14ac:dyDescent="0.3">
      <c r="A9" s="452" t="s">
        <v>468</v>
      </c>
      <c r="B9" s="453" t="s">
        <v>3</v>
      </c>
      <c r="C9" s="456">
        <v>186730.36000000004</v>
      </c>
      <c r="D9" s="456">
        <v>669</v>
      </c>
      <c r="E9" s="456">
        <v>138413.90000000005</v>
      </c>
      <c r="F9" s="525">
        <v>0.7412501105872662</v>
      </c>
      <c r="G9" s="456">
        <v>453</v>
      </c>
      <c r="H9" s="525">
        <v>0.67713004484304928</v>
      </c>
      <c r="I9" s="456">
        <v>48316.460000000006</v>
      </c>
      <c r="J9" s="525">
        <v>0.25874988941273391</v>
      </c>
      <c r="K9" s="456">
        <v>216</v>
      </c>
      <c r="L9" s="525">
        <v>0.32286995515695066</v>
      </c>
      <c r="M9" s="456" t="s">
        <v>473</v>
      </c>
      <c r="N9" s="154"/>
    </row>
    <row r="11" spans="1:14" ht="14.4" customHeight="1" x14ac:dyDescent="0.3">
      <c r="A11" s="452">
        <v>29</v>
      </c>
      <c r="B11" s="453" t="s">
        <v>469</v>
      </c>
      <c r="C11" s="456" t="s">
        <v>470</v>
      </c>
      <c r="D11" s="456" t="s">
        <v>470</v>
      </c>
      <c r="E11" s="456" t="s">
        <v>470</v>
      </c>
      <c r="F11" s="525" t="s">
        <v>470</v>
      </c>
      <c r="G11" s="456" t="s">
        <v>470</v>
      </c>
      <c r="H11" s="525" t="s">
        <v>470</v>
      </c>
      <c r="I11" s="456" t="s">
        <v>470</v>
      </c>
      <c r="J11" s="525" t="s">
        <v>470</v>
      </c>
      <c r="K11" s="456" t="s">
        <v>470</v>
      </c>
      <c r="L11" s="525" t="s">
        <v>470</v>
      </c>
      <c r="M11" s="456" t="s">
        <v>69</v>
      </c>
      <c r="N11" s="154"/>
    </row>
    <row r="12" spans="1:14" ht="14.4" customHeight="1" x14ac:dyDescent="0.3">
      <c r="A12" s="452" t="s">
        <v>642</v>
      </c>
      <c r="B12" s="453" t="s">
        <v>639</v>
      </c>
      <c r="C12" s="456">
        <v>50126.230000000025</v>
      </c>
      <c r="D12" s="456">
        <v>379</v>
      </c>
      <c r="E12" s="456">
        <v>32513.190000000021</v>
      </c>
      <c r="F12" s="525">
        <v>0.64862627809831308</v>
      </c>
      <c r="G12" s="456">
        <v>236</v>
      </c>
      <c r="H12" s="525">
        <v>0.62269129287598945</v>
      </c>
      <c r="I12" s="456">
        <v>17613.04</v>
      </c>
      <c r="J12" s="525">
        <v>0.35137372190168686</v>
      </c>
      <c r="K12" s="456">
        <v>143</v>
      </c>
      <c r="L12" s="525">
        <v>0.37730870712401055</v>
      </c>
      <c r="M12" s="456" t="s">
        <v>1</v>
      </c>
      <c r="N12" s="154"/>
    </row>
    <row r="13" spans="1:14" ht="14.4" customHeight="1" x14ac:dyDescent="0.3">
      <c r="A13" s="452" t="s">
        <v>642</v>
      </c>
      <c r="B13" s="453" t="s">
        <v>640</v>
      </c>
      <c r="C13" s="456">
        <v>0</v>
      </c>
      <c r="D13" s="456">
        <v>1</v>
      </c>
      <c r="E13" s="456" t="s">
        <v>470</v>
      </c>
      <c r="F13" s="525" t="s">
        <v>470</v>
      </c>
      <c r="G13" s="456" t="s">
        <v>470</v>
      </c>
      <c r="H13" s="525">
        <v>0</v>
      </c>
      <c r="I13" s="456">
        <v>0</v>
      </c>
      <c r="J13" s="525" t="s">
        <v>470</v>
      </c>
      <c r="K13" s="456">
        <v>1</v>
      </c>
      <c r="L13" s="525">
        <v>1</v>
      </c>
      <c r="M13" s="456" t="s">
        <v>1</v>
      </c>
      <c r="N13" s="154"/>
    </row>
    <row r="14" spans="1:14" ht="14.4" customHeight="1" x14ac:dyDescent="0.3">
      <c r="A14" s="452" t="s">
        <v>642</v>
      </c>
      <c r="B14" s="453" t="s">
        <v>641</v>
      </c>
      <c r="C14" s="456">
        <v>136604.13000000003</v>
      </c>
      <c r="D14" s="456">
        <v>289</v>
      </c>
      <c r="E14" s="456">
        <v>105900.71000000004</v>
      </c>
      <c r="F14" s="525">
        <v>0.77523798145780809</v>
      </c>
      <c r="G14" s="456">
        <v>217</v>
      </c>
      <c r="H14" s="525">
        <v>0.75086505190311414</v>
      </c>
      <c r="I14" s="456">
        <v>30703.420000000002</v>
      </c>
      <c r="J14" s="525">
        <v>0.22476201854219191</v>
      </c>
      <c r="K14" s="456">
        <v>72</v>
      </c>
      <c r="L14" s="525">
        <v>0.2491349480968858</v>
      </c>
      <c r="M14" s="456" t="s">
        <v>1</v>
      </c>
      <c r="N14" s="154"/>
    </row>
    <row r="15" spans="1:14" ht="14.4" customHeight="1" x14ac:dyDescent="0.3">
      <c r="A15" s="452" t="s">
        <v>642</v>
      </c>
      <c r="B15" s="453" t="s">
        <v>643</v>
      </c>
      <c r="C15" s="456">
        <v>186730.36000000004</v>
      </c>
      <c r="D15" s="456">
        <v>669</v>
      </c>
      <c r="E15" s="456">
        <v>138413.90000000005</v>
      </c>
      <c r="F15" s="525">
        <v>0.7412501105872662</v>
      </c>
      <c r="G15" s="456">
        <v>453</v>
      </c>
      <c r="H15" s="525">
        <v>0.67713004484304928</v>
      </c>
      <c r="I15" s="456">
        <v>48316.460000000006</v>
      </c>
      <c r="J15" s="525">
        <v>0.25874988941273391</v>
      </c>
      <c r="K15" s="456">
        <v>216</v>
      </c>
      <c r="L15" s="525">
        <v>0.32286995515695066</v>
      </c>
      <c r="M15" s="456" t="s">
        <v>477</v>
      </c>
      <c r="N15" s="154"/>
    </row>
    <row r="16" spans="1:14" ht="14.4" customHeight="1" x14ac:dyDescent="0.3">
      <c r="A16" s="452" t="s">
        <v>470</v>
      </c>
      <c r="B16" s="453" t="s">
        <v>470</v>
      </c>
      <c r="C16" s="456" t="s">
        <v>470</v>
      </c>
      <c r="D16" s="456" t="s">
        <v>470</v>
      </c>
      <c r="E16" s="456" t="s">
        <v>470</v>
      </c>
      <c r="F16" s="525" t="s">
        <v>470</v>
      </c>
      <c r="G16" s="456" t="s">
        <v>470</v>
      </c>
      <c r="H16" s="525" t="s">
        <v>470</v>
      </c>
      <c r="I16" s="456" t="s">
        <v>470</v>
      </c>
      <c r="J16" s="525" t="s">
        <v>470</v>
      </c>
      <c r="K16" s="456" t="s">
        <v>470</v>
      </c>
      <c r="L16" s="525" t="s">
        <v>470</v>
      </c>
      <c r="M16" s="456" t="s">
        <v>478</v>
      </c>
      <c r="N16" s="154"/>
    </row>
    <row r="17" spans="1:14" ht="14.4" customHeight="1" x14ac:dyDescent="0.3">
      <c r="A17" s="452" t="s">
        <v>468</v>
      </c>
      <c r="B17" s="453" t="s">
        <v>472</v>
      </c>
      <c r="C17" s="456">
        <v>186730.36000000004</v>
      </c>
      <c r="D17" s="456">
        <v>669</v>
      </c>
      <c r="E17" s="456">
        <v>138413.90000000005</v>
      </c>
      <c r="F17" s="525">
        <v>0.7412501105872662</v>
      </c>
      <c r="G17" s="456">
        <v>453</v>
      </c>
      <c r="H17" s="525">
        <v>0.67713004484304928</v>
      </c>
      <c r="I17" s="456">
        <v>48316.460000000006</v>
      </c>
      <c r="J17" s="525">
        <v>0.25874988941273391</v>
      </c>
      <c r="K17" s="456">
        <v>216</v>
      </c>
      <c r="L17" s="525">
        <v>0.32286995515695066</v>
      </c>
      <c r="M17" s="456" t="s">
        <v>473</v>
      </c>
      <c r="N17" s="154"/>
    </row>
    <row r="18" spans="1:14" ht="14.4" customHeight="1" x14ac:dyDescent="0.3">
      <c r="A18" s="526" t="s">
        <v>644</v>
      </c>
    </row>
    <row r="19" spans="1:14" ht="14.4" customHeight="1" x14ac:dyDescent="0.3">
      <c r="A19" s="527" t="s">
        <v>645</v>
      </c>
    </row>
    <row r="20" spans="1:14" ht="14.4" customHeight="1" x14ac:dyDescent="0.3">
      <c r="A20" s="526" t="s">
        <v>646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2" bestFit="1" customWidth="1"/>
    <col min="3" max="3" width="11.109375" style="133" hidden="1" customWidth="1"/>
    <col min="4" max="4" width="7.33203125" style="212" bestFit="1" customWidth="1"/>
    <col min="5" max="5" width="7.33203125" style="133" hidden="1" customWidth="1"/>
    <col min="6" max="6" width="11.109375" style="212" bestFit="1" customWidth="1"/>
    <col min="7" max="7" width="5.33203125" style="215" customWidth="1"/>
    <col min="8" max="8" width="7.33203125" style="212" bestFit="1" customWidth="1"/>
    <col min="9" max="9" width="5.33203125" style="215" customWidth="1"/>
    <col min="10" max="10" width="11.109375" style="212" customWidth="1"/>
    <col min="11" max="11" width="5.33203125" style="215" customWidth="1"/>
    <col min="12" max="12" width="7.33203125" style="212" customWidth="1"/>
    <col min="13" max="13" width="5.33203125" style="215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40" t="s">
        <v>286</v>
      </c>
      <c r="B2" s="219"/>
      <c r="C2" s="211"/>
      <c r="D2" s="219"/>
      <c r="E2" s="211"/>
      <c r="F2" s="219"/>
      <c r="G2" s="220"/>
      <c r="H2" s="219"/>
      <c r="I2" s="220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503" t="s">
        <v>140</v>
      </c>
      <c r="B4" s="504" t="s">
        <v>19</v>
      </c>
      <c r="C4" s="531"/>
      <c r="D4" s="504" t="s">
        <v>20</v>
      </c>
      <c r="E4" s="531"/>
      <c r="F4" s="504" t="s">
        <v>19</v>
      </c>
      <c r="G4" s="507" t="s">
        <v>2</v>
      </c>
      <c r="H4" s="504" t="s">
        <v>20</v>
      </c>
      <c r="I4" s="507" t="s">
        <v>2</v>
      </c>
      <c r="J4" s="504" t="s">
        <v>19</v>
      </c>
      <c r="K4" s="507" t="s">
        <v>2</v>
      </c>
      <c r="L4" s="504" t="s">
        <v>20</v>
      </c>
      <c r="M4" s="508" t="s">
        <v>2</v>
      </c>
    </row>
    <row r="5" spans="1:13" ht="14.4" customHeight="1" x14ac:dyDescent="0.3">
      <c r="A5" s="528" t="s">
        <v>647</v>
      </c>
      <c r="B5" s="519">
        <v>51734.450000000012</v>
      </c>
      <c r="C5" s="465">
        <v>1</v>
      </c>
      <c r="D5" s="532">
        <v>156</v>
      </c>
      <c r="E5" s="501" t="s">
        <v>647</v>
      </c>
      <c r="F5" s="519">
        <v>37245.490000000005</v>
      </c>
      <c r="G5" s="487">
        <v>0.71993594210434242</v>
      </c>
      <c r="H5" s="468">
        <v>106</v>
      </c>
      <c r="I5" s="509">
        <v>0.67948717948717952</v>
      </c>
      <c r="J5" s="537">
        <v>14488.960000000003</v>
      </c>
      <c r="K5" s="487">
        <v>0.28006405789565753</v>
      </c>
      <c r="L5" s="468">
        <v>50</v>
      </c>
      <c r="M5" s="509">
        <v>0.32051282051282054</v>
      </c>
    </row>
    <row r="6" spans="1:13" ht="14.4" customHeight="1" x14ac:dyDescent="0.3">
      <c r="A6" s="529" t="s">
        <v>648</v>
      </c>
      <c r="B6" s="520">
        <v>16271.5</v>
      </c>
      <c r="C6" s="471">
        <v>1</v>
      </c>
      <c r="D6" s="533">
        <v>55</v>
      </c>
      <c r="E6" s="535" t="s">
        <v>648</v>
      </c>
      <c r="F6" s="520">
        <v>10084.73</v>
      </c>
      <c r="G6" s="510">
        <v>0.61977875426358964</v>
      </c>
      <c r="H6" s="474">
        <v>34</v>
      </c>
      <c r="I6" s="511">
        <v>0.61818181818181817</v>
      </c>
      <c r="J6" s="538">
        <v>6186.77</v>
      </c>
      <c r="K6" s="510">
        <v>0.38022124573641031</v>
      </c>
      <c r="L6" s="474">
        <v>21</v>
      </c>
      <c r="M6" s="511">
        <v>0.38181818181818183</v>
      </c>
    </row>
    <row r="7" spans="1:13" ht="14.4" customHeight="1" x14ac:dyDescent="0.3">
      <c r="A7" s="529" t="s">
        <v>649</v>
      </c>
      <c r="B7" s="520">
        <v>20484.71</v>
      </c>
      <c r="C7" s="471">
        <v>1</v>
      </c>
      <c r="D7" s="533">
        <v>125</v>
      </c>
      <c r="E7" s="535" t="s">
        <v>649</v>
      </c>
      <c r="F7" s="520">
        <v>14868.7</v>
      </c>
      <c r="G7" s="510">
        <v>0.72584381228731099</v>
      </c>
      <c r="H7" s="474">
        <v>83</v>
      </c>
      <c r="I7" s="511">
        <v>0.66400000000000003</v>
      </c>
      <c r="J7" s="538">
        <v>5616.0099999999993</v>
      </c>
      <c r="K7" s="510">
        <v>0.27415618771268913</v>
      </c>
      <c r="L7" s="474">
        <v>42</v>
      </c>
      <c r="M7" s="511">
        <v>0.33600000000000002</v>
      </c>
    </row>
    <row r="8" spans="1:13" ht="14.4" customHeight="1" x14ac:dyDescent="0.3">
      <c r="A8" s="529" t="s">
        <v>650</v>
      </c>
      <c r="B8" s="520">
        <v>9651.92</v>
      </c>
      <c r="C8" s="471">
        <v>1</v>
      </c>
      <c r="D8" s="533">
        <v>39</v>
      </c>
      <c r="E8" s="535" t="s">
        <v>650</v>
      </c>
      <c r="F8" s="520">
        <v>7542.01</v>
      </c>
      <c r="G8" s="510">
        <v>0.78139997016137719</v>
      </c>
      <c r="H8" s="474">
        <v>29</v>
      </c>
      <c r="I8" s="511">
        <v>0.74358974358974361</v>
      </c>
      <c r="J8" s="538">
        <v>2109.91</v>
      </c>
      <c r="K8" s="510">
        <v>0.21860002983862276</v>
      </c>
      <c r="L8" s="474">
        <v>10</v>
      </c>
      <c r="M8" s="511">
        <v>0.25641025641025639</v>
      </c>
    </row>
    <row r="9" spans="1:13" ht="14.4" customHeight="1" x14ac:dyDescent="0.3">
      <c r="A9" s="529" t="s">
        <v>651</v>
      </c>
      <c r="B9" s="520">
        <v>4210.8899999999994</v>
      </c>
      <c r="C9" s="471">
        <v>1</v>
      </c>
      <c r="D9" s="533">
        <v>33</v>
      </c>
      <c r="E9" s="535" t="s">
        <v>651</v>
      </c>
      <c r="F9" s="520">
        <v>918.18</v>
      </c>
      <c r="G9" s="510">
        <v>0.21804891602487836</v>
      </c>
      <c r="H9" s="474">
        <v>16</v>
      </c>
      <c r="I9" s="511">
        <v>0.48484848484848486</v>
      </c>
      <c r="J9" s="538">
        <v>3292.7099999999996</v>
      </c>
      <c r="K9" s="510">
        <v>0.7819510839751217</v>
      </c>
      <c r="L9" s="474">
        <v>17</v>
      </c>
      <c r="M9" s="511">
        <v>0.51515151515151514</v>
      </c>
    </row>
    <row r="10" spans="1:13" ht="14.4" customHeight="1" x14ac:dyDescent="0.3">
      <c r="A10" s="529" t="s">
        <v>652</v>
      </c>
      <c r="B10" s="520">
        <v>66473.72</v>
      </c>
      <c r="C10" s="471">
        <v>1</v>
      </c>
      <c r="D10" s="533">
        <v>208</v>
      </c>
      <c r="E10" s="535" t="s">
        <v>652</v>
      </c>
      <c r="F10" s="520">
        <v>56113.55</v>
      </c>
      <c r="G10" s="510">
        <v>0.84414637844850571</v>
      </c>
      <c r="H10" s="474">
        <v>155</v>
      </c>
      <c r="I10" s="511">
        <v>0.74519230769230771</v>
      </c>
      <c r="J10" s="538">
        <v>10360.169999999998</v>
      </c>
      <c r="K10" s="510">
        <v>0.15585362155149429</v>
      </c>
      <c r="L10" s="474">
        <v>53</v>
      </c>
      <c r="M10" s="511">
        <v>0.25480769230769229</v>
      </c>
    </row>
    <row r="11" spans="1:13" ht="14.4" customHeight="1" thickBot="1" x14ac:dyDescent="0.35">
      <c r="A11" s="530" t="s">
        <v>653</v>
      </c>
      <c r="B11" s="521">
        <v>17903.169999999998</v>
      </c>
      <c r="C11" s="477">
        <v>1</v>
      </c>
      <c r="D11" s="534">
        <v>53</v>
      </c>
      <c r="E11" s="536" t="s">
        <v>653</v>
      </c>
      <c r="F11" s="521">
        <v>11641.24</v>
      </c>
      <c r="G11" s="488">
        <v>0.65023345027724144</v>
      </c>
      <c r="H11" s="480">
        <v>30</v>
      </c>
      <c r="I11" s="512">
        <v>0.56603773584905659</v>
      </c>
      <c r="J11" s="539">
        <v>6261.9299999999994</v>
      </c>
      <c r="K11" s="488">
        <v>0.34976654972275861</v>
      </c>
      <c r="L11" s="480">
        <v>23</v>
      </c>
      <c r="M11" s="512">
        <v>0.43396226415094341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3" customWidth="1"/>
    <col min="5" max="5" width="13.5546875" style="213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4" customWidth="1"/>
    <col min="13" max="13" width="11.109375" style="214" customWidth="1"/>
    <col min="14" max="14" width="7.77734375" style="133" customWidth="1"/>
    <col min="15" max="15" width="7.77734375" style="224" customWidth="1"/>
    <col min="16" max="16" width="11.109375" style="214" customWidth="1"/>
    <col min="17" max="17" width="5.44140625" style="215" bestFit="1" customWidth="1"/>
    <col min="18" max="18" width="7.77734375" style="133" customWidth="1"/>
    <col min="19" max="19" width="5.44140625" style="215" bestFit="1" customWidth="1"/>
    <col min="20" max="20" width="7.77734375" style="224" customWidth="1"/>
    <col min="21" max="21" width="5.44140625" style="215" bestFit="1" customWidth="1"/>
    <col min="22" max="16384" width="8.88671875" style="133"/>
  </cols>
  <sheetData>
    <row r="1" spans="1:21" ht="18.600000000000001" customHeight="1" thickBot="1" x14ac:dyDescent="0.4">
      <c r="A1" s="359" t="s">
        <v>1149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40" t="s">
        <v>286</v>
      </c>
      <c r="B2" s="221"/>
      <c r="C2" s="211"/>
      <c r="D2" s="211"/>
      <c r="E2" s="222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186730.35999999996</v>
      </c>
      <c r="N3" s="66">
        <f>SUBTOTAL(9,N7:N1048576)</f>
        <v>887</v>
      </c>
      <c r="O3" s="66">
        <f>SUBTOTAL(9,O7:O1048576)</f>
        <v>669</v>
      </c>
      <c r="P3" s="66">
        <f>SUBTOTAL(9,P7:P1048576)</f>
        <v>138413.89999999997</v>
      </c>
      <c r="Q3" s="67">
        <f>IF(M3=0,0,P3/M3)</f>
        <v>0.74125011058726598</v>
      </c>
      <c r="R3" s="66">
        <f>SUBTOTAL(9,R7:R1048576)</f>
        <v>597</v>
      </c>
      <c r="S3" s="67">
        <f>IF(N3=0,0,R3/N3)</f>
        <v>0.67305524239007897</v>
      </c>
      <c r="T3" s="66">
        <f>SUBTOTAL(9,T7:T1048576)</f>
        <v>453</v>
      </c>
      <c r="U3" s="68">
        <f>IF(O3=0,0,T3/O3)</f>
        <v>0.67713004484304928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3" customFormat="1" ht="14.4" customHeight="1" thickBot="1" x14ac:dyDescent="0.35">
      <c r="A6" s="540" t="s">
        <v>23</v>
      </c>
      <c r="B6" s="541" t="s">
        <v>5</v>
      </c>
      <c r="C6" s="540" t="s">
        <v>24</v>
      </c>
      <c r="D6" s="541" t="s">
        <v>6</v>
      </c>
      <c r="E6" s="541" t="s">
        <v>156</v>
      </c>
      <c r="F6" s="541" t="s">
        <v>25</v>
      </c>
      <c r="G6" s="541" t="s">
        <v>26</v>
      </c>
      <c r="H6" s="541" t="s">
        <v>8</v>
      </c>
      <c r="I6" s="541" t="s">
        <v>10</v>
      </c>
      <c r="J6" s="541" t="s">
        <v>11</v>
      </c>
      <c r="K6" s="541" t="s">
        <v>12</v>
      </c>
      <c r="L6" s="541" t="s">
        <v>27</v>
      </c>
      <c r="M6" s="542" t="s">
        <v>14</v>
      </c>
      <c r="N6" s="543" t="s">
        <v>28</v>
      </c>
      <c r="O6" s="543" t="s">
        <v>28</v>
      </c>
      <c r="P6" s="543" t="s">
        <v>14</v>
      </c>
      <c r="Q6" s="543" t="s">
        <v>2</v>
      </c>
      <c r="R6" s="543" t="s">
        <v>28</v>
      </c>
      <c r="S6" s="543" t="s">
        <v>2</v>
      </c>
      <c r="T6" s="543" t="s">
        <v>28</v>
      </c>
      <c r="U6" s="544" t="s">
        <v>2</v>
      </c>
    </row>
    <row r="7" spans="1:21" ht="14.4" customHeight="1" x14ac:dyDescent="0.3">
      <c r="A7" s="545">
        <v>29</v>
      </c>
      <c r="B7" s="546" t="s">
        <v>469</v>
      </c>
      <c r="C7" s="546" t="s">
        <v>642</v>
      </c>
      <c r="D7" s="547" t="s">
        <v>1148</v>
      </c>
      <c r="E7" s="548" t="s">
        <v>647</v>
      </c>
      <c r="F7" s="546" t="s">
        <v>639</v>
      </c>
      <c r="G7" s="546" t="s">
        <v>654</v>
      </c>
      <c r="H7" s="546" t="s">
        <v>585</v>
      </c>
      <c r="I7" s="546" t="s">
        <v>655</v>
      </c>
      <c r="J7" s="546" t="s">
        <v>656</v>
      </c>
      <c r="K7" s="546" t="s">
        <v>657</v>
      </c>
      <c r="L7" s="549">
        <v>150.04</v>
      </c>
      <c r="M7" s="549">
        <v>300.08</v>
      </c>
      <c r="N7" s="546">
        <v>2</v>
      </c>
      <c r="O7" s="550">
        <v>2</v>
      </c>
      <c r="P7" s="549">
        <v>150.04</v>
      </c>
      <c r="Q7" s="551">
        <v>0.5</v>
      </c>
      <c r="R7" s="546">
        <v>1</v>
      </c>
      <c r="S7" s="551">
        <v>0.5</v>
      </c>
      <c r="T7" s="550">
        <v>1</v>
      </c>
      <c r="U7" s="125">
        <v>0.5</v>
      </c>
    </row>
    <row r="8" spans="1:21" ht="14.4" customHeight="1" x14ac:dyDescent="0.3">
      <c r="A8" s="552">
        <v>29</v>
      </c>
      <c r="B8" s="553" t="s">
        <v>469</v>
      </c>
      <c r="C8" s="553" t="s">
        <v>642</v>
      </c>
      <c r="D8" s="554" t="s">
        <v>1148</v>
      </c>
      <c r="E8" s="555" t="s">
        <v>647</v>
      </c>
      <c r="F8" s="553" t="s">
        <v>639</v>
      </c>
      <c r="G8" s="553" t="s">
        <v>654</v>
      </c>
      <c r="H8" s="553" t="s">
        <v>585</v>
      </c>
      <c r="I8" s="553" t="s">
        <v>655</v>
      </c>
      <c r="J8" s="553" t="s">
        <v>656</v>
      </c>
      <c r="K8" s="553" t="s">
        <v>657</v>
      </c>
      <c r="L8" s="556">
        <v>154.36000000000001</v>
      </c>
      <c r="M8" s="556">
        <v>617.44000000000005</v>
      </c>
      <c r="N8" s="553">
        <v>4</v>
      </c>
      <c r="O8" s="557">
        <v>3.5</v>
      </c>
      <c r="P8" s="556">
        <v>154.36000000000001</v>
      </c>
      <c r="Q8" s="558">
        <v>0.25</v>
      </c>
      <c r="R8" s="553">
        <v>1</v>
      </c>
      <c r="S8" s="558">
        <v>0.25</v>
      </c>
      <c r="T8" s="557">
        <v>1</v>
      </c>
      <c r="U8" s="559">
        <v>0.2857142857142857</v>
      </c>
    </row>
    <row r="9" spans="1:21" ht="14.4" customHeight="1" x14ac:dyDescent="0.3">
      <c r="A9" s="552">
        <v>29</v>
      </c>
      <c r="B9" s="553" t="s">
        <v>469</v>
      </c>
      <c r="C9" s="553" t="s">
        <v>642</v>
      </c>
      <c r="D9" s="554" t="s">
        <v>1148</v>
      </c>
      <c r="E9" s="555" t="s">
        <v>647</v>
      </c>
      <c r="F9" s="553" t="s">
        <v>639</v>
      </c>
      <c r="G9" s="553" t="s">
        <v>658</v>
      </c>
      <c r="H9" s="553" t="s">
        <v>470</v>
      </c>
      <c r="I9" s="553" t="s">
        <v>659</v>
      </c>
      <c r="J9" s="553" t="s">
        <v>660</v>
      </c>
      <c r="K9" s="553" t="s">
        <v>661</v>
      </c>
      <c r="L9" s="556">
        <v>0</v>
      </c>
      <c r="M9" s="556">
        <v>0</v>
      </c>
      <c r="N9" s="553">
        <v>3</v>
      </c>
      <c r="O9" s="557">
        <v>3</v>
      </c>
      <c r="P9" s="556">
        <v>0</v>
      </c>
      <c r="Q9" s="558"/>
      <c r="R9" s="553">
        <v>3</v>
      </c>
      <c r="S9" s="558">
        <v>1</v>
      </c>
      <c r="T9" s="557">
        <v>3</v>
      </c>
      <c r="U9" s="559">
        <v>1</v>
      </c>
    </row>
    <row r="10" spans="1:21" ht="14.4" customHeight="1" x14ac:dyDescent="0.3">
      <c r="A10" s="552">
        <v>29</v>
      </c>
      <c r="B10" s="553" t="s">
        <v>469</v>
      </c>
      <c r="C10" s="553" t="s">
        <v>642</v>
      </c>
      <c r="D10" s="554" t="s">
        <v>1148</v>
      </c>
      <c r="E10" s="555" t="s">
        <v>647</v>
      </c>
      <c r="F10" s="553" t="s">
        <v>639</v>
      </c>
      <c r="G10" s="553" t="s">
        <v>662</v>
      </c>
      <c r="H10" s="553" t="s">
        <v>470</v>
      </c>
      <c r="I10" s="553" t="s">
        <v>663</v>
      </c>
      <c r="J10" s="553" t="s">
        <v>664</v>
      </c>
      <c r="K10" s="553" t="s">
        <v>665</v>
      </c>
      <c r="L10" s="556">
        <v>156.77000000000001</v>
      </c>
      <c r="M10" s="556">
        <v>313.54000000000002</v>
      </c>
      <c r="N10" s="553">
        <v>2</v>
      </c>
      <c r="O10" s="557">
        <v>1</v>
      </c>
      <c r="P10" s="556">
        <v>313.54000000000002</v>
      </c>
      <c r="Q10" s="558">
        <v>1</v>
      </c>
      <c r="R10" s="553">
        <v>2</v>
      </c>
      <c r="S10" s="558">
        <v>1</v>
      </c>
      <c r="T10" s="557">
        <v>1</v>
      </c>
      <c r="U10" s="559">
        <v>1</v>
      </c>
    </row>
    <row r="11" spans="1:21" ht="14.4" customHeight="1" x14ac:dyDescent="0.3">
      <c r="A11" s="552">
        <v>29</v>
      </c>
      <c r="B11" s="553" t="s">
        <v>469</v>
      </c>
      <c r="C11" s="553" t="s">
        <v>642</v>
      </c>
      <c r="D11" s="554" t="s">
        <v>1148</v>
      </c>
      <c r="E11" s="555" t="s">
        <v>647</v>
      </c>
      <c r="F11" s="553" t="s">
        <v>639</v>
      </c>
      <c r="G11" s="553" t="s">
        <v>666</v>
      </c>
      <c r="H11" s="553" t="s">
        <v>470</v>
      </c>
      <c r="I11" s="553" t="s">
        <v>667</v>
      </c>
      <c r="J11" s="553" t="s">
        <v>668</v>
      </c>
      <c r="K11" s="553"/>
      <c r="L11" s="556">
        <v>0</v>
      </c>
      <c r="M11" s="556">
        <v>0</v>
      </c>
      <c r="N11" s="553">
        <v>1</v>
      </c>
      <c r="O11" s="557">
        <v>1</v>
      </c>
      <c r="P11" s="556"/>
      <c r="Q11" s="558"/>
      <c r="R11" s="553"/>
      <c r="S11" s="558">
        <v>0</v>
      </c>
      <c r="T11" s="557"/>
      <c r="U11" s="559">
        <v>0</v>
      </c>
    </row>
    <row r="12" spans="1:21" ht="14.4" customHeight="1" x14ac:dyDescent="0.3">
      <c r="A12" s="552">
        <v>29</v>
      </c>
      <c r="B12" s="553" t="s">
        <v>469</v>
      </c>
      <c r="C12" s="553" t="s">
        <v>642</v>
      </c>
      <c r="D12" s="554" t="s">
        <v>1148</v>
      </c>
      <c r="E12" s="555" t="s">
        <v>647</v>
      </c>
      <c r="F12" s="553" t="s">
        <v>639</v>
      </c>
      <c r="G12" s="553" t="s">
        <v>669</v>
      </c>
      <c r="H12" s="553" t="s">
        <v>470</v>
      </c>
      <c r="I12" s="553" t="s">
        <v>570</v>
      </c>
      <c r="J12" s="553" t="s">
        <v>571</v>
      </c>
      <c r="K12" s="553" t="s">
        <v>670</v>
      </c>
      <c r="L12" s="556">
        <v>48.09</v>
      </c>
      <c r="M12" s="556">
        <v>817.5300000000002</v>
      </c>
      <c r="N12" s="553">
        <v>17</v>
      </c>
      <c r="O12" s="557">
        <v>17</v>
      </c>
      <c r="P12" s="556">
        <v>673.26000000000022</v>
      </c>
      <c r="Q12" s="558">
        <v>0.82352941176470595</v>
      </c>
      <c r="R12" s="553">
        <v>14</v>
      </c>
      <c r="S12" s="558">
        <v>0.82352941176470584</v>
      </c>
      <c r="T12" s="557">
        <v>14</v>
      </c>
      <c r="U12" s="559">
        <v>0.82352941176470584</v>
      </c>
    </row>
    <row r="13" spans="1:21" ht="14.4" customHeight="1" x14ac:dyDescent="0.3">
      <c r="A13" s="552">
        <v>29</v>
      </c>
      <c r="B13" s="553" t="s">
        <v>469</v>
      </c>
      <c r="C13" s="553" t="s">
        <v>642</v>
      </c>
      <c r="D13" s="554" t="s">
        <v>1148</v>
      </c>
      <c r="E13" s="555" t="s">
        <v>647</v>
      </c>
      <c r="F13" s="553" t="s">
        <v>639</v>
      </c>
      <c r="G13" s="553" t="s">
        <v>671</v>
      </c>
      <c r="H13" s="553" t="s">
        <v>470</v>
      </c>
      <c r="I13" s="553" t="s">
        <v>672</v>
      </c>
      <c r="J13" s="553" t="s">
        <v>673</v>
      </c>
      <c r="K13" s="553" t="s">
        <v>674</v>
      </c>
      <c r="L13" s="556">
        <v>0</v>
      </c>
      <c r="M13" s="556">
        <v>0</v>
      </c>
      <c r="N13" s="553">
        <v>1</v>
      </c>
      <c r="O13" s="557">
        <v>1</v>
      </c>
      <c r="P13" s="556"/>
      <c r="Q13" s="558"/>
      <c r="R13" s="553"/>
      <c r="S13" s="558">
        <v>0</v>
      </c>
      <c r="T13" s="557"/>
      <c r="U13" s="559">
        <v>0</v>
      </c>
    </row>
    <row r="14" spans="1:21" ht="14.4" customHeight="1" x14ac:dyDescent="0.3">
      <c r="A14" s="552">
        <v>29</v>
      </c>
      <c r="B14" s="553" t="s">
        <v>469</v>
      </c>
      <c r="C14" s="553" t="s">
        <v>642</v>
      </c>
      <c r="D14" s="554" t="s">
        <v>1148</v>
      </c>
      <c r="E14" s="555" t="s">
        <v>647</v>
      </c>
      <c r="F14" s="553" t="s">
        <v>639</v>
      </c>
      <c r="G14" s="553" t="s">
        <v>675</v>
      </c>
      <c r="H14" s="553" t="s">
        <v>470</v>
      </c>
      <c r="I14" s="553" t="s">
        <v>676</v>
      </c>
      <c r="J14" s="553" t="s">
        <v>516</v>
      </c>
      <c r="K14" s="553" t="s">
        <v>677</v>
      </c>
      <c r="L14" s="556">
        <v>21.14</v>
      </c>
      <c r="M14" s="556">
        <v>42.28</v>
      </c>
      <c r="N14" s="553">
        <v>2</v>
      </c>
      <c r="O14" s="557">
        <v>2</v>
      </c>
      <c r="P14" s="556">
        <v>21.14</v>
      </c>
      <c r="Q14" s="558">
        <v>0.5</v>
      </c>
      <c r="R14" s="553">
        <v>1</v>
      </c>
      <c r="S14" s="558">
        <v>0.5</v>
      </c>
      <c r="T14" s="557">
        <v>1</v>
      </c>
      <c r="U14" s="559">
        <v>0.5</v>
      </c>
    </row>
    <row r="15" spans="1:21" ht="14.4" customHeight="1" x14ac:dyDescent="0.3">
      <c r="A15" s="552">
        <v>29</v>
      </c>
      <c r="B15" s="553" t="s">
        <v>469</v>
      </c>
      <c r="C15" s="553" t="s">
        <v>642</v>
      </c>
      <c r="D15" s="554" t="s">
        <v>1148</v>
      </c>
      <c r="E15" s="555" t="s">
        <v>647</v>
      </c>
      <c r="F15" s="553" t="s">
        <v>639</v>
      </c>
      <c r="G15" s="553" t="s">
        <v>675</v>
      </c>
      <c r="H15" s="553" t="s">
        <v>470</v>
      </c>
      <c r="I15" s="553" t="s">
        <v>519</v>
      </c>
      <c r="J15" s="553" t="s">
        <v>516</v>
      </c>
      <c r="K15" s="553" t="s">
        <v>678</v>
      </c>
      <c r="L15" s="556">
        <v>105.7</v>
      </c>
      <c r="M15" s="556">
        <v>105.7</v>
      </c>
      <c r="N15" s="553">
        <v>1</v>
      </c>
      <c r="O15" s="557">
        <v>1</v>
      </c>
      <c r="P15" s="556"/>
      <c r="Q15" s="558">
        <v>0</v>
      </c>
      <c r="R15" s="553"/>
      <c r="S15" s="558">
        <v>0</v>
      </c>
      <c r="T15" s="557"/>
      <c r="U15" s="559">
        <v>0</v>
      </c>
    </row>
    <row r="16" spans="1:21" ht="14.4" customHeight="1" x14ac:dyDescent="0.3">
      <c r="A16" s="552">
        <v>29</v>
      </c>
      <c r="B16" s="553" t="s">
        <v>469</v>
      </c>
      <c r="C16" s="553" t="s">
        <v>642</v>
      </c>
      <c r="D16" s="554" t="s">
        <v>1148</v>
      </c>
      <c r="E16" s="555" t="s">
        <v>647</v>
      </c>
      <c r="F16" s="553" t="s">
        <v>639</v>
      </c>
      <c r="G16" s="553" t="s">
        <v>675</v>
      </c>
      <c r="H16" s="553" t="s">
        <v>470</v>
      </c>
      <c r="I16" s="553" t="s">
        <v>515</v>
      </c>
      <c r="J16" s="553" t="s">
        <v>516</v>
      </c>
      <c r="K16" s="553" t="s">
        <v>517</v>
      </c>
      <c r="L16" s="556">
        <v>210.22</v>
      </c>
      <c r="M16" s="556">
        <v>210.22</v>
      </c>
      <c r="N16" s="553">
        <v>1</v>
      </c>
      <c r="O16" s="557">
        <v>1</v>
      </c>
      <c r="P16" s="556">
        <v>210.22</v>
      </c>
      <c r="Q16" s="558">
        <v>1</v>
      </c>
      <c r="R16" s="553">
        <v>1</v>
      </c>
      <c r="S16" s="558">
        <v>1</v>
      </c>
      <c r="T16" s="557">
        <v>1</v>
      </c>
      <c r="U16" s="559">
        <v>1</v>
      </c>
    </row>
    <row r="17" spans="1:21" ht="14.4" customHeight="1" x14ac:dyDescent="0.3">
      <c r="A17" s="552">
        <v>29</v>
      </c>
      <c r="B17" s="553" t="s">
        <v>469</v>
      </c>
      <c r="C17" s="553" t="s">
        <v>642</v>
      </c>
      <c r="D17" s="554" t="s">
        <v>1148</v>
      </c>
      <c r="E17" s="555" t="s">
        <v>647</v>
      </c>
      <c r="F17" s="553" t="s">
        <v>639</v>
      </c>
      <c r="G17" s="553" t="s">
        <v>679</v>
      </c>
      <c r="H17" s="553" t="s">
        <v>470</v>
      </c>
      <c r="I17" s="553" t="s">
        <v>680</v>
      </c>
      <c r="J17" s="553" t="s">
        <v>681</v>
      </c>
      <c r="K17" s="553" t="s">
        <v>682</v>
      </c>
      <c r="L17" s="556">
        <v>147.31</v>
      </c>
      <c r="M17" s="556">
        <v>441.93</v>
      </c>
      <c r="N17" s="553">
        <v>3</v>
      </c>
      <c r="O17" s="557">
        <v>1</v>
      </c>
      <c r="P17" s="556"/>
      <c r="Q17" s="558">
        <v>0</v>
      </c>
      <c r="R17" s="553"/>
      <c r="S17" s="558">
        <v>0</v>
      </c>
      <c r="T17" s="557"/>
      <c r="U17" s="559">
        <v>0</v>
      </c>
    </row>
    <row r="18" spans="1:21" ht="14.4" customHeight="1" x14ac:dyDescent="0.3">
      <c r="A18" s="552">
        <v>29</v>
      </c>
      <c r="B18" s="553" t="s">
        <v>469</v>
      </c>
      <c r="C18" s="553" t="s">
        <v>642</v>
      </c>
      <c r="D18" s="554" t="s">
        <v>1148</v>
      </c>
      <c r="E18" s="555" t="s">
        <v>647</v>
      </c>
      <c r="F18" s="553" t="s">
        <v>639</v>
      </c>
      <c r="G18" s="553" t="s">
        <v>683</v>
      </c>
      <c r="H18" s="553" t="s">
        <v>470</v>
      </c>
      <c r="I18" s="553" t="s">
        <v>574</v>
      </c>
      <c r="J18" s="553" t="s">
        <v>575</v>
      </c>
      <c r="K18" s="553" t="s">
        <v>684</v>
      </c>
      <c r="L18" s="556">
        <v>36.97</v>
      </c>
      <c r="M18" s="556">
        <v>702.43000000000006</v>
      </c>
      <c r="N18" s="553">
        <v>19</v>
      </c>
      <c r="O18" s="557">
        <v>16</v>
      </c>
      <c r="P18" s="556">
        <v>628.49000000000012</v>
      </c>
      <c r="Q18" s="558">
        <v>0.89473684210526327</v>
      </c>
      <c r="R18" s="553">
        <v>17</v>
      </c>
      <c r="S18" s="558">
        <v>0.89473684210526316</v>
      </c>
      <c r="T18" s="557">
        <v>14</v>
      </c>
      <c r="U18" s="559">
        <v>0.875</v>
      </c>
    </row>
    <row r="19" spans="1:21" ht="14.4" customHeight="1" x14ac:dyDescent="0.3">
      <c r="A19" s="552">
        <v>29</v>
      </c>
      <c r="B19" s="553" t="s">
        <v>469</v>
      </c>
      <c r="C19" s="553" t="s">
        <v>642</v>
      </c>
      <c r="D19" s="554" t="s">
        <v>1148</v>
      </c>
      <c r="E19" s="555" t="s">
        <v>647</v>
      </c>
      <c r="F19" s="553" t="s">
        <v>639</v>
      </c>
      <c r="G19" s="553" t="s">
        <v>685</v>
      </c>
      <c r="H19" s="553" t="s">
        <v>470</v>
      </c>
      <c r="I19" s="553" t="s">
        <v>686</v>
      </c>
      <c r="J19" s="553" t="s">
        <v>687</v>
      </c>
      <c r="K19" s="553" t="s">
        <v>688</v>
      </c>
      <c r="L19" s="556">
        <v>0</v>
      </c>
      <c r="M19" s="556">
        <v>0</v>
      </c>
      <c r="N19" s="553">
        <v>1</v>
      </c>
      <c r="O19" s="557">
        <v>0.5</v>
      </c>
      <c r="P19" s="556">
        <v>0</v>
      </c>
      <c r="Q19" s="558"/>
      <c r="R19" s="553">
        <v>1</v>
      </c>
      <c r="S19" s="558">
        <v>1</v>
      </c>
      <c r="T19" s="557">
        <v>0.5</v>
      </c>
      <c r="U19" s="559">
        <v>1</v>
      </c>
    </row>
    <row r="20" spans="1:21" ht="14.4" customHeight="1" x14ac:dyDescent="0.3">
      <c r="A20" s="552">
        <v>29</v>
      </c>
      <c r="B20" s="553" t="s">
        <v>469</v>
      </c>
      <c r="C20" s="553" t="s">
        <v>642</v>
      </c>
      <c r="D20" s="554" t="s">
        <v>1148</v>
      </c>
      <c r="E20" s="555" t="s">
        <v>647</v>
      </c>
      <c r="F20" s="553" t="s">
        <v>639</v>
      </c>
      <c r="G20" s="553" t="s">
        <v>689</v>
      </c>
      <c r="H20" s="553" t="s">
        <v>470</v>
      </c>
      <c r="I20" s="553" t="s">
        <v>578</v>
      </c>
      <c r="J20" s="553" t="s">
        <v>579</v>
      </c>
      <c r="K20" s="553" t="s">
        <v>580</v>
      </c>
      <c r="L20" s="556">
        <v>115.13</v>
      </c>
      <c r="M20" s="556">
        <v>575.65</v>
      </c>
      <c r="N20" s="553">
        <v>5</v>
      </c>
      <c r="O20" s="557">
        <v>5</v>
      </c>
      <c r="P20" s="556">
        <v>460.52</v>
      </c>
      <c r="Q20" s="558">
        <v>0.8</v>
      </c>
      <c r="R20" s="553">
        <v>4</v>
      </c>
      <c r="S20" s="558">
        <v>0.8</v>
      </c>
      <c r="T20" s="557">
        <v>4</v>
      </c>
      <c r="U20" s="559">
        <v>0.8</v>
      </c>
    </row>
    <row r="21" spans="1:21" ht="14.4" customHeight="1" x14ac:dyDescent="0.3">
      <c r="A21" s="552">
        <v>29</v>
      </c>
      <c r="B21" s="553" t="s">
        <v>469</v>
      </c>
      <c r="C21" s="553" t="s">
        <v>642</v>
      </c>
      <c r="D21" s="554" t="s">
        <v>1148</v>
      </c>
      <c r="E21" s="555" t="s">
        <v>647</v>
      </c>
      <c r="F21" s="553" t="s">
        <v>639</v>
      </c>
      <c r="G21" s="553" t="s">
        <v>690</v>
      </c>
      <c r="H21" s="553" t="s">
        <v>585</v>
      </c>
      <c r="I21" s="553" t="s">
        <v>691</v>
      </c>
      <c r="J21" s="553" t="s">
        <v>692</v>
      </c>
      <c r="K21" s="553" t="s">
        <v>693</v>
      </c>
      <c r="L21" s="556">
        <v>407.55</v>
      </c>
      <c r="M21" s="556">
        <v>407.55</v>
      </c>
      <c r="N21" s="553">
        <v>1</v>
      </c>
      <c r="O21" s="557">
        <v>1</v>
      </c>
      <c r="P21" s="556">
        <v>407.55</v>
      </c>
      <c r="Q21" s="558">
        <v>1</v>
      </c>
      <c r="R21" s="553">
        <v>1</v>
      </c>
      <c r="S21" s="558">
        <v>1</v>
      </c>
      <c r="T21" s="557">
        <v>1</v>
      </c>
      <c r="U21" s="559">
        <v>1</v>
      </c>
    </row>
    <row r="22" spans="1:21" ht="14.4" customHeight="1" x14ac:dyDescent="0.3">
      <c r="A22" s="552">
        <v>29</v>
      </c>
      <c r="B22" s="553" t="s">
        <v>469</v>
      </c>
      <c r="C22" s="553" t="s">
        <v>642</v>
      </c>
      <c r="D22" s="554" t="s">
        <v>1148</v>
      </c>
      <c r="E22" s="555" t="s">
        <v>647</v>
      </c>
      <c r="F22" s="553" t="s">
        <v>639</v>
      </c>
      <c r="G22" s="553" t="s">
        <v>690</v>
      </c>
      <c r="H22" s="553" t="s">
        <v>585</v>
      </c>
      <c r="I22" s="553" t="s">
        <v>694</v>
      </c>
      <c r="J22" s="553" t="s">
        <v>692</v>
      </c>
      <c r="K22" s="553" t="s">
        <v>695</v>
      </c>
      <c r="L22" s="556">
        <v>543.39</v>
      </c>
      <c r="M22" s="556">
        <v>3260.34</v>
      </c>
      <c r="N22" s="553">
        <v>6</v>
      </c>
      <c r="O22" s="557">
        <v>6</v>
      </c>
      <c r="P22" s="556">
        <v>1630.17</v>
      </c>
      <c r="Q22" s="558">
        <v>0.5</v>
      </c>
      <c r="R22" s="553">
        <v>3</v>
      </c>
      <c r="S22" s="558">
        <v>0.5</v>
      </c>
      <c r="T22" s="557">
        <v>3</v>
      </c>
      <c r="U22" s="559">
        <v>0.5</v>
      </c>
    </row>
    <row r="23" spans="1:21" ht="14.4" customHeight="1" x14ac:dyDescent="0.3">
      <c r="A23" s="552">
        <v>29</v>
      </c>
      <c r="B23" s="553" t="s">
        <v>469</v>
      </c>
      <c r="C23" s="553" t="s">
        <v>642</v>
      </c>
      <c r="D23" s="554" t="s">
        <v>1148</v>
      </c>
      <c r="E23" s="555" t="s">
        <v>647</v>
      </c>
      <c r="F23" s="553" t="s">
        <v>639</v>
      </c>
      <c r="G23" s="553" t="s">
        <v>696</v>
      </c>
      <c r="H23" s="553" t="s">
        <v>470</v>
      </c>
      <c r="I23" s="553" t="s">
        <v>697</v>
      </c>
      <c r="J23" s="553" t="s">
        <v>698</v>
      </c>
      <c r="K23" s="553" t="s">
        <v>699</v>
      </c>
      <c r="L23" s="556">
        <v>134.47999999999999</v>
      </c>
      <c r="M23" s="556">
        <v>268.95999999999998</v>
      </c>
      <c r="N23" s="553">
        <v>2</v>
      </c>
      <c r="O23" s="557">
        <v>2</v>
      </c>
      <c r="P23" s="556"/>
      <c r="Q23" s="558">
        <v>0</v>
      </c>
      <c r="R23" s="553"/>
      <c r="S23" s="558">
        <v>0</v>
      </c>
      <c r="T23" s="557"/>
      <c r="U23" s="559">
        <v>0</v>
      </c>
    </row>
    <row r="24" spans="1:21" ht="14.4" customHeight="1" x14ac:dyDescent="0.3">
      <c r="A24" s="552">
        <v>29</v>
      </c>
      <c r="B24" s="553" t="s">
        <v>469</v>
      </c>
      <c r="C24" s="553" t="s">
        <v>642</v>
      </c>
      <c r="D24" s="554" t="s">
        <v>1148</v>
      </c>
      <c r="E24" s="555" t="s">
        <v>647</v>
      </c>
      <c r="F24" s="553" t="s">
        <v>639</v>
      </c>
      <c r="G24" s="553" t="s">
        <v>700</v>
      </c>
      <c r="H24" s="553" t="s">
        <v>585</v>
      </c>
      <c r="I24" s="553" t="s">
        <v>701</v>
      </c>
      <c r="J24" s="553" t="s">
        <v>702</v>
      </c>
      <c r="K24" s="553" t="s">
        <v>703</v>
      </c>
      <c r="L24" s="556">
        <v>48.42</v>
      </c>
      <c r="M24" s="556">
        <v>145.26</v>
      </c>
      <c r="N24" s="553">
        <v>3</v>
      </c>
      <c r="O24" s="557">
        <v>3</v>
      </c>
      <c r="P24" s="556">
        <v>48.42</v>
      </c>
      <c r="Q24" s="558">
        <v>0.33333333333333337</v>
      </c>
      <c r="R24" s="553">
        <v>1</v>
      </c>
      <c r="S24" s="558">
        <v>0.33333333333333331</v>
      </c>
      <c r="T24" s="557">
        <v>1</v>
      </c>
      <c r="U24" s="559">
        <v>0.33333333333333331</v>
      </c>
    </row>
    <row r="25" spans="1:21" ht="14.4" customHeight="1" x14ac:dyDescent="0.3">
      <c r="A25" s="552">
        <v>29</v>
      </c>
      <c r="B25" s="553" t="s">
        <v>469</v>
      </c>
      <c r="C25" s="553" t="s">
        <v>642</v>
      </c>
      <c r="D25" s="554" t="s">
        <v>1148</v>
      </c>
      <c r="E25" s="555" t="s">
        <v>647</v>
      </c>
      <c r="F25" s="553" t="s">
        <v>639</v>
      </c>
      <c r="G25" s="553" t="s">
        <v>700</v>
      </c>
      <c r="H25" s="553" t="s">
        <v>585</v>
      </c>
      <c r="I25" s="553" t="s">
        <v>704</v>
      </c>
      <c r="J25" s="553" t="s">
        <v>702</v>
      </c>
      <c r="K25" s="553" t="s">
        <v>705</v>
      </c>
      <c r="L25" s="556">
        <v>0</v>
      </c>
      <c r="M25" s="556">
        <v>0</v>
      </c>
      <c r="N25" s="553">
        <v>1</v>
      </c>
      <c r="O25" s="557">
        <v>1</v>
      </c>
      <c r="P25" s="556">
        <v>0</v>
      </c>
      <c r="Q25" s="558"/>
      <c r="R25" s="553">
        <v>1</v>
      </c>
      <c r="S25" s="558">
        <v>1</v>
      </c>
      <c r="T25" s="557">
        <v>1</v>
      </c>
      <c r="U25" s="559">
        <v>1</v>
      </c>
    </row>
    <row r="26" spans="1:21" ht="14.4" customHeight="1" x14ac:dyDescent="0.3">
      <c r="A26" s="552">
        <v>29</v>
      </c>
      <c r="B26" s="553" t="s">
        <v>469</v>
      </c>
      <c r="C26" s="553" t="s">
        <v>642</v>
      </c>
      <c r="D26" s="554" t="s">
        <v>1148</v>
      </c>
      <c r="E26" s="555" t="s">
        <v>647</v>
      </c>
      <c r="F26" s="553" t="s">
        <v>639</v>
      </c>
      <c r="G26" s="553" t="s">
        <v>706</v>
      </c>
      <c r="H26" s="553" t="s">
        <v>470</v>
      </c>
      <c r="I26" s="553" t="s">
        <v>707</v>
      </c>
      <c r="J26" s="553" t="s">
        <v>708</v>
      </c>
      <c r="K26" s="553" t="s">
        <v>709</v>
      </c>
      <c r="L26" s="556">
        <v>27.49</v>
      </c>
      <c r="M26" s="556">
        <v>27.49</v>
      </c>
      <c r="N26" s="553">
        <v>1</v>
      </c>
      <c r="O26" s="557">
        <v>1</v>
      </c>
      <c r="P26" s="556"/>
      <c r="Q26" s="558">
        <v>0</v>
      </c>
      <c r="R26" s="553"/>
      <c r="S26" s="558">
        <v>0</v>
      </c>
      <c r="T26" s="557"/>
      <c r="U26" s="559">
        <v>0</v>
      </c>
    </row>
    <row r="27" spans="1:21" ht="14.4" customHeight="1" x14ac:dyDescent="0.3">
      <c r="A27" s="552">
        <v>29</v>
      </c>
      <c r="B27" s="553" t="s">
        <v>469</v>
      </c>
      <c r="C27" s="553" t="s">
        <v>642</v>
      </c>
      <c r="D27" s="554" t="s">
        <v>1148</v>
      </c>
      <c r="E27" s="555" t="s">
        <v>647</v>
      </c>
      <c r="F27" s="553" t="s">
        <v>639</v>
      </c>
      <c r="G27" s="553" t="s">
        <v>710</v>
      </c>
      <c r="H27" s="553" t="s">
        <v>470</v>
      </c>
      <c r="I27" s="553" t="s">
        <v>711</v>
      </c>
      <c r="J27" s="553" t="s">
        <v>712</v>
      </c>
      <c r="K27" s="553" t="s">
        <v>713</v>
      </c>
      <c r="L27" s="556">
        <v>130.85</v>
      </c>
      <c r="M27" s="556">
        <v>130.85</v>
      </c>
      <c r="N27" s="553">
        <v>1</v>
      </c>
      <c r="O27" s="557">
        <v>1</v>
      </c>
      <c r="P27" s="556"/>
      <c r="Q27" s="558">
        <v>0</v>
      </c>
      <c r="R27" s="553"/>
      <c r="S27" s="558">
        <v>0</v>
      </c>
      <c r="T27" s="557"/>
      <c r="U27" s="559">
        <v>0</v>
      </c>
    </row>
    <row r="28" spans="1:21" ht="14.4" customHeight="1" x14ac:dyDescent="0.3">
      <c r="A28" s="552">
        <v>29</v>
      </c>
      <c r="B28" s="553" t="s">
        <v>469</v>
      </c>
      <c r="C28" s="553" t="s">
        <v>642</v>
      </c>
      <c r="D28" s="554" t="s">
        <v>1148</v>
      </c>
      <c r="E28" s="555" t="s">
        <v>647</v>
      </c>
      <c r="F28" s="553" t="s">
        <v>639</v>
      </c>
      <c r="G28" s="553" t="s">
        <v>710</v>
      </c>
      <c r="H28" s="553" t="s">
        <v>470</v>
      </c>
      <c r="I28" s="553" t="s">
        <v>714</v>
      </c>
      <c r="J28" s="553" t="s">
        <v>712</v>
      </c>
      <c r="K28" s="553" t="s">
        <v>713</v>
      </c>
      <c r="L28" s="556">
        <v>130.85</v>
      </c>
      <c r="M28" s="556">
        <v>130.85</v>
      </c>
      <c r="N28" s="553">
        <v>1</v>
      </c>
      <c r="O28" s="557">
        <v>1</v>
      </c>
      <c r="P28" s="556"/>
      <c r="Q28" s="558">
        <v>0</v>
      </c>
      <c r="R28" s="553"/>
      <c r="S28" s="558">
        <v>0</v>
      </c>
      <c r="T28" s="557"/>
      <c r="U28" s="559">
        <v>0</v>
      </c>
    </row>
    <row r="29" spans="1:21" ht="14.4" customHeight="1" x14ac:dyDescent="0.3">
      <c r="A29" s="552">
        <v>29</v>
      </c>
      <c r="B29" s="553" t="s">
        <v>469</v>
      </c>
      <c r="C29" s="553" t="s">
        <v>642</v>
      </c>
      <c r="D29" s="554" t="s">
        <v>1148</v>
      </c>
      <c r="E29" s="555" t="s">
        <v>647</v>
      </c>
      <c r="F29" s="553" t="s">
        <v>639</v>
      </c>
      <c r="G29" s="553" t="s">
        <v>715</v>
      </c>
      <c r="H29" s="553" t="s">
        <v>470</v>
      </c>
      <c r="I29" s="553" t="s">
        <v>716</v>
      </c>
      <c r="J29" s="553" t="s">
        <v>717</v>
      </c>
      <c r="K29" s="553" t="s">
        <v>718</v>
      </c>
      <c r="L29" s="556">
        <v>0</v>
      </c>
      <c r="M29" s="556">
        <v>0</v>
      </c>
      <c r="N29" s="553">
        <v>3</v>
      </c>
      <c r="O29" s="557">
        <v>3</v>
      </c>
      <c r="P29" s="556">
        <v>0</v>
      </c>
      <c r="Q29" s="558"/>
      <c r="R29" s="553">
        <v>1</v>
      </c>
      <c r="S29" s="558">
        <v>0.33333333333333331</v>
      </c>
      <c r="T29" s="557">
        <v>1</v>
      </c>
      <c r="U29" s="559">
        <v>0.33333333333333331</v>
      </c>
    </row>
    <row r="30" spans="1:21" ht="14.4" customHeight="1" x14ac:dyDescent="0.3">
      <c r="A30" s="552">
        <v>29</v>
      </c>
      <c r="B30" s="553" t="s">
        <v>469</v>
      </c>
      <c r="C30" s="553" t="s">
        <v>642</v>
      </c>
      <c r="D30" s="554" t="s">
        <v>1148</v>
      </c>
      <c r="E30" s="555" t="s">
        <v>647</v>
      </c>
      <c r="F30" s="553" t="s">
        <v>639</v>
      </c>
      <c r="G30" s="553" t="s">
        <v>719</v>
      </c>
      <c r="H30" s="553" t="s">
        <v>470</v>
      </c>
      <c r="I30" s="553" t="s">
        <v>620</v>
      </c>
      <c r="J30" s="553" t="s">
        <v>583</v>
      </c>
      <c r="K30" s="553" t="s">
        <v>720</v>
      </c>
      <c r="L30" s="556">
        <v>96.42</v>
      </c>
      <c r="M30" s="556">
        <v>192.84</v>
      </c>
      <c r="N30" s="553">
        <v>2</v>
      </c>
      <c r="O30" s="557">
        <v>1</v>
      </c>
      <c r="P30" s="556">
        <v>192.84</v>
      </c>
      <c r="Q30" s="558">
        <v>1</v>
      </c>
      <c r="R30" s="553">
        <v>2</v>
      </c>
      <c r="S30" s="558">
        <v>1</v>
      </c>
      <c r="T30" s="557">
        <v>1</v>
      </c>
      <c r="U30" s="559">
        <v>1</v>
      </c>
    </row>
    <row r="31" spans="1:21" ht="14.4" customHeight="1" x14ac:dyDescent="0.3">
      <c r="A31" s="552">
        <v>29</v>
      </c>
      <c r="B31" s="553" t="s">
        <v>469</v>
      </c>
      <c r="C31" s="553" t="s">
        <v>642</v>
      </c>
      <c r="D31" s="554" t="s">
        <v>1148</v>
      </c>
      <c r="E31" s="555" t="s">
        <v>647</v>
      </c>
      <c r="F31" s="553" t="s">
        <v>639</v>
      </c>
      <c r="G31" s="553" t="s">
        <v>719</v>
      </c>
      <c r="H31" s="553" t="s">
        <v>470</v>
      </c>
      <c r="I31" s="553" t="s">
        <v>582</v>
      </c>
      <c r="J31" s="553" t="s">
        <v>583</v>
      </c>
      <c r="K31" s="553" t="s">
        <v>721</v>
      </c>
      <c r="L31" s="556">
        <v>289.27</v>
      </c>
      <c r="M31" s="556">
        <v>3760.5099999999998</v>
      </c>
      <c r="N31" s="553">
        <v>13</v>
      </c>
      <c r="O31" s="557">
        <v>8</v>
      </c>
      <c r="P31" s="556">
        <v>2314.16</v>
      </c>
      <c r="Q31" s="558">
        <v>0.61538461538461542</v>
      </c>
      <c r="R31" s="553">
        <v>8</v>
      </c>
      <c r="S31" s="558">
        <v>0.61538461538461542</v>
      </c>
      <c r="T31" s="557">
        <v>4</v>
      </c>
      <c r="U31" s="559">
        <v>0.5</v>
      </c>
    </row>
    <row r="32" spans="1:21" ht="14.4" customHeight="1" x14ac:dyDescent="0.3">
      <c r="A32" s="552">
        <v>29</v>
      </c>
      <c r="B32" s="553" t="s">
        <v>469</v>
      </c>
      <c r="C32" s="553" t="s">
        <v>642</v>
      </c>
      <c r="D32" s="554" t="s">
        <v>1148</v>
      </c>
      <c r="E32" s="555" t="s">
        <v>647</v>
      </c>
      <c r="F32" s="553" t="s">
        <v>639</v>
      </c>
      <c r="G32" s="553" t="s">
        <v>722</v>
      </c>
      <c r="H32" s="553" t="s">
        <v>585</v>
      </c>
      <c r="I32" s="553" t="s">
        <v>723</v>
      </c>
      <c r="J32" s="553" t="s">
        <v>724</v>
      </c>
      <c r="K32" s="553" t="s">
        <v>725</v>
      </c>
      <c r="L32" s="556">
        <v>366.53</v>
      </c>
      <c r="M32" s="556">
        <v>366.53</v>
      </c>
      <c r="N32" s="553">
        <v>1</v>
      </c>
      <c r="O32" s="557">
        <v>0.5</v>
      </c>
      <c r="P32" s="556">
        <v>366.53</v>
      </c>
      <c r="Q32" s="558">
        <v>1</v>
      </c>
      <c r="R32" s="553">
        <v>1</v>
      </c>
      <c r="S32" s="558">
        <v>1</v>
      </c>
      <c r="T32" s="557">
        <v>0.5</v>
      </c>
      <c r="U32" s="559">
        <v>1</v>
      </c>
    </row>
    <row r="33" spans="1:21" ht="14.4" customHeight="1" x14ac:dyDescent="0.3">
      <c r="A33" s="552">
        <v>29</v>
      </c>
      <c r="B33" s="553" t="s">
        <v>469</v>
      </c>
      <c r="C33" s="553" t="s">
        <v>642</v>
      </c>
      <c r="D33" s="554" t="s">
        <v>1148</v>
      </c>
      <c r="E33" s="555" t="s">
        <v>647</v>
      </c>
      <c r="F33" s="553" t="s">
        <v>639</v>
      </c>
      <c r="G33" s="553" t="s">
        <v>726</v>
      </c>
      <c r="H33" s="553" t="s">
        <v>470</v>
      </c>
      <c r="I33" s="553" t="s">
        <v>727</v>
      </c>
      <c r="J33" s="553" t="s">
        <v>728</v>
      </c>
      <c r="K33" s="553" t="s">
        <v>729</v>
      </c>
      <c r="L33" s="556">
        <v>50.14</v>
      </c>
      <c r="M33" s="556">
        <v>50.14</v>
      </c>
      <c r="N33" s="553">
        <v>1</v>
      </c>
      <c r="O33" s="557">
        <v>0.5</v>
      </c>
      <c r="P33" s="556"/>
      <c r="Q33" s="558">
        <v>0</v>
      </c>
      <c r="R33" s="553"/>
      <c r="S33" s="558">
        <v>0</v>
      </c>
      <c r="T33" s="557"/>
      <c r="U33" s="559">
        <v>0</v>
      </c>
    </row>
    <row r="34" spans="1:21" ht="14.4" customHeight="1" x14ac:dyDescent="0.3">
      <c r="A34" s="552">
        <v>29</v>
      </c>
      <c r="B34" s="553" t="s">
        <v>469</v>
      </c>
      <c r="C34" s="553" t="s">
        <v>642</v>
      </c>
      <c r="D34" s="554" t="s">
        <v>1148</v>
      </c>
      <c r="E34" s="555" t="s">
        <v>647</v>
      </c>
      <c r="F34" s="553" t="s">
        <v>639</v>
      </c>
      <c r="G34" s="553" t="s">
        <v>726</v>
      </c>
      <c r="H34" s="553" t="s">
        <v>470</v>
      </c>
      <c r="I34" s="553" t="s">
        <v>730</v>
      </c>
      <c r="J34" s="553" t="s">
        <v>728</v>
      </c>
      <c r="K34" s="553" t="s">
        <v>731</v>
      </c>
      <c r="L34" s="556">
        <v>75.22</v>
      </c>
      <c r="M34" s="556">
        <v>75.22</v>
      </c>
      <c r="N34" s="553">
        <v>1</v>
      </c>
      <c r="O34" s="557">
        <v>1</v>
      </c>
      <c r="P34" s="556">
        <v>75.22</v>
      </c>
      <c r="Q34" s="558">
        <v>1</v>
      </c>
      <c r="R34" s="553">
        <v>1</v>
      </c>
      <c r="S34" s="558">
        <v>1</v>
      </c>
      <c r="T34" s="557">
        <v>1</v>
      </c>
      <c r="U34" s="559">
        <v>1</v>
      </c>
    </row>
    <row r="35" spans="1:21" ht="14.4" customHeight="1" x14ac:dyDescent="0.3">
      <c r="A35" s="552">
        <v>29</v>
      </c>
      <c r="B35" s="553" t="s">
        <v>469</v>
      </c>
      <c r="C35" s="553" t="s">
        <v>642</v>
      </c>
      <c r="D35" s="554" t="s">
        <v>1148</v>
      </c>
      <c r="E35" s="555" t="s">
        <v>647</v>
      </c>
      <c r="F35" s="553" t="s">
        <v>639</v>
      </c>
      <c r="G35" s="553" t="s">
        <v>732</v>
      </c>
      <c r="H35" s="553" t="s">
        <v>470</v>
      </c>
      <c r="I35" s="553" t="s">
        <v>733</v>
      </c>
      <c r="J35" s="553" t="s">
        <v>734</v>
      </c>
      <c r="K35" s="553" t="s">
        <v>735</v>
      </c>
      <c r="L35" s="556">
        <v>0</v>
      </c>
      <c r="M35" s="556">
        <v>0</v>
      </c>
      <c r="N35" s="553">
        <v>1</v>
      </c>
      <c r="O35" s="557">
        <v>1</v>
      </c>
      <c r="P35" s="556">
        <v>0</v>
      </c>
      <c r="Q35" s="558"/>
      <c r="R35" s="553">
        <v>1</v>
      </c>
      <c r="S35" s="558">
        <v>1</v>
      </c>
      <c r="T35" s="557">
        <v>1</v>
      </c>
      <c r="U35" s="559">
        <v>1</v>
      </c>
    </row>
    <row r="36" spans="1:21" ht="14.4" customHeight="1" x14ac:dyDescent="0.3">
      <c r="A36" s="552">
        <v>29</v>
      </c>
      <c r="B36" s="553" t="s">
        <v>469</v>
      </c>
      <c r="C36" s="553" t="s">
        <v>642</v>
      </c>
      <c r="D36" s="554" t="s">
        <v>1148</v>
      </c>
      <c r="E36" s="555" t="s">
        <v>647</v>
      </c>
      <c r="F36" s="553" t="s">
        <v>641</v>
      </c>
      <c r="G36" s="553" t="s">
        <v>736</v>
      </c>
      <c r="H36" s="553" t="s">
        <v>470</v>
      </c>
      <c r="I36" s="553" t="s">
        <v>737</v>
      </c>
      <c r="J36" s="553" t="s">
        <v>738</v>
      </c>
      <c r="K36" s="553" t="s">
        <v>739</v>
      </c>
      <c r="L36" s="556">
        <v>133.69</v>
      </c>
      <c r="M36" s="556">
        <v>133.69</v>
      </c>
      <c r="N36" s="553">
        <v>1</v>
      </c>
      <c r="O36" s="557">
        <v>1</v>
      </c>
      <c r="P36" s="556">
        <v>133.69</v>
      </c>
      <c r="Q36" s="558">
        <v>1</v>
      </c>
      <c r="R36" s="553">
        <v>1</v>
      </c>
      <c r="S36" s="558">
        <v>1</v>
      </c>
      <c r="T36" s="557">
        <v>1</v>
      </c>
      <c r="U36" s="559">
        <v>1</v>
      </c>
    </row>
    <row r="37" spans="1:21" ht="14.4" customHeight="1" x14ac:dyDescent="0.3">
      <c r="A37" s="552">
        <v>29</v>
      </c>
      <c r="B37" s="553" t="s">
        <v>469</v>
      </c>
      <c r="C37" s="553" t="s">
        <v>642</v>
      </c>
      <c r="D37" s="554" t="s">
        <v>1148</v>
      </c>
      <c r="E37" s="555" t="s">
        <v>647</v>
      </c>
      <c r="F37" s="553" t="s">
        <v>641</v>
      </c>
      <c r="G37" s="553" t="s">
        <v>736</v>
      </c>
      <c r="H37" s="553" t="s">
        <v>470</v>
      </c>
      <c r="I37" s="553" t="s">
        <v>740</v>
      </c>
      <c r="J37" s="553" t="s">
        <v>738</v>
      </c>
      <c r="K37" s="553" t="s">
        <v>741</v>
      </c>
      <c r="L37" s="556">
        <v>175.15</v>
      </c>
      <c r="M37" s="556">
        <v>350.3</v>
      </c>
      <c r="N37" s="553">
        <v>2</v>
      </c>
      <c r="O37" s="557">
        <v>2</v>
      </c>
      <c r="P37" s="556">
        <v>350.3</v>
      </c>
      <c r="Q37" s="558">
        <v>1</v>
      </c>
      <c r="R37" s="553">
        <v>2</v>
      </c>
      <c r="S37" s="558">
        <v>1</v>
      </c>
      <c r="T37" s="557">
        <v>2</v>
      </c>
      <c r="U37" s="559">
        <v>1</v>
      </c>
    </row>
    <row r="38" spans="1:21" ht="14.4" customHeight="1" x14ac:dyDescent="0.3">
      <c r="A38" s="552">
        <v>29</v>
      </c>
      <c r="B38" s="553" t="s">
        <v>469</v>
      </c>
      <c r="C38" s="553" t="s">
        <v>642</v>
      </c>
      <c r="D38" s="554" t="s">
        <v>1148</v>
      </c>
      <c r="E38" s="555" t="s">
        <v>647</v>
      </c>
      <c r="F38" s="553" t="s">
        <v>641</v>
      </c>
      <c r="G38" s="553" t="s">
        <v>736</v>
      </c>
      <c r="H38" s="553" t="s">
        <v>470</v>
      </c>
      <c r="I38" s="553" t="s">
        <v>742</v>
      </c>
      <c r="J38" s="553" t="s">
        <v>738</v>
      </c>
      <c r="K38" s="553" t="s">
        <v>743</v>
      </c>
      <c r="L38" s="556">
        <v>200</v>
      </c>
      <c r="M38" s="556">
        <v>10400</v>
      </c>
      <c r="N38" s="553">
        <v>52</v>
      </c>
      <c r="O38" s="557">
        <v>25</v>
      </c>
      <c r="P38" s="556">
        <v>7400</v>
      </c>
      <c r="Q38" s="558">
        <v>0.71153846153846156</v>
      </c>
      <c r="R38" s="553">
        <v>37</v>
      </c>
      <c r="S38" s="558">
        <v>0.71153846153846156</v>
      </c>
      <c r="T38" s="557">
        <v>18</v>
      </c>
      <c r="U38" s="559">
        <v>0.72</v>
      </c>
    </row>
    <row r="39" spans="1:21" ht="14.4" customHeight="1" x14ac:dyDescent="0.3">
      <c r="A39" s="552">
        <v>29</v>
      </c>
      <c r="B39" s="553" t="s">
        <v>469</v>
      </c>
      <c r="C39" s="553" t="s">
        <v>642</v>
      </c>
      <c r="D39" s="554" t="s">
        <v>1148</v>
      </c>
      <c r="E39" s="555" t="s">
        <v>647</v>
      </c>
      <c r="F39" s="553" t="s">
        <v>641</v>
      </c>
      <c r="G39" s="553" t="s">
        <v>736</v>
      </c>
      <c r="H39" s="553" t="s">
        <v>470</v>
      </c>
      <c r="I39" s="553" t="s">
        <v>744</v>
      </c>
      <c r="J39" s="553" t="s">
        <v>745</v>
      </c>
      <c r="K39" s="553" t="s">
        <v>746</v>
      </c>
      <c r="L39" s="556">
        <v>5.39</v>
      </c>
      <c r="M39" s="556">
        <v>107.8</v>
      </c>
      <c r="N39" s="553">
        <v>20</v>
      </c>
      <c r="O39" s="557">
        <v>1</v>
      </c>
      <c r="P39" s="556">
        <v>107.8</v>
      </c>
      <c r="Q39" s="558">
        <v>1</v>
      </c>
      <c r="R39" s="553">
        <v>20</v>
      </c>
      <c r="S39" s="558">
        <v>1</v>
      </c>
      <c r="T39" s="557">
        <v>1</v>
      </c>
      <c r="U39" s="559">
        <v>1</v>
      </c>
    </row>
    <row r="40" spans="1:21" ht="14.4" customHeight="1" x14ac:dyDescent="0.3">
      <c r="A40" s="552">
        <v>29</v>
      </c>
      <c r="B40" s="553" t="s">
        <v>469</v>
      </c>
      <c r="C40" s="553" t="s">
        <v>642</v>
      </c>
      <c r="D40" s="554" t="s">
        <v>1148</v>
      </c>
      <c r="E40" s="555" t="s">
        <v>647</v>
      </c>
      <c r="F40" s="553" t="s">
        <v>641</v>
      </c>
      <c r="G40" s="553" t="s">
        <v>736</v>
      </c>
      <c r="H40" s="553" t="s">
        <v>470</v>
      </c>
      <c r="I40" s="553" t="s">
        <v>747</v>
      </c>
      <c r="J40" s="553" t="s">
        <v>748</v>
      </c>
      <c r="K40" s="553" t="s">
        <v>749</v>
      </c>
      <c r="L40" s="556">
        <v>156</v>
      </c>
      <c r="M40" s="556">
        <v>156</v>
      </c>
      <c r="N40" s="553">
        <v>1</v>
      </c>
      <c r="O40" s="557">
        <v>1</v>
      </c>
      <c r="P40" s="556">
        <v>156</v>
      </c>
      <c r="Q40" s="558">
        <v>1</v>
      </c>
      <c r="R40" s="553">
        <v>1</v>
      </c>
      <c r="S40" s="558">
        <v>1</v>
      </c>
      <c r="T40" s="557">
        <v>1</v>
      </c>
      <c r="U40" s="559">
        <v>1</v>
      </c>
    </row>
    <row r="41" spans="1:21" ht="14.4" customHeight="1" x14ac:dyDescent="0.3">
      <c r="A41" s="552">
        <v>29</v>
      </c>
      <c r="B41" s="553" t="s">
        <v>469</v>
      </c>
      <c r="C41" s="553" t="s">
        <v>642</v>
      </c>
      <c r="D41" s="554" t="s">
        <v>1148</v>
      </c>
      <c r="E41" s="555" t="s">
        <v>647</v>
      </c>
      <c r="F41" s="553" t="s">
        <v>641</v>
      </c>
      <c r="G41" s="553" t="s">
        <v>736</v>
      </c>
      <c r="H41" s="553" t="s">
        <v>470</v>
      </c>
      <c r="I41" s="553" t="s">
        <v>750</v>
      </c>
      <c r="J41" s="553" t="s">
        <v>751</v>
      </c>
      <c r="K41" s="553" t="s">
        <v>752</v>
      </c>
      <c r="L41" s="556">
        <v>1021.02</v>
      </c>
      <c r="M41" s="556">
        <v>2042.04</v>
      </c>
      <c r="N41" s="553">
        <v>2</v>
      </c>
      <c r="O41" s="557">
        <v>1</v>
      </c>
      <c r="P41" s="556">
        <v>2042.04</v>
      </c>
      <c r="Q41" s="558">
        <v>1</v>
      </c>
      <c r="R41" s="553">
        <v>2</v>
      </c>
      <c r="S41" s="558">
        <v>1</v>
      </c>
      <c r="T41" s="557">
        <v>1</v>
      </c>
      <c r="U41" s="559">
        <v>1</v>
      </c>
    </row>
    <row r="42" spans="1:21" ht="14.4" customHeight="1" x14ac:dyDescent="0.3">
      <c r="A42" s="552">
        <v>29</v>
      </c>
      <c r="B42" s="553" t="s">
        <v>469</v>
      </c>
      <c r="C42" s="553" t="s">
        <v>642</v>
      </c>
      <c r="D42" s="554" t="s">
        <v>1148</v>
      </c>
      <c r="E42" s="555" t="s">
        <v>647</v>
      </c>
      <c r="F42" s="553" t="s">
        <v>641</v>
      </c>
      <c r="G42" s="553" t="s">
        <v>736</v>
      </c>
      <c r="H42" s="553" t="s">
        <v>470</v>
      </c>
      <c r="I42" s="553" t="s">
        <v>753</v>
      </c>
      <c r="J42" s="553" t="s">
        <v>751</v>
      </c>
      <c r="K42" s="553" t="s">
        <v>754</v>
      </c>
      <c r="L42" s="556">
        <v>1333.95</v>
      </c>
      <c r="M42" s="556">
        <v>4001.8500000000004</v>
      </c>
      <c r="N42" s="553">
        <v>3</v>
      </c>
      <c r="O42" s="557">
        <v>1</v>
      </c>
      <c r="P42" s="556">
        <v>4001.8500000000004</v>
      </c>
      <c r="Q42" s="558">
        <v>1</v>
      </c>
      <c r="R42" s="553">
        <v>3</v>
      </c>
      <c r="S42" s="558">
        <v>1</v>
      </c>
      <c r="T42" s="557">
        <v>1</v>
      </c>
      <c r="U42" s="559">
        <v>1</v>
      </c>
    </row>
    <row r="43" spans="1:21" ht="14.4" customHeight="1" x14ac:dyDescent="0.3">
      <c r="A43" s="552">
        <v>29</v>
      </c>
      <c r="B43" s="553" t="s">
        <v>469</v>
      </c>
      <c r="C43" s="553" t="s">
        <v>642</v>
      </c>
      <c r="D43" s="554" t="s">
        <v>1148</v>
      </c>
      <c r="E43" s="555" t="s">
        <v>647</v>
      </c>
      <c r="F43" s="553" t="s">
        <v>641</v>
      </c>
      <c r="G43" s="553" t="s">
        <v>736</v>
      </c>
      <c r="H43" s="553" t="s">
        <v>470</v>
      </c>
      <c r="I43" s="553" t="s">
        <v>753</v>
      </c>
      <c r="J43" s="553" t="s">
        <v>751</v>
      </c>
      <c r="K43" s="553" t="s">
        <v>755</v>
      </c>
      <c r="L43" s="556">
        <v>1333.95</v>
      </c>
      <c r="M43" s="556">
        <v>4001.8500000000004</v>
      </c>
      <c r="N43" s="553">
        <v>3</v>
      </c>
      <c r="O43" s="557">
        <v>1</v>
      </c>
      <c r="P43" s="556">
        <v>4001.8500000000004</v>
      </c>
      <c r="Q43" s="558">
        <v>1</v>
      </c>
      <c r="R43" s="553">
        <v>3</v>
      </c>
      <c r="S43" s="558">
        <v>1</v>
      </c>
      <c r="T43" s="557">
        <v>1</v>
      </c>
      <c r="U43" s="559">
        <v>1</v>
      </c>
    </row>
    <row r="44" spans="1:21" ht="14.4" customHeight="1" x14ac:dyDescent="0.3">
      <c r="A44" s="552">
        <v>29</v>
      </c>
      <c r="B44" s="553" t="s">
        <v>469</v>
      </c>
      <c r="C44" s="553" t="s">
        <v>642</v>
      </c>
      <c r="D44" s="554" t="s">
        <v>1148</v>
      </c>
      <c r="E44" s="555" t="s">
        <v>647</v>
      </c>
      <c r="F44" s="553" t="s">
        <v>641</v>
      </c>
      <c r="G44" s="553" t="s">
        <v>736</v>
      </c>
      <c r="H44" s="553" t="s">
        <v>470</v>
      </c>
      <c r="I44" s="553" t="s">
        <v>756</v>
      </c>
      <c r="J44" s="553" t="s">
        <v>751</v>
      </c>
      <c r="K44" s="553" t="s">
        <v>757</v>
      </c>
      <c r="L44" s="556">
        <v>1127.46</v>
      </c>
      <c r="M44" s="556">
        <v>3382.38</v>
      </c>
      <c r="N44" s="553">
        <v>3</v>
      </c>
      <c r="O44" s="557">
        <v>1</v>
      </c>
      <c r="P44" s="556"/>
      <c r="Q44" s="558">
        <v>0</v>
      </c>
      <c r="R44" s="553"/>
      <c r="S44" s="558">
        <v>0</v>
      </c>
      <c r="T44" s="557"/>
      <c r="U44" s="559">
        <v>0</v>
      </c>
    </row>
    <row r="45" spans="1:21" ht="14.4" customHeight="1" x14ac:dyDescent="0.3">
      <c r="A45" s="552">
        <v>29</v>
      </c>
      <c r="B45" s="553" t="s">
        <v>469</v>
      </c>
      <c r="C45" s="553" t="s">
        <v>642</v>
      </c>
      <c r="D45" s="554" t="s">
        <v>1148</v>
      </c>
      <c r="E45" s="555" t="s">
        <v>647</v>
      </c>
      <c r="F45" s="553" t="s">
        <v>641</v>
      </c>
      <c r="G45" s="553" t="s">
        <v>736</v>
      </c>
      <c r="H45" s="553" t="s">
        <v>470</v>
      </c>
      <c r="I45" s="553" t="s">
        <v>758</v>
      </c>
      <c r="J45" s="553" t="s">
        <v>759</v>
      </c>
      <c r="K45" s="553" t="s">
        <v>760</v>
      </c>
      <c r="L45" s="556">
        <v>8</v>
      </c>
      <c r="M45" s="556">
        <v>24</v>
      </c>
      <c r="N45" s="553">
        <v>3</v>
      </c>
      <c r="O45" s="557">
        <v>1</v>
      </c>
      <c r="P45" s="556">
        <v>24</v>
      </c>
      <c r="Q45" s="558">
        <v>1</v>
      </c>
      <c r="R45" s="553">
        <v>3</v>
      </c>
      <c r="S45" s="558">
        <v>1</v>
      </c>
      <c r="T45" s="557">
        <v>1</v>
      </c>
      <c r="U45" s="559">
        <v>1</v>
      </c>
    </row>
    <row r="46" spans="1:21" ht="14.4" customHeight="1" x14ac:dyDescent="0.3">
      <c r="A46" s="552">
        <v>29</v>
      </c>
      <c r="B46" s="553" t="s">
        <v>469</v>
      </c>
      <c r="C46" s="553" t="s">
        <v>642</v>
      </c>
      <c r="D46" s="554" t="s">
        <v>1148</v>
      </c>
      <c r="E46" s="555" t="s">
        <v>647</v>
      </c>
      <c r="F46" s="553" t="s">
        <v>641</v>
      </c>
      <c r="G46" s="553" t="s">
        <v>736</v>
      </c>
      <c r="H46" s="553" t="s">
        <v>470</v>
      </c>
      <c r="I46" s="553" t="s">
        <v>761</v>
      </c>
      <c r="J46" s="553" t="s">
        <v>759</v>
      </c>
      <c r="K46" s="553" t="s">
        <v>762</v>
      </c>
      <c r="L46" s="556">
        <v>6.11</v>
      </c>
      <c r="M46" s="556">
        <v>6.11</v>
      </c>
      <c r="N46" s="553">
        <v>1</v>
      </c>
      <c r="O46" s="557">
        <v>1</v>
      </c>
      <c r="P46" s="556">
        <v>6.11</v>
      </c>
      <c r="Q46" s="558">
        <v>1</v>
      </c>
      <c r="R46" s="553">
        <v>1</v>
      </c>
      <c r="S46" s="558">
        <v>1</v>
      </c>
      <c r="T46" s="557">
        <v>1</v>
      </c>
      <c r="U46" s="559">
        <v>1</v>
      </c>
    </row>
    <row r="47" spans="1:21" ht="14.4" customHeight="1" x14ac:dyDescent="0.3">
      <c r="A47" s="552">
        <v>29</v>
      </c>
      <c r="B47" s="553" t="s">
        <v>469</v>
      </c>
      <c r="C47" s="553" t="s">
        <v>642</v>
      </c>
      <c r="D47" s="554" t="s">
        <v>1148</v>
      </c>
      <c r="E47" s="555" t="s">
        <v>647</v>
      </c>
      <c r="F47" s="553" t="s">
        <v>641</v>
      </c>
      <c r="G47" s="553" t="s">
        <v>736</v>
      </c>
      <c r="H47" s="553" t="s">
        <v>470</v>
      </c>
      <c r="I47" s="553" t="s">
        <v>763</v>
      </c>
      <c r="J47" s="553" t="s">
        <v>764</v>
      </c>
      <c r="K47" s="553" t="s">
        <v>765</v>
      </c>
      <c r="L47" s="556">
        <v>100</v>
      </c>
      <c r="M47" s="556">
        <v>200</v>
      </c>
      <c r="N47" s="553">
        <v>2</v>
      </c>
      <c r="O47" s="557">
        <v>2</v>
      </c>
      <c r="P47" s="556"/>
      <c r="Q47" s="558">
        <v>0</v>
      </c>
      <c r="R47" s="553"/>
      <c r="S47" s="558">
        <v>0</v>
      </c>
      <c r="T47" s="557"/>
      <c r="U47" s="559">
        <v>0</v>
      </c>
    </row>
    <row r="48" spans="1:21" ht="14.4" customHeight="1" x14ac:dyDescent="0.3">
      <c r="A48" s="552">
        <v>29</v>
      </c>
      <c r="B48" s="553" t="s">
        <v>469</v>
      </c>
      <c r="C48" s="553" t="s">
        <v>642</v>
      </c>
      <c r="D48" s="554" t="s">
        <v>1148</v>
      </c>
      <c r="E48" s="555" t="s">
        <v>647</v>
      </c>
      <c r="F48" s="553" t="s">
        <v>641</v>
      </c>
      <c r="G48" s="553" t="s">
        <v>736</v>
      </c>
      <c r="H48" s="553" t="s">
        <v>470</v>
      </c>
      <c r="I48" s="553" t="s">
        <v>766</v>
      </c>
      <c r="J48" s="553" t="s">
        <v>767</v>
      </c>
      <c r="K48" s="553" t="s">
        <v>768</v>
      </c>
      <c r="L48" s="556">
        <v>30</v>
      </c>
      <c r="M48" s="556">
        <v>60</v>
      </c>
      <c r="N48" s="553">
        <v>2</v>
      </c>
      <c r="O48" s="557">
        <v>1</v>
      </c>
      <c r="P48" s="556"/>
      <c r="Q48" s="558">
        <v>0</v>
      </c>
      <c r="R48" s="553"/>
      <c r="S48" s="558">
        <v>0</v>
      </c>
      <c r="T48" s="557"/>
      <c r="U48" s="559">
        <v>0</v>
      </c>
    </row>
    <row r="49" spans="1:21" ht="14.4" customHeight="1" x14ac:dyDescent="0.3">
      <c r="A49" s="552">
        <v>29</v>
      </c>
      <c r="B49" s="553" t="s">
        <v>469</v>
      </c>
      <c r="C49" s="553" t="s">
        <v>642</v>
      </c>
      <c r="D49" s="554" t="s">
        <v>1148</v>
      </c>
      <c r="E49" s="555" t="s">
        <v>647</v>
      </c>
      <c r="F49" s="553" t="s">
        <v>641</v>
      </c>
      <c r="G49" s="553" t="s">
        <v>736</v>
      </c>
      <c r="H49" s="553" t="s">
        <v>470</v>
      </c>
      <c r="I49" s="553" t="s">
        <v>769</v>
      </c>
      <c r="J49" s="553" t="s">
        <v>770</v>
      </c>
      <c r="K49" s="553" t="s">
        <v>771</v>
      </c>
      <c r="L49" s="556">
        <v>154</v>
      </c>
      <c r="M49" s="556">
        <v>308</v>
      </c>
      <c r="N49" s="553">
        <v>2</v>
      </c>
      <c r="O49" s="557">
        <v>1</v>
      </c>
      <c r="P49" s="556">
        <v>308</v>
      </c>
      <c r="Q49" s="558">
        <v>1</v>
      </c>
      <c r="R49" s="553">
        <v>2</v>
      </c>
      <c r="S49" s="558">
        <v>1</v>
      </c>
      <c r="T49" s="557">
        <v>1</v>
      </c>
      <c r="U49" s="559">
        <v>1</v>
      </c>
    </row>
    <row r="50" spans="1:21" ht="14.4" customHeight="1" x14ac:dyDescent="0.3">
      <c r="A50" s="552">
        <v>29</v>
      </c>
      <c r="B50" s="553" t="s">
        <v>469</v>
      </c>
      <c r="C50" s="553" t="s">
        <v>642</v>
      </c>
      <c r="D50" s="554" t="s">
        <v>1148</v>
      </c>
      <c r="E50" s="555" t="s">
        <v>647</v>
      </c>
      <c r="F50" s="553" t="s">
        <v>641</v>
      </c>
      <c r="G50" s="553" t="s">
        <v>736</v>
      </c>
      <c r="H50" s="553" t="s">
        <v>470</v>
      </c>
      <c r="I50" s="553" t="s">
        <v>772</v>
      </c>
      <c r="J50" s="553" t="s">
        <v>773</v>
      </c>
      <c r="K50" s="553" t="s">
        <v>774</v>
      </c>
      <c r="L50" s="556">
        <v>30</v>
      </c>
      <c r="M50" s="556">
        <v>150</v>
      </c>
      <c r="N50" s="553">
        <v>5</v>
      </c>
      <c r="O50" s="557">
        <v>1</v>
      </c>
      <c r="P50" s="556"/>
      <c r="Q50" s="558">
        <v>0</v>
      </c>
      <c r="R50" s="553"/>
      <c r="S50" s="558">
        <v>0</v>
      </c>
      <c r="T50" s="557"/>
      <c r="U50" s="559">
        <v>0</v>
      </c>
    </row>
    <row r="51" spans="1:21" ht="14.4" customHeight="1" x14ac:dyDescent="0.3">
      <c r="A51" s="552">
        <v>29</v>
      </c>
      <c r="B51" s="553" t="s">
        <v>469</v>
      </c>
      <c r="C51" s="553" t="s">
        <v>642</v>
      </c>
      <c r="D51" s="554" t="s">
        <v>1148</v>
      </c>
      <c r="E51" s="555" t="s">
        <v>647</v>
      </c>
      <c r="F51" s="553" t="s">
        <v>641</v>
      </c>
      <c r="G51" s="553" t="s">
        <v>736</v>
      </c>
      <c r="H51" s="553" t="s">
        <v>470</v>
      </c>
      <c r="I51" s="553" t="s">
        <v>775</v>
      </c>
      <c r="J51" s="553" t="s">
        <v>776</v>
      </c>
      <c r="K51" s="553" t="s">
        <v>777</v>
      </c>
      <c r="L51" s="556">
        <v>841.6</v>
      </c>
      <c r="M51" s="556">
        <v>1683.2</v>
      </c>
      <c r="N51" s="553">
        <v>2</v>
      </c>
      <c r="O51" s="557">
        <v>1</v>
      </c>
      <c r="P51" s="556">
        <v>1683.2</v>
      </c>
      <c r="Q51" s="558">
        <v>1</v>
      </c>
      <c r="R51" s="553">
        <v>2</v>
      </c>
      <c r="S51" s="558">
        <v>1</v>
      </c>
      <c r="T51" s="557">
        <v>1</v>
      </c>
      <c r="U51" s="559">
        <v>1</v>
      </c>
    </row>
    <row r="52" spans="1:21" ht="14.4" customHeight="1" x14ac:dyDescent="0.3">
      <c r="A52" s="552">
        <v>29</v>
      </c>
      <c r="B52" s="553" t="s">
        <v>469</v>
      </c>
      <c r="C52" s="553" t="s">
        <v>642</v>
      </c>
      <c r="D52" s="554" t="s">
        <v>1148</v>
      </c>
      <c r="E52" s="555" t="s">
        <v>647</v>
      </c>
      <c r="F52" s="553" t="s">
        <v>641</v>
      </c>
      <c r="G52" s="553" t="s">
        <v>736</v>
      </c>
      <c r="H52" s="553" t="s">
        <v>470</v>
      </c>
      <c r="I52" s="553" t="s">
        <v>778</v>
      </c>
      <c r="J52" s="553" t="s">
        <v>779</v>
      </c>
      <c r="K52" s="553" t="s">
        <v>780</v>
      </c>
      <c r="L52" s="556">
        <v>42.37</v>
      </c>
      <c r="M52" s="556">
        <v>423.7</v>
      </c>
      <c r="N52" s="553">
        <v>10</v>
      </c>
      <c r="O52" s="557">
        <v>1</v>
      </c>
      <c r="P52" s="556"/>
      <c r="Q52" s="558">
        <v>0</v>
      </c>
      <c r="R52" s="553"/>
      <c r="S52" s="558">
        <v>0</v>
      </c>
      <c r="T52" s="557"/>
      <c r="U52" s="559">
        <v>0</v>
      </c>
    </row>
    <row r="53" spans="1:21" ht="14.4" customHeight="1" x14ac:dyDescent="0.3">
      <c r="A53" s="552">
        <v>29</v>
      </c>
      <c r="B53" s="553" t="s">
        <v>469</v>
      </c>
      <c r="C53" s="553" t="s">
        <v>642</v>
      </c>
      <c r="D53" s="554" t="s">
        <v>1148</v>
      </c>
      <c r="E53" s="555" t="s">
        <v>647</v>
      </c>
      <c r="F53" s="553" t="s">
        <v>641</v>
      </c>
      <c r="G53" s="553" t="s">
        <v>781</v>
      </c>
      <c r="H53" s="553" t="s">
        <v>470</v>
      </c>
      <c r="I53" s="553" t="s">
        <v>782</v>
      </c>
      <c r="J53" s="553" t="s">
        <v>783</v>
      </c>
      <c r="K53" s="553" t="s">
        <v>784</v>
      </c>
      <c r="L53" s="556">
        <v>410</v>
      </c>
      <c r="M53" s="556">
        <v>4510</v>
      </c>
      <c r="N53" s="553">
        <v>11</v>
      </c>
      <c r="O53" s="557">
        <v>10</v>
      </c>
      <c r="P53" s="556">
        <v>4100</v>
      </c>
      <c r="Q53" s="558">
        <v>0.90909090909090906</v>
      </c>
      <c r="R53" s="553">
        <v>10</v>
      </c>
      <c r="S53" s="558">
        <v>0.90909090909090906</v>
      </c>
      <c r="T53" s="557">
        <v>9</v>
      </c>
      <c r="U53" s="559">
        <v>0.9</v>
      </c>
    </row>
    <row r="54" spans="1:21" ht="14.4" customHeight="1" x14ac:dyDescent="0.3">
      <c r="A54" s="552">
        <v>29</v>
      </c>
      <c r="B54" s="553" t="s">
        <v>469</v>
      </c>
      <c r="C54" s="553" t="s">
        <v>642</v>
      </c>
      <c r="D54" s="554" t="s">
        <v>1148</v>
      </c>
      <c r="E54" s="555" t="s">
        <v>647</v>
      </c>
      <c r="F54" s="553" t="s">
        <v>641</v>
      </c>
      <c r="G54" s="553" t="s">
        <v>781</v>
      </c>
      <c r="H54" s="553" t="s">
        <v>470</v>
      </c>
      <c r="I54" s="553" t="s">
        <v>785</v>
      </c>
      <c r="J54" s="553" t="s">
        <v>786</v>
      </c>
      <c r="K54" s="553" t="s">
        <v>787</v>
      </c>
      <c r="L54" s="556">
        <v>566</v>
      </c>
      <c r="M54" s="556">
        <v>2264</v>
      </c>
      <c r="N54" s="553">
        <v>4</v>
      </c>
      <c r="O54" s="557">
        <v>4</v>
      </c>
      <c r="P54" s="556">
        <v>1698</v>
      </c>
      <c r="Q54" s="558">
        <v>0.75</v>
      </c>
      <c r="R54" s="553">
        <v>3</v>
      </c>
      <c r="S54" s="558">
        <v>0.75</v>
      </c>
      <c r="T54" s="557">
        <v>3</v>
      </c>
      <c r="U54" s="559">
        <v>0.75</v>
      </c>
    </row>
    <row r="55" spans="1:21" ht="14.4" customHeight="1" x14ac:dyDescent="0.3">
      <c r="A55" s="552">
        <v>29</v>
      </c>
      <c r="B55" s="553" t="s">
        <v>469</v>
      </c>
      <c r="C55" s="553" t="s">
        <v>642</v>
      </c>
      <c r="D55" s="554" t="s">
        <v>1148</v>
      </c>
      <c r="E55" s="555" t="s">
        <v>647</v>
      </c>
      <c r="F55" s="553" t="s">
        <v>641</v>
      </c>
      <c r="G55" s="553" t="s">
        <v>781</v>
      </c>
      <c r="H55" s="553" t="s">
        <v>470</v>
      </c>
      <c r="I55" s="553" t="s">
        <v>788</v>
      </c>
      <c r="J55" s="553" t="s">
        <v>789</v>
      </c>
      <c r="K55" s="553" t="s">
        <v>790</v>
      </c>
      <c r="L55" s="556">
        <v>350</v>
      </c>
      <c r="M55" s="556">
        <v>350</v>
      </c>
      <c r="N55" s="553">
        <v>1</v>
      </c>
      <c r="O55" s="557">
        <v>1</v>
      </c>
      <c r="P55" s="556">
        <v>350</v>
      </c>
      <c r="Q55" s="558">
        <v>1</v>
      </c>
      <c r="R55" s="553">
        <v>1</v>
      </c>
      <c r="S55" s="558">
        <v>1</v>
      </c>
      <c r="T55" s="557">
        <v>1</v>
      </c>
      <c r="U55" s="559">
        <v>1</v>
      </c>
    </row>
    <row r="56" spans="1:21" ht="14.4" customHeight="1" x14ac:dyDescent="0.3">
      <c r="A56" s="552">
        <v>29</v>
      </c>
      <c r="B56" s="553" t="s">
        <v>469</v>
      </c>
      <c r="C56" s="553" t="s">
        <v>642</v>
      </c>
      <c r="D56" s="554" t="s">
        <v>1148</v>
      </c>
      <c r="E56" s="555" t="s">
        <v>647</v>
      </c>
      <c r="F56" s="553" t="s">
        <v>641</v>
      </c>
      <c r="G56" s="553" t="s">
        <v>791</v>
      </c>
      <c r="H56" s="553" t="s">
        <v>470</v>
      </c>
      <c r="I56" s="553" t="s">
        <v>792</v>
      </c>
      <c r="J56" s="553" t="s">
        <v>793</v>
      </c>
      <c r="K56" s="553" t="s">
        <v>794</v>
      </c>
      <c r="L56" s="556">
        <v>378.48</v>
      </c>
      <c r="M56" s="556">
        <v>756.96</v>
      </c>
      <c r="N56" s="553">
        <v>2</v>
      </c>
      <c r="O56" s="557">
        <v>2</v>
      </c>
      <c r="P56" s="556">
        <v>756.96</v>
      </c>
      <c r="Q56" s="558">
        <v>1</v>
      </c>
      <c r="R56" s="553">
        <v>2</v>
      </c>
      <c r="S56" s="558">
        <v>1</v>
      </c>
      <c r="T56" s="557">
        <v>2</v>
      </c>
      <c r="U56" s="559">
        <v>1</v>
      </c>
    </row>
    <row r="57" spans="1:21" ht="14.4" customHeight="1" x14ac:dyDescent="0.3">
      <c r="A57" s="552">
        <v>29</v>
      </c>
      <c r="B57" s="553" t="s">
        <v>469</v>
      </c>
      <c r="C57" s="553" t="s">
        <v>642</v>
      </c>
      <c r="D57" s="554" t="s">
        <v>1148</v>
      </c>
      <c r="E57" s="555" t="s">
        <v>647</v>
      </c>
      <c r="F57" s="553" t="s">
        <v>641</v>
      </c>
      <c r="G57" s="553" t="s">
        <v>791</v>
      </c>
      <c r="H57" s="553" t="s">
        <v>470</v>
      </c>
      <c r="I57" s="553" t="s">
        <v>795</v>
      </c>
      <c r="J57" s="553" t="s">
        <v>796</v>
      </c>
      <c r="K57" s="553" t="s">
        <v>797</v>
      </c>
      <c r="L57" s="556">
        <v>338.94</v>
      </c>
      <c r="M57" s="556">
        <v>338.94</v>
      </c>
      <c r="N57" s="553">
        <v>1</v>
      </c>
      <c r="O57" s="557">
        <v>1</v>
      </c>
      <c r="P57" s="556">
        <v>338.94</v>
      </c>
      <c r="Q57" s="558">
        <v>1</v>
      </c>
      <c r="R57" s="553">
        <v>1</v>
      </c>
      <c r="S57" s="558">
        <v>1</v>
      </c>
      <c r="T57" s="557">
        <v>1</v>
      </c>
      <c r="U57" s="559">
        <v>1</v>
      </c>
    </row>
    <row r="58" spans="1:21" ht="14.4" customHeight="1" x14ac:dyDescent="0.3">
      <c r="A58" s="552">
        <v>29</v>
      </c>
      <c r="B58" s="553" t="s">
        <v>469</v>
      </c>
      <c r="C58" s="553" t="s">
        <v>642</v>
      </c>
      <c r="D58" s="554" t="s">
        <v>1148</v>
      </c>
      <c r="E58" s="555" t="s">
        <v>647</v>
      </c>
      <c r="F58" s="553" t="s">
        <v>641</v>
      </c>
      <c r="G58" s="553" t="s">
        <v>791</v>
      </c>
      <c r="H58" s="553" t="s">
        <v>470</v>
      </c>
      <c r="I58" s="553" t="s">
        <v>798</v>
      </c>
      <c r="J58" s="553" t="s">
        <v>799</v>
      </c>
      <c r="K58" s="553" t="s">
        <v>800</v>
      </c>
      <c r="L58" s="556">
        <v>245.11</v>
      </c>
      <c r="M58" s="556">
        <v>245.11</v>
      </c>
      <c r="N58" s="553">
        <v>1</v>
      </c>
      <c r="O58" s="557">
        <v>1</v>
      </c>
      <c r="P58" s="556">
        <v>245.11</v>
      </c>
      <c r="Q58" s="558">
        <v>1</v>
      </c>
      <c r="R58" s="553">
        <v>1</v>
      </c>
      <c r="S58" s="558">
        <v>1</v>
      </c>
      <c r="T58" s="557">
        <v>1</v>
      </c>
      <c r="U58" s="559">
        <v>1</v>
      </c>
    </row>
    <row r="59" spans="1:21" ht="14.4" customHeight="1" x14ac:dyDescent="0.3">
      <c r="A59" s="552">
        <v>29</v>
      </c>
      <c r="B59" s="553" t="s">
        <v>469</v>
      </c>
      <c r="C59" s="553" t="s">
        <v>642</v>
      </c>
      <c r="D59" s="554" t="s">
        <v>1148</v>
      </c>
      <c r="E59" s="555" t="s">
        <v>647</v>
      </c>
      <c r="F59" s="553" t="s">
        <v>641</v>
      </c>
      <c r="G59" s="553" t="s">
        <v>791</v>
      </c>
      <c r="H59" s="553" t="s">
        <v>470</v>
      </c>
      <c r="I59" s="553" t="s">
        <v>801</v>
      </c>
      <c r="J59" s="553" t="s">
        <v>802</v>
      </c>
      <c r="K59" s="553" t="s">
        <v>803</v>
      </c>
      <c r="L59" s="556">
        <v>250</v>
      </c>
      <c r="M59" s="556">
        <v>1000</v>
      </c>
      <c r="N59" s="553">
        <v>4</v>
      </c>
      <c r="O59" s="557">
        <v>4</v>
      </c>
      <c r="P59" s="556">
        <v>250</v>
      </c>
      <c r="Q59" s="558">
        <v>0.25</v>
      </c>
      <c r="R59" s="553">
        <v>1</v>
      </c>
      <c r="S59" s="558">
        <v>0.25</v>
      </c>
      <c r="T59" s="557">
        <v>1</v>
      </c>
      <c r="U59" s="559">
        <v>0.25</v>
      </c>
    </row>
    <row r="60" spans="1:21" ht="14.4" customHeight="1" x14ac:dyDescent="0.3">
      <c r="A60" s="552">
        <v>29</v>
      </c>
      <c r="B60" s="553" t="s">
        <v>469</v>
      </c>
      <c r="C60" s="553" t="s">
        <v>642</v>
      </c>
      <c r="D60" s="554" t="s">
        <v>1148</v>
      </c>
      <c r="E60" s="555" t="s">
        <v>647</v>
      </c>
      <c r="F60" s="553" t="s">
        <v>641</v>
      </c>
      <c r="G60" s="553" t="s">
        <v>791</v>
      </c>
      <c r="H60" s="553" t="s">
        <v>470</v>
      </c>
      <c r="I60" s="553" t="s">
        <v>804</v>
      </c>
      <c r="J60" s="553" t="s">
        <v>805</v>
      </c>
      <c r="K60" s="553" t="s">
        <v>806</v>
      </c>
      <c r="L60" s="556">
        <v>250</v>
      </c>
      <c r="M60" s="556">
        <v>250</v>
      </c>
      <c r="N60" s="553">
        <v>1</v>
      </c>
      <c r="O60" s="557">
        <v>1</v>
      </c>
      <c r="P60" s="556"/>
      <c r="Q60" s="558">
        <v>0</v>
      </c>
      <c r="R60" s="553"/>
      <c r="S60" s="558">
        <v>0</v>
      </c>
      <c r="T60" s="557"/>
      <c r="U60" s="559">
        <v>0</v>
      </c>
    </row>
    <row r="61" spans="1:21" ht="14.4" customHeight="1" x14ac:dyDescent="0.3">
      <c r="A61" s="552">
        <v>29</v>
      </c>
      <c r="B61" s="553" t="s">
        <v>469</v>
      </c>
      <c r="C61" s="553" t="s">
        <v>642</v>
      </c>
      <c r="D61" s="554" t="s">
        <v>1148</v>
      </c>
      <c r="E61" s="555" t="s">
        <v>647</v>
      </c>
      <c r="F61" s="553" t="s">
        <v>641</v>
      </c>
      <c r="G61" s="553" t="s">
        <v>791</v>
      </c>
      <c r="H61" s="553" t="s">
        <v>470</v>
      </c>
      <c r="I61" s="553" t="s">
        <v>807</v>
      </c>
      <c r="J61" s="553" t="s">
        <v>808</v>
      </c>
      <c r="K61" s="553" t="s">
        <v>809</v>
      </c>
      <c r="L61" s="556">
        <v>1100</v>
      </c>
      <c r="M61" s="556">
        <v>1100</v>
      </c>
      <c r="N61" s="553">
        <v>1</v>
      </c>
      <c r="O61" s="557">
        <v>1</v>
      </c>
      <c r="P61" s="556">
        <v>1100</v>
      </c>
      <c r="Q61" s="558">
        <v>1</v>
      </c>
      <c r="R61" s="553">
        <v>1</v>
      </c>
      <c r="S61" s="558">
        <v>1</v>
      </c>
      <c r="T61" s="557">
        <v>1</v>
      </c>
      <c r="U61" s="559">
        <v>1</v>
      </c>
    </row>
    <row r="62" spans="1:21" ht="14.4" customHeight="1" x14ac:dyDescent="0.3">
      <c r="A62" s="552">
        <v>29</v>
      </c>
      <c r="B62" s="553" t="s">
        <v>469</v>
      </c>
      <c r="C62" s="553" t="s">
        <v>642</v>
      </c>
      <c r="D62" s="554" t="s">
        <v>1148</v>
      </c>
      <c r="E62" s="555" t="s">
        <v>647</v>
      </c>
      <c r="F62" s="553" t="s">
        <v>641</v>
      </c>
      <c r="G62" s="553" t="s">
        <v>791</v>
      </c>
      <c r="H62" s="553" t="s">
        <v>470</v>
      </c>
      <c r="I62" s="553" t="s">
        <v>810</v>
      </c>
      <c r="J62" s="553" t="s">
        <v>811</v>
      </c>
      <c r="K62" s="553" t="s">
        <v>812</v>
      </c>
      <c r="L62" s="556">
        <v>345.18</v>
      </c>
      <c r="M62" s="556">
        <v>345.18</v>
      </c>
      <c r="N62" s="553">
        <v>1</v>
      </c>
      <c r="O62" s="557">
        <v>1</v>
      </c>
      <c r="P62" s="556">
        <v>345.18</v>
      </c>
      <c r="Q62" s="558">
        <v>1</v>
      </c>
      <c r="R62" s="553">
        <v>1</v>
      </c>
      <c r="S62" s="558">
        <v>1</v>
      </c>
      <c r="T62" s="557">
        <v>1</v>
      </c>
      <c r="U62" s="559">
        <v>1</v>
      </c>
    </row>
    <row r="63" spans="1:21" ht="14.4" customHeight="1" x14ac:dyDescent="0.3">
      <c r="A63" s="552">
        <v>29</v>
      </c>
      <c r="B63" s="553" t="s">
        <v>469</v>
      </c>
      <c r="C63" s="553" t="s">
        <v>642</v>
      </c>
      <c r="D63" s="554" t="s">
        <v>1148</v>
      </c>
      <c r="E63" s="555" t="s">
        <v>647</v>
      </c>
      <c r="F63" s="553" t="s">
        <v>641</v>
      </c>
      <c r="G63" s="553" t="s">
        <v>813</v>
      </c>
      <c r="H63" s="553" t="s">
        <v>470</v>
      </c>
      <c r="I63" s="553" t="s">
        <v>814</v>
      </c>
      <c r="J63" s="553" t="s">
        <v>815</v>
      </c>
      <c r="K63" s="553" t="s">
        <v>816</v>
      </c>
      <c r="L63" s="556">
        <v>200</v>
      </c>
      <c r="M63" s="556">
        <v>200</v>
      </c>
      <c r="N63" s="553">
        <v>1</v>
      </c>
      <c r="O63" s="557">
        <v>1</v>
      </c>
      <c r="P63" s="556">
        <v>200</v>
      </c>
      <c r="Q63" s="558">
        <v>1</v>
      </c>
      <c r="R63" s="553">
        <v>1</v>
      </c>
      <c r="S63" s="558">
        <v>1</v>
      </c>
      <c r="T63" s="557">
        <v>1</v>
      </c>
      <c r="U63" s="559">
        <v>1</v>
      </c>
    </row>
    <row r="64" spans="1:21" ht="14.4" customHeight="1" x14ac:dyDescent="0.3">
      <c r="A64" s="552">
        <v>29</v>
      </c>
      <c r="B64" s="553" t="s">
        <v>469</v>
      </c>
      <c r="C64" s="553" t="s">
        <v>642</v>
      </c>
      <c r="D64" s="554" t="s">
        <v>1148</v>
      </c>
      <c r="E64" s="555" t="s">
        <v>648</v>
      </c>
      <c r="F64" s="553" t="s">
        <v>639</v>
      </c>
      <c r="G64" s="553" t="s">
        <v>654</v>
      </c>
      <c r="H64" s="553" t="s">
        <v>585</v>
      </c>
      <c r="I64" s="553" t="s">
        <v>655</v>
      </c>
      <c r="J64" s="553" t="s">
        <v>656</v>
      </c>
      <c r="K64" s="553" t="s">
        <v>657</v>
      </c>
      <c r="L64" s="556">
        <v>154.36000000000001</v>
      </c>
      <c r="M64" s="556">
        <v>154.36000000000001</v>
      </c>
      <c r="N64" s="553">
        <v>1</v>
      </c>
      <c r="O64" s="557">
        <v>1</v>
      </c>
      <c r="P64" s="556"/>
      <c r="Q64" s="558">
        <v>0</v>
      </c>
      <c r="R64" s="553"/>
      <c r="S64" s="558">
        <v>0</v>
      </c>
      <c r="T64" s="557"/>
      <c r="U64" s="559">
        <v>0</v>
      </c>
    </row>
    <row r="65" spans="1:21" ht="14.4" customHeight="1" x14ac:dyDescent="0.3">
      <c r="A65" s="552">
        <v>29</v>
      </c>
      <c r="B65" s="553" t="s">
        <v>469</v>
      </c>
      <c r="C65" s="553" t="s">
        <v>642</v>
      </c>
      <c r="D65" s="554" t="s">
        <v>1148</v>
      </c>
      <c r="E65" s="555" t="s">
        <v>648</v>
      </c>
      <c r="F65" s="553" t="s">
        <v>639</v>
      </c>
      <c r="G65" s="553" t="s">
        <v>658</v>
      </c>
      <c r="H65" s="553" t="s">
        <v>470</v>
      </c>
      <c r="I65" s="553" t="s">
        <v>659</v>
      </c>
      <c r="J65" s="553" t="s">
        <v>660</v>
      </c>
      <c r="K65" s="553" t="s">
        <v>661</v>
      </c>
      <c r="L65" s="556">
        <v>0</v>
      </c>
      <c r="M65" s="556">
        <v>0</v>
      </c>
      <c r="N65" s="553">
        <v>2</v>
      </c>
      <c r="O65" s="557">
        <v>2</v>
      </c>
      <c r="P65" s="556">
        <v>0</v>
      </c>
      <c r="Q65" s="558"/>
      <c r="R65" s="553">
        <v>2</v>
      </c>
      <c r="S65" s="558">
        <v>1</v>
      </c>
      <c r="T65" s="557">
        <v>2</v>
      </c>
      <c r="U65" s="559">
        <v>1</v>
      </c>
    </row>
    <row r="66" spans="1:21" ht="14.4" customHeight="1" x14ac:dyDescent="0.3">
      <c r="A66" s="552">
        <v>29</v>
      </c>
      <c r="B66" s="553" t="s">
        <v>469</v>
      </c>
      <c r="C66" s="553" t="s">
        <v>642</v>
      </c>
      <c r="D66" s="554" t="s">
        <v>1148</v>
      </c>
      <c r="E66" s="555" t="s">
        <v>648</v>
      </c>
      <c r="F66" s="553" t="s">
        <v>639</v>
      </c>
      <c r="G66" s="553" t="s">
        <v>817</v>
      </c>
      <c r="H66" s="553" t="s">
        <v>470</v>
      </c>
      <c r="I66" s="553" t="s">
        <v>818</v>
      </c>
      <c r="J66" s="553" t="s">
        <v>819</v>
      </c>
      <c r="K66" s="553" t="s">
        <v>820</v>
      </c>
      <c r="L66" s="556">
        <v>170.52</v>
      </c>
      <c r="M66" s="556">
        <v>170.52</v>
      </c>
      <c r="N66" s="553">
        <v>1</v>
      </c>
      <c r="O66" s="557">
        <v>1</v>
      </c>
      <c r="P66" s="556"/>
      <c r="Q66" s="558">
        <v>0</v>
      </c>
      <c r="R66" s="553"/>
      <c r="S66" s="558">
        <v>0</v>
      </c>
      <c r="T66" s="557"/>
      <c r="U66" s="559">
        <v>0</v>
      </c>
    </row>
    <row r="67" spans="1:21" ht="14.4" customHeight="1" x14ac:dyDescent="0.3">
      <c r="A67" s="552">
        <v>29</v>
      </c>
      <c r="B67" s="553" t="s">
        <v>469</v>
      </c>
      <c r="C67" s="553" t="s">
        <v>642</v>
      </c>
      <c r="D67" s="554" t="s">
        <v>1148</v>
      </c>
      <c r="E67" s="555" t="s">
        <v>648</v>
      </c>
      <c r="F67" s="553" t="s">
        <v>639</v>
      </c>
      <c r="G67" s="553" t="s">
        <v>821</v>
      </c>
      <c r="H67" s="553" t="s">
        <v>470</v>
      </c>
      <c r="I67" s="553" t="s">
        <v>822</v>
      </c>
      <c r="J67" s="553" t="s">
        <v>823</v>
      </c>
      <c r="K67" s="553" t="s">
        <v>824</v>
      </c>
      <c r="L67" s="556">
        <v>110.28</v>
      </c>
      <c r="M67" s="556">
        <v>110.28</v>
      </c>
      <c r="N67" s="553">
        <v>1</v>
      </c>
      <c r="O67" s="557">
        <v>1</v>
      </c>
      <c r="P67" s="556">
        <v>110.28</v>
      </c>
      <c r="Q67" s="558">
        <v>1</v>
      </c>
      <c r="R67" s="553">
        <v>1</v>
      </c>
      <c r="S67" s="558">
        <v>1</v>
      </c>
      <c r="T67" s="557">
        <v>1</v>
      </c>
      <c r="U67" s="559">
        <v>1</v>
      </c>
    </row>
    <row r="68" spans="1:21" ht="14.4" customHeight="1" x14ac:dyDescent="0.3">
      <c r="A68" s="552">
        <v>29</v>
      </c>
      <c r="B68" s="553" t="s">
        <v>469</v>
      </c>
      <c r="C68" s="553" t="s">
        <v>642</v>
      </c>
      <c r="D68" s="554" t="s">
        <v>1148</v>
      </c>
      <c r="E68" s="555" t="s">
        <v>648</v>
      </c>
      <c r="F68" s="553" t="s">
        <v>639</v>
      </c>
      <c r="G68" s="553" t="s">
        <v>825</v>
      </c>
      <c r="H68" s="553" t="s">
        <v>470</v>
      </c>
      <c r="I68" s="553" t="s">
        <v>826</v>
      </c>
      <c r="J68" s="553" t="s">
        <v>827</v>
      </c>
      <c r="K68" s="553" t="s">
        <v>828</v>
      </c>
      <c r="L68" s="556">
        <v>226.89</v>
      </c>
      <c r="M68" s="556">
        <v>226.89</v>
      </c>
      <c r="N68" s="553">
        <v>1</v>
      </c>
      <c r="O68" s="557">
        <v>1</v>
      </c>
      <c r="P68" s="556">
        <v>226.89</v>
      </c>
      <c r="Q68" s="558">
        <v>1</v>
      </c>
      <c r="R68" s="553">
        <v>1</v>
      </c>
      <c r="S68" s="558">
        <v>1</v>
      </c>
      <c r="T68" s="557">
        <v>1</v>
      </c>
      <c r="U68" s="559">
        <v>1</v>
      </c>
    </row>
    <row r="69" spans="1:21" ht="14.4" customHeight="1" x14ac:dyDescent="0.3">
      <c r="A69" s="552">
        <v>29</v>
      </c>
      <c r="B69" s="553" t="s">
        <v>469</v>
      </c>
      <c r="C69" s="553" t="s">
        <v>642</v>
      </c>
      <c r="D69" s="554" t="s">
        <v>1148</v>
      </c>
      <c r="E69" s="555" t="s">
        <v>648</v>
      </c>
      <c r="F69" s="553" t="s">
        <v>639</v>
      </c>
      <c r="G69" s="553" t="s">
        <v>669</v>
      </c>
      <c r="H69" s="553" t="s">
        <v>470</v>
      </c>
      <c r="I69" s="553" t="s">
        <v>570</v>
      </c>
      <c r="J69" s="553" t="s">
        <v>571</v>
      </c>
      <c r="K69" s="553" t="s">
        <v>670</v>
      </c>
      <c r="L69" s="556">
        <v>48.09</v>
      </c>
      <c r="M69" s="556">
        <v>144.27000000000001</v>
      </c>
      <c r="N69" s="553">
        <v>3</v>
      </c>
      <c r="O69" s="557">
        <v>3</v>
      </c>
      <c r="P69" s="556">
        <v>48.09</v>
      </c>
      <c r="Q69" s="558">
        <v>0.33333333333333331</v>
      </c>
      <c r="R69" s="553">
        <v>1</v>
      </c>
      <c r="S69" s="558">
        <v>0.33333333333333331</v>
      </c>
      <c r="T69" s="557">
        <v>1</v>
      </c>
      <c r="U69" s="559">
        <v>0.33333333333333331</v>
      </c>
    </row>
    <row r="70" spans="1:21" ht="14.4" customHeight="1" x14ac:dyDescent="0.3">
      <c r="A70" s="552">
        <v>29</v>
      </c>
      <c r="B70" s="553" t="s">
        <v>469</v>
      </c>
      <c r="C70" s="553" t="s">
        <v>642</v>
      </c>
      <c r="D70" s="554" t="s">
        <v>1148</v>
      </c>
      <c r="E70" s="555" t="s">
        <v>648</v>
      </c>
      <c r="F70" s="553" t="s">
        <v>639</v>
      </c>
      <c r="G70" s="553" t="s">
        <v>671</v>
      </c>
      <c r="H70" s="553" t="s">
        <v>470</v>
      </c>
      <c r="I70" s="553" t="s">
        <v>672</v>
      </c>
      <c r="J70" s="553" t="s">
        <v>673</v>
      </c>
      <c r="K70" s="553" t="s">
        <v>674</v>
      </c>
      <c r="L70" s="556">
        <v>0</v>
      </c>
      <c r="M70" s="556">
        <v>0</v>
      </c>
      <c r="N70" s="553">
        <v>1</v>
      </c>
      <c r="O70" s="557">
        <v>1</v>
      </c>
      <c r="P70" s="556"/>
      <c r="Q70" s="558"/>
      <c r="R70" s="553"/>
      <c r="S70" s="558">
        <v>0</v>
      </c>
      <c r="T70" s="557"/>
      <c r="U70" s="559">
        <v>0</v>
      </c>
    </row>
    <row r="71" spans="1:21" ht="14.4" customHeight="1" x14ac:dyDescent="0.3">
      <c r="A71" s="552">
        <v>29</v>
      </c>
      <c r="B71" s="553" t="s">
        <v>469</v>
      </c>
      <c r="C71" s="553" t="s">
        <v>642</v>
      </c>
      <c r="D71" s="554" t="s">
        <v>1148</v>
      </c>
      <c r="E71" s="555" t="s">
        <v>648</v>
      </c>
      <c r="F71" s="553" t="s">
        <v>639</v>
      </c>
      <c r="G71" s="553" t="s">
        <v>829</v>
      </c>
      <c r="H71" s="553" t="s">
        <v>470</v>
      </c>
      <c r="I71" s="553" t="s">
        <v>830</v>
      </c>
      <c r="J71" s="553" t="s">
        <v>831</v>
      </c>
      <c r="K71" s="553" t="s">
        <v>832</v>
      </c>
      <c r="L71" s="556">
        <v>0</v>
      </c>
      <c r="M71" s="556">
        <v>0</v>
      </c>
      <c r="N71" s="553">
        <v>1</v>
      </c>
      <c r="O71" s="557">
        <v>1</v>
      </c>
      <c r="P71" s="556">
        <v>0</v>
      </c>
      <c r="Q71" s="558"/>
      <c r="R71" s="553">
        <v>1</v>
      </c>
      <c r="S71" s="558">
        <v>1</v>
      </c>
      <c r="T71" s="557">
        <v>1</v>
      </c>
      <c r="U71" s="559">
        <v>1</v>
      </c>
    </row>
    <row r="72" spans="1:21" ht="14.4" customHeight="1" x14ac:dyDescent="0.3">
      <c r="A72" s="552">
        <v>29</v>
      </c>
      <c r="B72" s="553" t="s">
        <v>469</v>
      </c>
      <c r="C72" s="553" t="s">
        <v>642</v>
      </c>
      <c r="D72" s="554" t="s">
        <v>1148</v>
      </c>
      <c r="E72" s="555" t="s">
        <v>648</v>
      </c>
      <c r="F72" s="553" t="s">
        <v>639</v>
      </c>
      <c r="G72" s="553" t="s">
        <v>675</v>
      </c>
      <c r="H72" s="553" t="s">
        <v>470</v>
      </c>
      <c r="I72" s="553" t="s">
        <v>519</v>
      </c>
      <c r="J72" s="553" t="s">
        <v>516</v>
      </c>
      <c r="K72" s="553" t="s">
        <v>678</v>
      </c>
      <c r="L72" s="556">
        <v>105.7</v>
      </c>
      <c r="M72" s="556">
        <v>211.4</v>
      </c>
      <c r="N72" s="553">
        <v>2</v>
      </c>
      <c r="O72" s="557">
        <v>1.5</v>
      </c>
      <c r="P72" s="556">
        <v>105.7</v>
      </c>
      <c r="Q72" s="558">
        <v>0.5</v>
      </c>
      <c r="R72" s="553">
        <v>1</v>
      </c>
      <c r="S72" s="558">
        <v>0.5</v>
      </c>
      <c r="T72" s="557">
        <v>1</v>
      </c>
      <c r="U72" s="559">
        <v>0.66666666666666663</v>
      </c>
    </row>
    <row r="73" spans="1:21" ht="14.4" customHeight="1" x14ac:dyDescent="0.3">
      <c r="A73" s="552">
        <v>29</v>
      </c>
      <c r="B73" s="553" t="s">
        <v>469</v>
      </c>
      <c r="C73" s="553" t="s">
        <v>642</v>
      </c>
      <c r="D73" s="554" t="s">
        <v>1148</v>
      </c>
      <c r="E73" s="555" t="s">
        <v>648</v>
      </c>
      <c r="F73" s="553" t="s">
        <v>639</v>
      </c>
      <c r="G73" s="553" t="s">
        <v>683</v>
      </c>
      <c r="H73" s="553" t="s">
        <v>470</v>
      </c>
      <c r="I73" s="553" t="s">
        <v>574</v>
      </c>
      <c r="J73" s="553" t="s">
        <v>575</v>
      </c>
      <c r="K73" s="553" t="s">
        <v>684</v>
      </c>
      <c r="L73" s="556">
        <v>36.97</v>
      </c>
      <c r="M73" s="556">
        <v>73.94</v>
      </c>
      <c r="N73" s="553">
        <v>2</v>
      </c>
      <c r="O73" s="557">
        <v>2</v>
      </c>
      <c r="P73" s="556">
        <v>36.97</v>
      </c>
      <c r="Q73" s="558">
        <v>0.5</v>
      </c>
      <c r="R73" s="553">
        <v>1</v>
      </c>
      <c r="S73" s="558">
        <v>0.5</v>
      </c>
      <c r="T73" s="557">
        <v>1</v>
      </c>
      <c r="U73" s="559">
        <v>0.5</v>
      </c>
    </row>
    <row r="74" spans="1:21" ht="14.4" customHeight="1" x14ac:dyDescent="0.3">
      <c r="A74" s="552">
        <v>29</v>
      </c>
      <c r="B74" s="553" t="s">
        <v>469</v>
      </c>
      <c r="C74" s="553" t="s">
        <v>642</v>
      </c>
      <c r="D74" s="554" t="s">
        <v>1148</v>
      </c>
      <c r="E74" s="555" t="s">
        <v>648</v>
      </c>
      <c r="F74" s="553" t="s">
        <v>639</v>
      </c>
      <c r="G74" s="553" t="s">
        <v>689</v>
      </c>
      <c r="H74" s="553" t="s">
        <v>470</v>
      </c>
      <c r="I74" s="553" t="s">
        <v>578</v>
      </c>
      <c r="J74" s="553" t="s">
        <v>579</v>
      </c>
      <c r="K74" s="553" t="s">
        <v>580</v>
      </c>
      <c r="L74" s="556">
        <v>115.13</v>
      </c>
      <c r="M74" s="556">
        <v>115.13</v>
      </c>
      <c r="N74" s="553">
        <v>1</v>
      </c>
      <c r="O74" s="557">
        <v>1</v>
      </c>
      <c r="P74" s="556">
        <v>115.13</v>
      </c>
      <c r="Q74" s="558">
        <v>1</v>
      </c>
      <c r="R74" s="553">
        <v>1</v>
      </c>
      <c r="S74" s="558">
        <v>1</v>
      </c>
      <c r="T74" s="557">
        <v>1</v>
      </c>
      <c r="U74" s="559">
        <v>1</v>
      </c>
    </row>
    <row r="75" spans="1:21" ht="14.4" customHeight="1" x14ac:dyDescent="0.3">
      <c r="A75" s="552">
        <v>29</v>
      </c>
      <c r="B75" s="553" t="s">
        <v>469</v>
      </c>
      <c r="C75" s="553" t="s">
        <v>642</v>
      </c>
      <c r="D75" s="554" t="s">
        <v>1148</v>
      </c>
      <c r="E75" s="555" t="s">
        <v>648</v>
      </c>
      <c r="F75" s="553" t="s">
        <v>639</v>
      </c>
      <c r="G75" s="553" t="s">
        <v>690</v>
      </c>
      <c r="H75" s="553" t="s">
        <v>585</v>
      </c>
      <c r="I75" s="553" t="s">
        <v>833</v>
      </c>
      <c r="J75" s="553" t="s">
        <v>834</v>
      </c>
      <c r="K75" s="553" t="s">
        <v>835</v>
      </c>
      <c r="L75" s="556">
        <v>1847.49</v>
      </c>
      <c r="M75" s="556">
        <v>1847.49</v>
      </c>
      <c r="N75" s="553">
        <v>1</v>
      </c>
      <c r="O75" s="557">
        <v>1</v>
      </c>
      <c r="P75" s="556">
        <v>1847.49</v>
      </c>
      <c r="Q75" s="558">
        <v>1</v>
      </c>
      <c r="R75" s="553">
        <v>1</v>
      </c>
      <c r="S75" s="558">
        <v>1</v>
      </c>
      <c r="T75" s="557">
        <v>1</v>
      </c>
      <c r="U75" s="559">
        <v>1</v>
      </c>
    </row>
    <row r="76" spans="1:21" ht="14.4" customHeight="1" x14ac:dyDescent="0.3">
      <c r="A76" s="552">
        <v>29</v>
      </c>
      <c r="B76" s="553" t="s">
        <v>469</v>
      </c>
      <c r="C76" s="553" t="s">
        <v>642</v>
      </c>
      <c r="D76" s="554" t="s">
        <v>1148</v>
      </c>
      <c r="E76" s="555" t="s">
        <v>648</v>
      </c>
      <c r="F76" s="553" t="s">
        <v>639</v>
      </c>
      <c r="G76" s="553" t="s">
        <v>706</v>
      </c>
      <c r="H76" s="553" t="s">
        <v>470</v>
      </c>
      <c r="I76" s="553" t="s">
        <v>836</v>
      </c>
      <c r="J76" s="553" t="s">
        <v>837</v>
      </c>
      <c r="K76" s="553" t="s">
        <v>838</v>
      </c>
      <c r="L76" s="556">
        <v>161.66</v>
      </c>
      <c r="M76" s="556">
        <v>161.66</v>
      </c>
      <c r="N76" s="553">
        <v>1</v>
      </c>
      <c r="O76" s="557">
        <v>1</v>
      </c>
      <c r="P76" s="556">
        <v>161.66</v>
      </c>
      <c r="Q76" s="558">
        <v>1</v>
      </c>
      <c r="R76" s="553">
        <v>1</v>
      </c>
      <c r="S76" s="558">
        <v>1</v>
      </c>
      <c r="T76" s="557">
        <v>1</v>
      </c>
      <c r="U76" s="559">
        <v>1</v>
      </c>
    </row>
    <row r="77" spans="1:21" ht="14.4" customHeight="1" x14ac:dyDescent="0.3">
      <c r="A77" s="552">
        <v>29</v>
      </c>
      <c r="B77" s="553" t="s">
        <v>469</v>
      </c>
      <c r="C77" s="553" t="s">
        <v>642</v>
      </c>
      <c r="D77" s="554" t="s">
        <v>1148</v>
      </c>
      <c r="E77" s="555" t="s">
        <v>648</v>
      </c>
      <c r="F77" s="553" t="s">
        <v>639</v>
      </c>
      <c r="G77" s="553" t="s">
        <v>715</v>
      </c>
      <c r="H77" s="553" t="s">
        <v>470</v>
      </c>
      <c r="I77" s="553" t="s">
        <v>716</v>
      </c>
      <c r="J77" s="553" t="s">
        <v>717</v>
      </c>
      <c r="K77" s="553" t="s">
        <v>718</v>
      </c>
      <c r="L77" s="556">
        <v>0</v>
      </c>
      <c r="M77" s="556">
        <v>0</v>
      </c>
      <c r="N77" s="553">
        <v>1</v>
      </c>
      <c r="O77" s="557">
        <v>0.5</v>
      </c>
      <c r="P77" s="556"/>
      <c r="Q77" s="558"/>
      <c r="R77" s="553"/>
      <c r="S77" s="558">
        <v>0</v>
      </c>
      <c r="T77" s="557"/>
      <c r="U77" s="559">
        <v>0</v>
      </c>
    </row>
    <row r="78" spans="1:21" ht="14.4" customHeight="1" x14ac:dyDescent="0.3">
      <c r="A78" s="552">
        <v>29</v>
      </c>
      <c r="B78" s="553" t="s">
        <v>469</v>
      </c>
      <c r="C78" s="553" t="s">
        <v>642</v>
      </c>
      <c r="D78" s="554" t="s">
        <v>1148</v>
      </c>
      <c r="E78" s="555" t="s">
        <v>648</v>
      </c>
      <c r="F78" s="553" t="s">
        <v>639</v>
      </c>
      <c r="G78" s="553" t="s">
        <v>719</v>
      </c>
      <c r="H78" s="553" t="s">
        <v>470</v>
      </c>
      <c r="I78" s="553" t="s">
        <v>582</v>
      </c>
      <c r="J78" s="553" t="s">
        <v>583</v>
      </c>
      <c r="K78" s="553" t="s">
        <v>721</v>
      </c>
      <c r="L78" s="556">
        <v>289.27</v>
      </c>
      <c r="M78" s="556">
        <v>2024.8899999999999</v>
      </c>
      <c r="N78" s="553">
        <v>7</v>
      </c>
      <c r="O78" s="557">
        <v>6</v>
      </c>
      <c r="P78" s="556">
        <v>1446.35</v>
      </c>
      <c r="Q78" s="558">
        <v>0.7142857142857143</v>
      </c>
      <c r="R78" s="553">
        <v>5</v>
      </c>
      <c r="S78" s="558">
        <v>0.7142857142857143</v>
      </c>
      <c r="T78" s="557">
        <v>4</v>
      </c>
      <c r="U78" s="559">
        <v>0.66666666666666663</v>
      </c>
    </row>
    <row r="79" spans="1:21" ht="14.4" customHeight="1" x14ac:dyDescent="0.3">
      <c r="A79" s="552">
        <v>29</v>
      </c>
      <c r="B79" s="553" t="s">
        <v>469</v>
      </c>
      <c r="C79" s="553" t="s">
        <v>642</v>
      </c>
      <c r="D79" s="554" t="s">
        <v>1148</v>
      </c>
      <c r="E79" s="555" t="s">
        <v>648</v>
      </c>
      <c r="F79" s="553" t="s">
        <v>641</v>
      </c>
      <c r="G79" s="553" t="s">
        <v>736</v>
      </c>
      <c r="H79" s="553" t="s">
        <v>470</v>
      </c>
      <c r="I79" s="553" t="s">
        <v>740</v>
      </c>
      <c r="J79" s="553" t="s">
        <v>738</v>
      </c>
      <c r="K79" s="553" t="s">
        <v>741</v>
      </c>
      <c r="L79" s="556">
        <v>175.15</v>
      </c>
      <c r="M79" s="556">
        <v>525.45000000000005</v>
      </c>
      <c r="N79" s="553">
        <v>3</v>
      </c>
      <c r="O79" s="557">
        <v>3</v>
      </c>
      <c r="P79" s="556">
        <v>350.3</v>
      </c>
      <c r="Q79" s="558">
        <v>0.66666666666666663</v>
      </c>
      <c r="R79" s="553">
        <v>2</v>
      </c>
      <c r="S79" s="558">
        <v>0.66666666666666663</v>
      </c>
      <c r="T79" s="557">
        <v>2</v>
      </c>
      <c r="U79" s="559">
        <v>0.66666666666666663</v>
      </c>
    </row>
    <row r="80" spans="1:21" ht="14.4" customHeight="1" x14ac:dyDescent="0.3">
      <c r="A80" s="552">
        <v>29</v>
      </c>
      <c r="B80" s="553" t="s">
        <v>469</v>
      </c>
      <c r="C80" s="553" t="s">
        <v>642</v>
      </c>
      <c r="D80" s="554" t="s">
        <v>1148</v>
      </c>
      <c r="E80" s="555" t="s">
        <v>648</v>
      </c>
      <c r="F80" s="553" t="s">
        <v>641</v>
      </c>
      <c r="G80" s="553" t="s">
        <v>736</v>
      </c>
      <c r="H80" s="553" t="s">
        <v>470</v>
      </c>
      <c r="I80" s="553" t="s">
        <v>742</v>
      </c>
      <c r="J80" s="553" t="s">
        <v>738</v>
      </c>
      <c r="K80" s="553" t="s">
        <v>743</v>
      </c>
      <c r="L80" s="556">
        <v>200</v>
      </c>
      <c r="M80" s="556">
        <v>2800</v>
      </c>
      <c r="N80" s="553">
        <v>14</v>
      </c>
      <c r="O80" s="557">
        <v>8</v>
      </c>
      <c r="P80" s="556">
        <v>1400</v>
      </c>
      <c r="Q80" s="558">
        <v>0.5</v>
      </c>
      <c r="R80" s="553">
        <v>7</v>
      </c>
      <c r="S80" s="558">
        <v>0.5</v>
      </c>
      <c r="T80" s="557">
        <v>4</v>
      </c>
      <c r="U80" s="559">
        <v>0.5</v>
      </c>
    </row>
    <row r="81" spans="1:21" ht="14.4" customHeight="1" x14ac:dyDescent="0.3">
      <c r="A81" s="552">
        <v>29</v>
      </c>
      <c r="B81" s="553" t="s">
        <v>469</v>
      </c>
      <c r="C81" s="553" t="s">
        <v>642</v>
      </c>
      <c r="D81" s="554" t="s">
        <v>1148</v>
      </c>
      <c r="E81" s="555" t="s">
        <v>648</v>
      </c>
      <c r="F81" s="553" t="s">
        <v>641</v>
      </c>
      <c r="G81" s="553" t="s">
        <v>736</v>
      </c>
      <c r="H81" s="553" t="s">
        <v>470</v>
      </c>
      <c r="I81" s="553" t="s">
        <v>839</v>
      </c>
      <c r="J81" s="553" t="s">
        <v>748</v>
      </c>
      <c r="K81" s="553" t="s">
        <v>840</v>
      </c>
      <c r="L81" s="556">
        <v>128</v>
      </c>
      <c r="M81" s="556">
        <v>128</v>
      </c>
      <c r="N81" s="553">
        <v>1</v>
      </c>
      <c r="O81" s="557">
        <v>1</v>
      </c>
      <c r="P81" s="556">
        <v>128</v>
      </c>
      <c r="Q81" s="558">
        <v>1</v>
      </c>
      <c r="R81" s="553">
        <v>1</v>
      </c>
      <c r="S81" s="558">
        <v>1</v>
      </c>
      <c r="T81" s="557">
        <v>1</v>
      </c>
      <c r="U81" s="559">
        <v>1</v>
      </c>
    </row>
    <row r="82" spans="1:21" ht="14.4" customHeight="1" x14ac:dyDescent="0.3">
      <c r="A82" s="552">
        <v>29</v>
      </c>
      <c r="B82" s="553" t="s">
        <v>469</v>
      </c>
      <c r="C82" s="553" t="s">
        <v>642</v>
      </c>
      <c r="D82" s="554" t="s">
        <v>1148</v>
      </c>
      <c r="E82" s="555" t="s">
        <v>648</v>
      </c>
      <c r="F82" s="553" t="s">
        <v>641</v>
      </c>
      <c r="G82" s="553" t="s">
        <v>736</v>
      </c>
      <c r="H82" s="553" t="s">
        <v>470</v>
      </c>
      <c r="I82" s="553" t="s">
        <v>747</v>
      </c>
      <c r="J82" s="553" t="s">
        <v>748</v>
      </c>
      <c r="K82" s="553" t="s">
        <v>749</v>
      </c>
      <c r="L82" s="556">
        <v>156</v>
      </c>
      <c r="M82" s="556">
        <v>312</v>
      </c>
      <c r="N82" s="553">
        <v>2</v>
      </c>
      <c r="O82" s="557">
        <v>2</v>
      </c>
      <c r="P82" s="556">
        <v>312</v>
      </c>
      <c r="Q82" s="558">
        <v>1</v>
      </c>
      <c r="R82" s="553">
        <v>2</v>
      </c>
      <c r="S82" s="558">
        <v>1</v>
      </c>
      <c r="T82" s="557">
        <v>2</v>
      </c>
      <c r="U82" s="559">
        <v>1</v>
      </c>
    </row>
    <row r="83" spans="1:21" ht="14.4" customHeight="1" x14ac:dyDescent="0.3">
      <c r="A83" s="552">
        <v>29</v>
      </c>
      <c r="B83" s="553" t="s">
        <v>469</v>
      </c>
      <c r="C83" s="553" t="s">
        <v>642</v>
      </c>
      <c r="D83" s="554" t="s">
        <v>1148</v>
      </c>
      <c r="E83" s="555" t="s">
        <v>648</v>
      </c>
      <c r="F83" s="553" t="s">
        <v>641</v>
      </c>
      <c r="G83" s="553" t="s">
        <v>736</v>
      </c>
      <c r="H83" s="553" t="s">
        <v>470</v>
      </c>
      <c r="I83" s="553" t="s">
        <v>841</v>
      </c>
      <c r="J83" s="553" t="s">
        <v>748</v>
      </c>
      <c r="K83" s="553" t="s">
        <v>842</v>
      </c>
      <c r="L83" s="556">
        <v>178</v>
      </c>
      <c r="M83" s="556">
        <v>356</v>
      </c>
      <c r="N83" s="553">
        <v>2</v>
      </c>
      <c r="O83" s="557">
        <v>1</v>
      </c>
      <c r="P83" s="556">
        <v>356</v>
      </c>
      <c r="Q83" s="558">
        <v>1</v>
      </c>
      <c r="R83" s="553">
        <v>2</v>
      </c>
      <c r="S83" s="558">
        <v>1</v>
      </c>
      <c r="T83" s="557">
        <v>1</v>
      </c>
      <c r="U83" s="559">
        <v>1</v>
      </c>
    </row>
    <row r="84" spans="1:21" ht="14.4" customHeight="1" x14ac:dyDescent="0.3">
      <c r="A84" s="552">
        <v>29</v>
      </c>
      <c r="B84" s="553" t="s">
        <v>469</v>
      </c>
      <c r="C84" s="553" t="s">
        <v>642</v>
      </c>
      <c r="D84" s="554" t="s">
        <v>1148</v>
      </c>
      <c r="E84" s="555" t="s">
        <v>648</v>
      </c>
      <c r="F84" s="553" t="s">
        <v>641</v>
      </c>
      <c r="G84" s="553" t="s">
        <v>781</v>
      </c>
      <c r="H84" s="553" t="s">
        <v>470</v>
      </c>
      <c r="I84" s="553" t="s">
        <v>782</v>
      </c>
      <c r="J84" s="553" t="s">
        <v>783</v>
      </c>
      <c r="K84" s="553" t="s">
        <v>784</v>
      </c>
      <c r="L84" s="556">
        <v>410</v>
      </c>
      <c r="M84" s="556">
        <v>1640</v>
      </c>
      <c r="N84" s="553">
        <v>4</v>
      </c>
      <c r="O84" s="557">
        <v>4</v>
      </c>
      <c r="P84" s="556">
        <v>1640</v>
      </c>
      <c r="Q84" s="558">
        <v>1</v>
      </c>
      <c r="R84" s="553">
        <v>4</v>
      </c>
      <c r="S84" s="558">
        <v>1</v>
      </c>
      <c r="T84" s="557">
        <v>4</v>
      </c>
      <c r="U84" s="559">
        <v>1</v>
      </c>
    </row>
    <row r="85" spans="1:21" ht="14.4" customHeight="1" x14ac:dyDescent="0.3">
      <c r="A85" s="552">
        <v>29</v>
      </c>
      <c r="B85" s="553" t="s">
        <v>469</v>
      </c>
      <c r="C85" s="553" t="s">
        <v>642</v>
      </c>
      <c r="D85" s="554" t="s">
        <v>1148</v>
      </c>
      <c r="E85" s="555" t="s">
        <v>648</v>
      </c>
      <c r="F85" s="553" t="s">
        <v>641</v>
      </c>
      <c r="G85" s="553" t="s">
        <v>781</v>
      </c>
      <c r="H85" s="553" t="s">
        <v>470</v>
      </c>
      <c r="I85" s="553" t="s">
        <v>785</v>
      </c>
      <c r="J85" s="553" t="s">
        <v>786</v>
      </c>
      <c r="K85" s="553" t="s">
        <v>787</v>
      </c>
      <c r="L85" s="556">
        <v>566</v>
      </c>
      <c r="M85" s="556">
        <v>1132</v>
      </c>
      <c r="N85" s="553">
        <v>2</v>
      </c>
      <c r="O85" s="557">
        <v>2</v>
      </c>
      <c r="P85" s="556">
        <v>566</v>
      </c>
      <c r="Q85" s="558">
        <v>0.5</v>
      </c>
      <c r="R85" s="553">
        <v>1</v>
      </c>
      <c r="S85" s="558">
        <v>0.5</v>
      </c>
      <c r="T85" s="557">
        <v>1</v>
      </c>
      <c r="U85" s="559">
        <v>0.5</v>
      </c>
    </row>
    <row r="86" spans="1:21" ht="14.4" customHeight="1" x14ac:dyDescent="0.3">
      <c r="A86" s="552">
        <v>29</v>
      </c>
      <c r="B86" s="553" t="s">
        <v>469</v>
      </c>
      <c r="C86" s="553" t="s">
        <v>642</v>
      </c>
      <c r="D86" s="554" t="s">
        <v>1148</v>
      </c>
      <c r="E86" s="555" t="s">
        <v>648</v>
      </c>
      <c r="F86" s="553" t="s">
        <v>641</v>
      </c>
      <c r="G86" s="553" t="s">
        <v>791</v>
      </c>
      <c r="H86" s="553" t="s">
        <v>470</v>
      </c>
      <c r="I86" s="553" t="s">
        <v>792</v>
      </c>
      <c r="J86" s="553" t="s">
        <v>793</v>
      </c>
      <c r="K86" s="553" t="s">
        <v>794</v>
      </c>
      <c r="L86" s="556">
        <v>378.48</v>
      </c>
      <c r="M86" s="556">
        <v>378.48</v>
      </c>
      <c r="N86" s="553">
        <v>1</v>
      </c>
      <c r="O86" s="557">
        <v>1</v>
      </c>
      <c r="P86" s="556">
        <v>378.48</v>
      </c>
      <c r="Q86" s="558">
        <v>1</v>
      </c>
      <c r="R86" s="553">
        <v>1</v>
      </c>
      <c r="S86" s="558">
        <v>1</v>
      </c>
      <c r="T86" s="557">
        <v>1</v>
      </c>
      <c r="U86" s="559">
        <v>1</v>
      </c>
    </row>
    <row r="87" spans="1:21" ht="14.4" customHeight="1" x14ac:dyDescent="0.3">
      <c r="A87" s="552">
        <v>29</v>
      </c>
      <c r="B87" s="553" t="s">
        <v>469</v>
      </c>
      <c r="C87" s="553" t="s">
        <v>642</v>
      </c>
      <c r="D87" s="554" t="s">
        <v>1148</v>
      </c>
      <c r="E87" s="555" t="s">
        <v>648</v>
      </c>
      <c r="F87" s="553" t="s">
        <v>641</v>
      </c>
      <c r="G87" s="553" t="s">
        <v>791</v>
      </c>
      <c r="H87" s="553" t="s">
        <v>470</v>
      </c>
      <c r="I87" s="553" t="s">
        <v>843</v>
      </c>
      <c r="J87" s="553" t="s">
        <v>844</v>
      </c>
      <c r="K87" s="553" t="s">
        <v>845</v>
      </c>
      <c r="L87" s="556">
        <v>409.87</v>
      </c>
      <c r="M87" s="556">
        <v>409.87</v>
      </c>
      <c r="N87" s="553">
        <v>1</v>
      </c>
      <c r="O87" s="557">
        <v>1</v>
      </c>
      <c r="P87" s="556">
        <v>409.87</v>
      </c>
      <c r="Q87" s="558">
        <v>1</v>
      </c>
      <c r="R87" s="553">
        <v>1</v>
      </c>
      <c r="S87" s="558">
        <v>1</v>
      </c>
      <c r="T87" s="557">
        <v>1</v>
      </c>
      <c r="U87" s="559">
        <v>1</v>
      </c>
    </row>
    <row r="88" spans="1:21" ht="14.4" customHeight="1" x14ac:dyDescent="0.3">
      <c r="A88" s="552">
        <v>29</v>
      </c>
      <c r="B88" s="553" t="s">
        <v>469</v>
      </c>
      <c r="C88" s="553" t="s">
        <v>642</v>
      </c>
      <c r="D88" s="554" t="s">
        <v>1148</v>
      </c>
      <c r="E88" s="555" t="s">
        <v>648</v>
      </c>
      <c r="F88" s="553" t="s">
        <v>641</v>
      </c>
      <c r="G88" s="553" t="s">
        <v>791</v>
      </c>
      <c r="H88" s="553" t="s">
        <v>470</v>
      </c>
      <c r="I88" s="553" t="s">
        <v>846</v>
      </c>
      <c r="J88" s="553" t="s">
        <v>847</v>
      </c>
      <c r="K88" s="553" t="s">
        <v>848</v>
      </c>
      <c r="L88" s="556">
        <v>195.56</v>
      </c>
      <c r="M88" s="556">
        <v>195.56</v>
      </c>
      <c r="N88" s="553">
        <v>1</v>
      </c>
      <c r="O88" s="557">
        <v>1</v>
      </c>
      <c r="P88" s="556"/>
      <c r="Q88" s="558">
        <v>0</v>
      </c>
      <c r="R88" s="553"/>
      <c r="S88" s="558">
        <v>0</v>
      </c>
      <c r="T88" s="557"/>
      <c r="U88" s="559">
        <v>0</v>
      </c>
    </row>
    <row r="89" spans="1:21" ht="14.4" customHeight="1" x14ac:dyDescent="0.3">
      <c r="A89" s="552">
        <v>29</v>
      </c>
      <c r="B89" s="553" t="s">
        <v>469</v>
      </c>
      <c r="C89" s="553" t="s">
        <v>642</v>
      </c>
      <c r="D89" s="554" t="s">
        <v>1148</v>
      </c>
      <c r="E89" s="555" t="s">
        <v>648</v>
      </c>
      <c r="F89" s="553" t="s">
        <v>641</v>
      </c>
      <c r="G89" s="553" t="s">
        <v>791</v>
      </c>
      <c r="H89" s="553" t="s">
        <v>470</v>
      </c>
      <c r="I89" s="553" t="s">
        <v>849</v>
      </c>
      <c r="J89" s="553" t="s">
        <v>850</v>
      </c>
      <c r="K89" s="553" t="s">
        <v>851</v>
      </c>
      <c r="L89" s="556">
        <v>45.52</v>
      </c>
      <c r="M89" s="556">
        <v>45.52</v>
      </c>
      <c r="N89" s="553">
        <v>1</v>
      </c>
      <c r="O89" s="557">
        <v>1</v>
      </c>
      <c r="P89" s="556">
        <v>45.52</v>
      </c>
      <c r="Q89" s="558">
        <v>1</v>
      </c>
      <c r="R89" s="553">
        <v>1</v>
      </c>
      <c r="S89" s="558">
        <v>1</v>
      </c>
      <c r="T89" s="557">
        <v>1</v>
      </c>
      <c r="U89" s="559">
        <v>1</v>
      </c>
    </row>
    <row r="90" spans="1:21" ht="14.4" customHeight="1" x14ac:dyDescent="0.3">
      <c r="A90" s="552">
        <v>29</v>
      </c>
      <c r="B90" s="553" t="s">
        <v>469</v>
      </c>
      <c r="C90" s="553" t="s">
        <v>642</v>
      </c>
      <c r="D90" s="554" t="s">
        <v>1148</v>
      </c>
      <c r="E90" s="555" t="s">
        <v>648</v>
      </c>
      <c r="F90" s="553" t="s">
        <v>641</v>
      </c>
      <c r="G90" s="553" t="s">
        <v>791</v>
      </c>
      <c r="H90" s="553" t="s">
        <v>470</v>
      </c>
      <c r="I90" s="553" t="s">
        <v>852</v>
      </c>
      <c r="J90" s="553" t="s">
        <v>853</v>
      </c>
      <c r="K90" s="553" t="s">
        <v>854</v>
      </c>
      <c r="L90" s="556">
        <v>999.78</v>
      </c>
      <c r="M90" s="556">
        <v>999.78</v>
      </c>
      <c r="N90" s="553">
        <v>1</v>
      </c>
      <c r="O90" s="557">
        <v>1</v>
      </c>
      <c r="P90" s="556"/>
      <c r="Q90" s="558">
        <v>0</v>
      </c>
      <c r="R90" s="553"/>
      <c r="S90" s="558">
        <v>0</v>
      </c>
      <c r="T90" s="557"/>
      <c r="U90" s="559">
        <v>0</v>
      </c>
    </row>
    <row r="91" spans="1:21" ht="14.4" customHeight="1" x14ac:dyDescent="0.3">
      <c r="A91" s="552">
        <v>29</v>
      </c>
      <c r="B91" s="553" t="s">
        <v>469</v>
      </c>
      <c r="C91" s="553" t="s">
        <v>642</v>
      </c>
      <c r="D91" s="554" t="s">
        <v>1148</v>
      </c>
      <c r="E91" s="555" t="s">
        <v>648</v>
      </c>
      <c r="F91" s="553" t="s">
        <v>641</v>
      </c>
      <c r="G91" s="553" t="s">
        <v>791</v>
      </c>
      <c r="H91" s="553" t="s">
        <v>470</v>
      </c>
      <c r="I91" s="553" t="s">
        <v>855</v>
      </c>
      <c r="J91" s="553" t="s">
        <v>856</v>
      </c>
      <c r="K91" s="553" t="s">
        <v>857</v>
      </c>
      <c r="L91" s="556">
        <v>250</v>
      </c>
      <c r="M91" s="556">
        <v>250</v>
      </c>
      <c r="N91" s="553">
        <v>1</v>
      </c>
      <c r="O91" s="557">
        <v>1</v>
      </c>
      <c r="P91" s="556"/>
      <c r="Q91" s="558">
        <v>0</v>
      </c>
      <c r="R91" s="553"/>
      <c r="S91" s="558">
        <v>0</v>
      </c>
      <c r="T91" s="557"/>
      <c r="U91" s="559">
        <v>0</v>
      </c>
    </row>
    <row r="92" spans="1:21" ht="14.4" customHeight="1" x14ac:dyDescent="0.3">
      <c r="A92" s="552">
        <v>29</v>
      </c>
      <c r="B92" s="553" t="s">
        <v>469</v>
      </c>
      <c r="C92" s="553" t="s">
        <v>642</v>
      </c>
      <c r="D92" s="554" t="s">
        <v>1148</v>
      </c>
      <c r="E92" s="555" t="s">
        <v>648</v>
      </c>
      <c r="F92" s="553" t="s">
        <v>641</v>
      </c>
      <c r="G92" s="553" t="s">
        <v>791</v>
      </c>
      <c r="H92" s="553" t="s">
        <v>470</v>
      </c>
      <c r="I92" s="553" t="s">
        <v>858</v>
      </c>
      <c r="J92" s="553" t="s">
        <v>859</v>
      </c>
      <c r="K92" s="553" t="s">
        <v>860</v>
      </c>
      <c r="L92" s="556">
        <v>1139.25</v>
      </c>
      <c r="M92" s="556">
        <v>1139.25</v>
      </c>
      <c r="N92" s="553">
        <v>1</v>
      </c>
      <c r="O92" s="557">
        <v>1</v>
      </c>
      <c r="P92" s="556"/>
      <c r="Q92" s="558">
        <v>0</v>
      </c>
      <c r="R92" s="553"/>
      <c r="S92" s="558">
        <v>0</v>
      </c>
      <c r="T92" s="557"/>
      <c r="U92" s="559">
        <v>0</v>
      </c>
    </row>
    <row r="93" spans="1:21" ht="14.4" customHeight="1" x14ac:dyDescent="0.3">
      <c r="A93" s="552">
        <v>29</v>
      </c>
      <c r="B93" s="553" t="s">
        <v>469</v>
      </c>
      <c r="C93" s="553" t="s">
        <v>642</v>
      </c>
      <c r="D93" s="554" t="s">
        <v>1148</v>
      </c>
      <c r="E93" s="555" t="s">
        <v>648</v>
      </c>
      <c r="F93" s="553" t="s">
        <v>641</v>
      </c>
      <c r="G93" s="553" t="s">
        <v>791</v>
      </c>
      <c r="H93" s="553" t="s">
        <v>470</v>
      </c>
      <c r="I93" s="553" t="s">
        <v>861</v>
      </c>
      <c r="J93" s="553" t="s">
        <v>862</v>
      </c>
      <c r="K93" s="553" t="s">
        <v>863</v>
      </c>
      <c r="L93" s="556">
        <v>318.76</v>
      </c>
      <c r="M93" s="556">
        <v>318.76</v>
      </c>
      <c r="N93" s="553">
        <v>1</v>
      </c>
      <c r="O93" s="557">
        <v>1</v>
      </c>
      <c r="P93" s="556"/>
      <c r="Q93" s="558">
        <v>0</v>
      </c>
      <c r="R93" s="553"/>
      <c r="S93" s="558">
        <v>0</v>
      </c>
      <c r="T93" s="557"/>
      <c r="U93" s="559">
        <v>0</v>
      </c>
    </row>
    <row r="94" spans="1:21" ht="14.4" customHeight="1" x14ac:dyDescent="0.3">
      <c r="A94" s="552">
        <v>29</v>
      </c>
      <c r="B94" s="553" t="s">
        <v>469</v>
      </c>
      <c r="C94" s="553" t="s">
        <v>642</v>
      </c>
      <c r="D94" s="554" t="s">
        <v>1148</v>
      </c>
      <c r="E94" s="555" t="s">
        <v>648</v>
      </c>
      <c r="F94" s="553" t="s">
        <v>641</v>
      </c>
      <c r="G94" s="553" t="s">
        <v>813</v>
      </c>
      <c r="H94" s="553" t="s">
        <v>470</v>
      </c>
      <c r="I94" s="553" t="s">
        <v>814</v>
      </c>
      <c r="J94" s="553" t="s">
        <v>815</v>
      </c>
      <c r="K94" s="553" t="s">
        <v>816</v>
      </c>
      <c r="L94" s="556">
        <v>200</v>
      </c>
      <c r="M94" s="556">
        <v>400</v>
      </c>
      <c r="N94" s="553">
        <v>2</v>
      </c>
      <c r="O94" s="557">
        <v>1</v>
      </c>
      <c r="P94" s="556">
        <v>400</v>
      </c>
      <c r="Q94" s="558">
        <v>1</v>
      </c>
      <c r="R94" s="553">
        <v>2</v>
      </c>
      <c r="S94" s="558">
        <v>1</v>
      </c>
      <c r="T94" s="557">
        <v>1</v>
      </c>
      <c r="U94" s="559">
        <v>1</v>
      </c>
    </row>
    <row r="95" spans="1:21" ht="14.4" customHeight="1" x14ac:dyDescent="0.3">
      <c r="A95" s="552">
        <v>29</v>
      </c>
      <c r="B95" s="553" t="s">
        <v>469</v>
      </c>
      <c r="C95" s="553" t="s">
        <v>642</v>
      </c>
      <c r="D95" s="554" t="s">
        <v>1148</v>
      </c>
      <c r="E95" s="555" t="s">
        <v>648</v>
      </c>
      <c r="F95" s="553" t="s">
        <v>641</v>
      </c>
      <c r="G95" s="553" t="s">
        <v>864</v>
      </c>
      <c r="H95" s="553" t="s">
        <v>470</v>
      </c>
      <c r="I95" s="553" t="s">
        <v>865</v>
      </c>
      <c r="J95" s="553" t="s">
        <v>866</v>
      </c>
      <c r="K95" s="553"/>
      <c r="L95" s="556">
        <v>0</v>
      </c>
      <c r="M95" s="556">
        <v>0</v>
      </c>
      <c r="N95" s="553">
        <v>1</v>
      </c>
      <c r="O95" s="557">
        <v>1</v>
      </c>
      <c r="P95" s="556"/>
      <c r="Q95" s="558"/>
      <c r="R95" s="553"/>
      <c r="S95" s="558">
        <v>0</v>
      </c>
      <c r="T95" s="557"/>
      <c r="U95" s="559">
        <v>0</v>
      </c>
    </row>
    <row r="96" spans="1:21" ht="14.4" customHeight="1" x14ac:dyDescent="0.3">
      <c r="A96" s="552">
        <v>29</v>
      </c>
      <c r="B96" s="553" t="s">
        <v>469</v>
      </c>
      <c r="C96" s="553" t="s">
        <v>642</v>
      </c>
      <c r="D96" s="554" t="s">
        <v>1148</v>
      </c>
      <c r="E96" s="555" t="s">
        <v>649</v>
      </c>
      <c r="F96" s="553" t="s">
        <v>639</v>
      </c>
      <c r="G96" s="553" t="s">
        <v>654</v>
      </c>
      <c r="H96" s="553" t="s">
        <v>585</v>
      </c>
      <c r="I96" s="553" t="s">
        <v>655</v>
      </c>
      <c r="J96" s="553" t="s">
        <v>656</v>
      </c>
      <c r="K96" s="553" t="s">
        <v>657</v>
      </c>
      <c r="L96" s="556">
        <v>150.04</v>
      </c>
      <c r="M96" s="556">
        <v>150.04</v>
      </c>
      <c r="N96" s="553">
        <v>1</v>
      </c>
      <c r="O96" s="557">
        <v>0.5</v>
      </c>
      <c r="P96" s="556">
        <v>150.04</v>
      </c>
      <c r="Q96" s="558">
        <v>1</v>
      </c>
      <c r="R96" s="553">
        <v>1</v>
      </c>
      <c r="S96" s="558">
        <v>1</v>
      </c>
      <c r="T96" s="557">
        <v>0.5</v>
      </c>
      <c r="U96" s="559">
        <v>1</v>
      </c>
    </row>
    <row r="97" spans="1:21" ht="14.4" customHeight="1" x14ac:dyDescent="0.3">
      <c r="A97" s="552">
        <v>29</v>
      </c>
      <c r="B97" s="553" t="s">
        <v>469</v>
      </c>
      <c r="C97" s="553" t="s">
        <v>642</v>
      </c>
      <c r="D97" s="554" t="s">
        <v>1148</v>
      </c>
      <c r="E97" s="555" t="s">
        <v>649</v>
      </c>
      <c r="F97" s="553" t="s">
        <v>639</v>
      </c>
      <c r="G97" s="553" t="s">
        <v>654</v>
      </c>
      <c r="H97" s="553" t="s">
        <v>585</v>
      </c>
      <c r="I97" s="553" t="s">
        <v>655</v>
      </c>
      <c r="J97" s="553" t="s">
        <v>656</v>
      </c>
      <c r="K97" s="553" t="s">
        <v>657</v>
      </c>
      <c r="L97" s="556">
        <v>154.36000000000001</v>
      </c>
      <c r="M97" s="556">
        <v>1080.52</v>
      </c>
      <c r="N97" s="553">
        <v>7</v>
      </c>
      <c r="O97" s="557">
        <v>5.5</v>
      </c>
      <c r="P97" s="556">
        <v>463.08000000000004</v>
      </c>
      <c r="Q97" s="558">
        <v>0.4285714285714286</v>
      </c>
      <c r="R97" s="553">
        <v>3</v>
      </c>
      <c r="S97" s="558">
        <v>0.42857142857142855</v>
      </c>
      <c r="T97" s="557">
        <v>2.5</v>
      </c>
      <c r="U97" s="559">
        <v>0.45454545454545453</v>
      </c>
    </row>
    <row r="98" spans="1:21" ht="14.4" customHeight="1" x14ac:dyDescent="0.3">
      <c r="A98" s="552">
        <v>29</v>
      </c>
      <c r="B98" s="553" t="s">
        <v>469</v>
      </c>
      <c r="C98" s="553" t="s">
        <v>642</v>
      </c>
      <c r="D98" s="554" t="s">
        <v>1148</v>
      </c>
      <c r="E98" s="555" t="s">
        <v>649</v>
      </c>
      <c r="F98" s="553" t="s">
        <v>639</v>
      </c>
      <c r="G98" s="553" t="s">
        <v>654</v>
      </c>
      <c r="H98" s="553" t="s">
        <v>585</v>
      </c>
      <c r="I98" s="553" t="s">
        <v>867</v>
      </c>
      <c r="J98" s="553" t="s">
        <v>868</v>
      </c>
      <c r="K98" s="553" t="s">
        <v>869</v>
      </c>
      <c r="L98" s="556">
        <v>66.08</v>
      </c>
      <c r="M98" s="556">
        <v>66.08</v>
      </c>
      <c r="N98" s="553">
        <v>1</v>
      </c>
      <c r="O98" s="557">
        <v>0.5</v>
      </c>
      <c r="P98" s="556">
        <v>66.08</v>
      </c>
      <c r="Q98" s="558">
        <v>1</v>
      </c>
      <c r="R98" s="553">
        <v>1</v>
      </c>
      <c r="S98" s="558">
        <v>1</v>
      </c>
      <c r="T98" s="557">
        <v>0.5</v>
      </c>
      <c r="U98" s="559">
        <v>1</v>
      </c>
    </row>
    <row r="99" spans="1:21" ht="14.4" customHeight="1" x14ac:dyDescent="0.3">
      <c r="A99" s="552">
        <v>29</v>
      </c>
      <c r="B99" s="553" t="s">
        <v>469</v>
      </c>
      <c r="C99" s="553" t="s">
        <v>642</v>
      </c>
      <c r="D99" s="554" t="s">
        <v>1148</v>
      </c>
      <c r="E99" s="555" t="s">
        <v>649</v>
      </c>
      <c r="F99" s="553" t="s">
        <v>639</v>
      </c>
      <c r="G99" s="553" t="s">
        <v>870</v>
      </c>
      <c r="H99" s="553" t="s">
        <v>470</v>
      </c>
      <c r="I99" s="553" t="s">
        <v>871</v>
      </c>
      <c r="J99" s="553" t="s">
        <v>872</v>
      </c>
      <c r="K99" s="553" t="s">
        <v>684</v>
      </c>
      <c r="L99" s="556">
        <v>43.76</v>
      </c>
      <c r="M99" s="556">
        <v>131.28</v>
      </c>
      <c r="N99" s="553">
        <v>3</v>
      </c>
      <c r="O99" s="557">
        <v>2</v>
      </c>
      <c r="P99" s="556">
        <v>131.28</v>
      </c>
      <c r="Q99" s="558">
        <v>1</v>
      </c>
      <c r="R99" s="553">
        <v>3</v>
      </c>
      <c r="S99" s="558">
        <v>1</v>
      </c>
      <c r="T99" s="557">
        <v>2</v>
      </c>
      <c r="U99" s="559">
        <v>1</v>
      </c>
    </row>
    <row r="100" spans="1:21" ht="14.4" customHeight="1" x14ac:dyDescent="0.3">
      <c r="A100" s="552">
        <v>29</v>
      </c>
      <c r="B100" s="553" t="s">
        <v>469</v>
      </c>
      <c r="C100" s="553" t="s">
        <v>642</v>
      </c>
      <c r="D100" s="554" t="s">
        <v>1148</v>
      </c>
      <c r="E100" s="555" t="s">
        <v>649</v>
      </c>
      <c r="F100" s="553" t="s">
        <v>639</v>
      </c>
      <c r="G100" s="553" t="s">
        <v>658</v>
      </c>
      <c r="H100" s="553" t="s">
        <v>470</v>
      </c>
      <c r="I100" s="553" t="s">
        <v>659</v>
      </c>
      <c r="J100" s="553" t="s">
        <v>660</v>
      </c>
      <c r="K100" s="553" t="s">
        <v>661</v>
      </c>
      <c r="L100" s="556">
        <v>0</v>
      </c>
      <c r="M100" s="556">
        <v>0</v>
      </c>
      <c r="N100" s="553">
        <v>13</v>
      </c>
      <c r="O100" s="557">
        <v>13</v>
      </c>
      <c r="P100" s="556">
        <v>0</v>
      </c>
      <c r="Q100" s="558"/>
      <c r="R100" s="553">
        <v>13</v>
      </c>
      <c r="S100" s="558">
        <v>1</v>
      </c>
      <c r="T100" s="557">
        <v>13</v>
      </c>
      <c r="U100" s="559">
        <v>1</v>
      </c>
    </row>
    <row r="101" spans="1:21" ht="14.4" customHeight="1" x14ac:dyDescent="0.3">
      <c r="A101" s="552">
        <v>29</v>
      </c>
      <c r="B101" s="553" t="s">
        <v>469</v>
      </c>
      <c r="C101" s="553" t="s">
        <v>642</v>
      </c>
      <c r="D101" s="554" t="s">
        <v>1148</v>
      </c>
      <c r="E101" s="555" t="s">
        <v>649</v>
      </c>
      <c r="F101" s="553" t="s">
        <v>639</v>
      </c>
      <c r="G101" s="553" t="s">
        <v>658</v>
      </c>
      <c r="H101" s="553" t="s">
        <v>470</v>
      </c>
      <c r="I101" s="553" t="s">
        <v>873</v>
      </c>
      <c r="J101" s="553" t="s">
        <v>660</v>
      </c>
      <c r="K101" s="553" t="s">
        <v>661</v>
      </c>
      <c r="L101" s="556">
        <v>0</v>
      </c>
      <c r="M101" s="556">
        <v>0</v>
      </c>
      <c r="N101" s="553">
        <v>8</v>
      </c>
      <c r="O101" s="557">
        <v>8</v>
      </c>
      <c r="P101" s="556">
        <v>0</v>
      </c>
      <c r="Q101" s="558"/>
      <c r="R101" s="553">
        <v>8</v>
      </c>
      <c r="S101" s="558">
        <v>1</v>
      </c>
      <c r="T101" s="557">
        <v>8</v>
      </c>
      <c r="U101" s="559">
        <v>1</v>
      </c>
    </row>
    <row r="102" spans="1:21" ht="14.4" customHeight="1" x14ac:dyDescent="0.3">
      <c r="A102" s="552">
        <v>29</v>
      </c>
      <c r="B102" s="553" t="s">
        <v>469</v>
      </c>
      <c r="C102" s="553" t="s">
        <v>642</v>
      </c>
      <c r="D102" s="554" t="s">
        <v>1148</v>
      </c>
      <c r="E102" s="555" t="s">
        <v>649</v>
      </c>
      <c r="F102" s="553" t="s">
        <v>639</v>
      </c>
      <c r="G102" s="553" t="s">
        <v>817</v>
      </c>
      <c r="H102" s="553" t="s">
        <v>470</v>
      </c>
      <c r="I102" s="553" t="s">
        <v>874</v>
      </c>
      <c r="J102" s="553" t="s">
        <v>819</v>
      </c>
      <c r="K102" s="553" t="s">
        <v>820</v>
      </c>
      <c r="L102" s="556">
        <v>170.52</v>
      </c>
      <c r="M102" s="556">
        <v>1023.12</v>
      </c>
      <c r="N102" s="553">
        <v>6</v>
      </c>
      <c r="O102" s="557">
        <v>5</v>
      </c>
      <c r="P102" s="556">
        <v>852.6</v>
      </c>
      <c r="Q102" s="558">
        <v>0.83333333333333337</v>
      </c>
      <c r="R102" s="553">
        <v>5</v>
      </c>
      <c r="S102" s="558">
        <v>0.83333333333333337</v>
      </c>
      <c r="T102" s="557">
        <v>4</v>
      </c>
      <c r="U102" s="559">
        <v>0.8</v>
      </c>
    </row>
    <row r="103" spans="1:21" ht="14.4" customHeight="1" x14ac:dyDescent="0.3">
      <c r="A103" s="552">
        <v>29</v>
      </c>
      <c r="B103" s="553" t="s">
        <v>469</v>
      </c>
      <c r="C103" s="553" t="s">
        <v>642</v>
      </c>
      <c r="D103" s="554" t="s">
        <v>1148</v>
      </c>
      <c r="E103" s="555" t="s">
        <v>649</v>
      </c>
      <c r="F103" s="553" t="s">
        <v>639</v>
      </c>
      <c r="G103" s="553" t="s">
        <v>817</v>
      </c>
      <c r="H103" s="553" t="s">
        <v>470</v>
      </c>
      <c r="I103" s="553" t="s">
        <v>818</v>
      </c>
      <c r="J103" s="553" t="s">
        <v>819</v>
      </c>
      <c r="K103" s="553" t="s">
        <v>820</v>
      </c>
      <c r="L103" s="556">
        <v>170.52</v>
      </c>
      <c r="M103" s="556">
        <v>341.04</v>
      </c>
      <c r="N103" s="553">
        <v>2</v>
      </c>
      <c r="O103" s="557">
        <v>1.5</v>
      </c>
      <c r="P103" s="556">
        <v>170.52</v>
      </c>
      <c r="Q103" s="558">
        <v>0.5</v>
      </c>
      <c r="R103" s="553">
        <v>1</v>
      </c>
      <c r="S103" s="558">
        <v>0.5</v>
      </c>
      <c r="T103" s="557">
        <v>0.5</v>
      </c>
      <c r="U103" s="559">
        <v>0.33333333333333331</v>
      </c>
    </row>
    <row r="104" spans="1:21" ht="14.4" customHeight="1" x14ac:dyDescent="0.3">
      <c r="A104" s="552">
        <v>29</v>
      </c>
      <c r="B104" s="553" t="s">
        <v>469</v>
      </c>
      <c r="C104" s="553" t="s">
        <v>642</v>
      </c>
      <c r="D104" s="554" t="s">
        <v>1148</v>
      </c>
      <c r="E104" s="555" t="s">
        <v>649</v>
      </c>
      <c r="F104" s="553" t="s">
        <v>639</v>
      </c>
      <c r="G104" s="553" t="s">
        <v>875</v>
      </c>
      <c r="H104" s="553" t="s">
        <v>470</v>
      </c>
      <c r="I104" s="553" t="s">
        <v>876</v>
      </c>
      <c r="J104" s="553" t="s">
        <v>877</v>
      </c>
      <c r="K104" s="553" t="s">
        <v>878</v>
      </c>
      <c r="L104" s="556">
        <v>72.5</v>
      </c>
      <c r="M104" s="556">
        <v>72.5</v>
      </c>
      <c r="N104" s="553">
        <v>1</v>
      </c>
      <c r="O104" s="557">
        <v>0.5</v>
      </c>
      <c r="P104" s="556"/>
      <c r="Q104" s="558">
        <v>0</v>
      </c>
      <c r="R104" s="553"/>
      <c r="S104" s="558">
        <v>0</v>
      </c>
      <c r="T104" s="557"/>
      <c r="U104" s="559">
        <v>0</v>
      </c>
    </row>
    <row r="105" spans="1:21" ht="14.4" customHeight="1" x14ac:dyDescent="0.3">
      <c r="A105" s="552">
        <v>29</v>
      </c>
      <c r="B105" s="553" t="s">
        <v>469</v>
      </c>
      <c r="C105" s="553" t="s">
        <v>642</v>
      </c>
      <c r="D105" s="554" t="s">
        <v>1148</v>
      </c>
      <c r="E105" s="555" t="s">
        <v>649</v>
      </c>
      <c r="F105" s="553" t="s">
        <v>639</v>
      </c>
      <c r="G105" s="553" t="s">
        <v>879</v>
      </c>
      <c r="H105" s="553" t="s">
        <v>470</v>
      </c>
      <c r="I105" s="553" t="s">
        <v>880</v>
      </c>
      <c r="J105" s="553" t="s">
        <v>881</v>
      </c>
      <c r="K105" s="553" t="s">
        <v>820</v>
      </c>
      <c r="L105" s="556">
        <v>66.819999999999993</v>
      </c>
      <c r="M105" s="556">
        <v>66.819999999999993</v>
      </c>
      <c r="N105" s="553">
        <v>1</v>
      </c>
      <c r="O105" s="557">
        <v>1</v>
      </c>
      <c r="P105" s="556"/>
      <c r="Q105" s="558">
        <v>0</v>
      </c>
      <c r="R105" s="553"/>
      <c r="S105" s="558">
        <v>0</v>
      </c>
      <c r="T105" s="557"/>
      <c r="U105" s="559">
        <v>0</v>
      </c>
    </row>
    <row r="106" spans="1:21" ht="14.4" customHeight="1" x14ac:dyDescent="0.3">
      <c r="A106" s="552">
        <v>29</v>
      </c>
      <c r="B106" s="553" t="s">
        <v>469</v>
      </c>
      <c r="C106" s="553" t="s">
        <v>642</v>
      </c>
      <c r="D106" s="554" t="s">
        <v>1148</v>
      </c>
      <c r="E106" s="555" t="s">
        <v>649</v>
      </c>
      <c r="F106" s="553" t="s">
        <v>639</v>
      </c>
      <c r="G106" s="553" t="s">
        <v>879</v>
      </c>
      <c r="H106" s="553" t="s">
        <v>470</v>
      </c>
      <c r="I106" s="553" t="s">
        <v>880</v>
      </c>
      <c r="J106" s="553" t="s">
        <v>881</v>
      </c>
      <c r="K106" s="553" t="s">
        <v>820</v>
      </c>
      <c r="L106" s="556">
        <v>78.33</v>
      </c>
      <c r="M106" s="556">
        <v>156.66</v>
      </c>
      <c r="N106" s="553">
        <v>2</v>
      </c>
      <c r="O106" s="557">
        <v>2</v>
      </c>
      <c r="P106" s="556">
        <v>156.66</v>
      </c>
      <c r="Q106" s="558">
        <v>1</v>
      </c>
      <c r="R106" s="553">
        <v>2</v>
      </c>
      <c r="S106" s="558">
        <v>1</v>
      </c>
      <c r="T106" s="557">
        <v>2</v>
      </c>
      <c r="U106" s="559">
        <v>1</v>
      </c>
    </row>
    <row r="107" spans="1:21" ht="14.4" customHeight="1" x14ac:dyDescent="0.3">
      <c r="A107" s="552">
        <v>29</v>
      </c>
      <c r="B107" s="553" t="s">
        <v>469</v>
      </c>
      <c r="C107" s="553" t="s">
        <v>642</v>
      </c>
      <c r="D107" s="554" t="s">
        <v>1148</v>
      </c>
      <c r="E107" s="555" t="s">
        <v>649</v>
      </c>
      <c r="F107" s="553" t="s">
        <v>639</v>
      </c>
      <c r="G107" s="553" t="s">
        <v>882</v>
      </c>
      <c r="H107" s="553" t="s">
        <v>470</v>
      </c>
      <c r="I107" s="553" t="s">
        <v>883</v>
      </c>
      <c r="J107" s="553" t="s">
        <v>884</v>
      </c>
      <c r="K107" s="553" t="s">
        <v>885</v>
      </c>
      <c r="L107" s="556">
        <v>90.77</v>
      </c>
      <c r="M107" s="556">
        <v>90.77</v>
      </c>
      <c r="N107" s="553">
        <v>1</v>
      </c>
      <c r="O107" s="557">
        <v>0.5</v>
      </c>
      <c r="P107" s="556">
        <v>90.77</v>
      </c>
      <c r="Q107" s="558">
        <v>1</v>
      </c>
      <c r="R107" s="553">
        <v>1</v>
      </c>
      <c r="S107" s="558">
        <v>1</v>
      </c>
      <c r="T107" s="557">
        <v>0.5</v>
      </c>
      <c r="U107" s="559">
        <v>1</v>
      </c>
    </row>
    <row r="108" spans="1:21" ht="14.4" customHeight="1" x14ac:dyDescent="0.3">
      <c r="A108" s="552">
        <v>29</v>
      </c>
      <c r="B108" s="553" t="s">
        <v>469</v>
      </c>
      <c r="C108" s="553" t="s">
        <v>642</v>
      </c>
      <c r="D108" s="554" t="s">
        <v>1148</v>
      </c>
      <c r="E108" s="555" t="s">
        <v>649</v>
      </c>
      <c r="F108" s="553" t="s">
        <v>639</v>
      </c>
      <c r="G108" s="553" t="s">
        <v>821</v>
      </c>
      <c r="H108" s="553" t="s">
        <v>470</v>
      </c>
      <c r="I108" s="553" t="s">
        <v>822</v>
      </c>
      <c r="J108" s="553" t="s">
        <v>823</v>
      </c>
      <c r="K108" s="553" t="s">
        <v>824</v>
      </c>
      <c r="L108" s="556">
        <v>110.28</v>
      </c>
      <c r="M108" s="556">
        <v>110.28</v>
      </c>
      <c r="N108" s="553">
        <v>1</v>
      </c>
      <c r="O108" s="557">
        <v>1</v>
      </c>
      <c r="P108" s="556">
        <v>110.28</v>
      </c>
      <c r="Q108" s="558">
        <v>1</v>
      </c>
      <c r="R108" s="553">
        <v>1</v>
      </c>
      <c r="S108" s="558">
        <v>1</v>
      </c>
      <c r="T108" s="557">
        <v>1</v>
      </c>
      <c r="U108" s="559">
        <v>1</v>
      </c>
    </row>
    <row r="109" spans="1:21" ht="14.4" customHeight="1" x14ac:dyDescent="0.3">
      <c r="A109" s="552">
        <v>29</v>
      </c>
      <c r="B109" s="553" t="s">
        <v>469</v>
      </c>
      <c r="C109" s="553" t="s">
        <v>642</v>
      </c>
      <c r="D109" s="554" t="s">
        <v>1148</v>
      </c>
      <c r="E109" s="555" t="s">
        <v>649</v>
      </c>
      <c r="F109" s="553" t="s">
        <v>639</v>
      </c>
      <c r="G109" s="553" t="s">
        <v>886</v>
      </c>
      <c r="H109" s="553" t="s">
        <v>470</v>
      </c>
      <c r="I109" s="553" t="s">
        <v>887</v>
      </c>
      <c r="J109" s="553" t="s">
        <v>888</v>
      </c>
      <c r="K109" s="553" t="s">
        <v>889</v>
      </c>
      <c r="L109" s="556">
        <v>173.14</v>
      </c>
      <c r="M109" s="556">
        <v>173.14</v>
      </c>
      <c r="N109" s="553">
        <v>1</v>
      </c>
      <c r="O109" s="557">
        <v>0.5</v>
      </c>
      <c r="P109" s="556"/>
      <c r="Q109" s="558">
        <v>0</v>
      </c>
      <c r="R109" s="553"/>
      <c r="S109" s="558">
        <v>0</v>
      </c>
      <c r="T109" s="557"/>
      <c r="U109" s="559">
        <v>0</v>
      </c>
    </row>
    <row r="110" spans="1:21" ht="14.4" customHeight="1" x14ac:dyDescent="0.3">
      <c r="A110" s="552">
        <v>29</v>
      </c>
      <c r="B110" s="553" t="s">
        <v>469</v>
      </c>
      <c r="C110" s="553" t="s">
        <v>642</v>
      </c>
      <c r="D110" s="554" t="s">
        <v>1148</v>
      </c>
      <c r="E110" s="555" t="s">
        <v>649</v>
      </c>
      <c r="F110" s="553" t="s">
        <v>639</v>
      </c>
      <c r="G110" s="553" t="s">
        <v>669</v>
      </c>
      <c r="H110" s="553" t="s">
        <v>470</v>
      </c>
      <c r="I110" s="553" t="s">
        <v>570</v>
      </c>
      <c r="J110" s="553" t="s">
        <v>571</v>
      </c>
      <c r="K110" s="553" t="s">
        <v>670</v>
      </c>
      <c r="L110" s="556">
        <v>48.09</v>
      </c>
      <c r="M110" s="556">
        <v>240.45000000000002</v>
      </c>
      <c r="N110" s="553">
        <v>5</v>
      </c>
      <c r="O110" s="557">
        <v>4</v>
      </c>
      <c r="P110" s="556">
        <v>192.36</v>
      </c>
      <c r="Q110" s="558">
        <v>0.8</v>
      </c>
      <c r="R110" s="553">
        <v>4</v>
      </c>
      <c r="S110" s="558">
        <v>0.8</v>
      </c>
      <c r="T110" s="557">
        <v>3</v>
      </c>
      <c r="U110" s="559">
        <v>0.75</v>
      </c>
    </row>
    <row r="111" spans="1:21" ht="14.4" customHeight="1" x14ac:dyDescent="0.3">
      <c r="A111" s="552">
        <v>29</v>
      </c>
      <c r="B111" s="553" t="s">
        <v>469</v>
      </c>
      <c r="C111" s="553" t="s">
        <v>642</v>
      </c>
      <c r="D111" s="554" t="s">
        <v>1148</v>
      </c>
      <c r="E111" s="555" t="s">
        <v>649</v>
      </c>
      <c r="F111" s="553" t="s">
        <v>639</v>
      </c>
      <c r="G111" s="553" t="s">
        <v>829</v>
      </c>
      <c r="H111" s="553" t="s">
        <v>470</v>
      </c>
      <c r="I111" s="553" t="s">
        <v>890</v>
      </c>
      <c r="J111" s="553" t="s">
        <v>831</v>
      </c>
      <c r="K111" s="553" t="s">
        <v>891</v>
      </c>
      <c r="L111" s="556">
        <v>0</v>
      </c>
      <c r="M111" s="556">
        <v>0</v>
      </c>
      <c r="N111" s="553">
        <v>2</v>
      </c>
      <c r="O111" s="557">
        <v>1</v>
      </c>
      <c r="P111" s="556">
        <v>0</v>
      </c>
      <c r="Q111" s="558"/>
      <c r="R111" s="553">
        <v>2</v>
      </c>
      <c r="S111" s="558">
        <v>1</v>
      </c>
      <c r="T111" s="557">
        <v>1</v>
      </c>
      <c r="U111" s="559">
        <v>1</v>
      </c>
    </row>
    <row r="112" spans="1:21" ht="14.4" customHeight="1" x14ac:dyDescent="0.3">
      <c r="A112" s="552">
        <v>29</v>
      </c>
      <c r="B112" s="553" t="s">
        <v>469</v>
      </c>
      <c r="C112" s="553" t="s">
        <v>642</v>
      </c>
      <c r="D112" s="554" t="s">
        <v>1148</v>
      </c>
      <c r="E112" s="555" t="s">
        <v>649</v>
      </c>
      <c r="F112" s="553" t="s">
        <v>639</v>
      </c>
      <c r="G112" s="553" t="s">
        <v>829</v>
      </c>
      <c r="H112" s="553" t="s">
        <v>470</v>
      </c>
      <c r="I112" s="553" t="s">
        <v>830</v>
      </c>
      <c r="J112" s="553" t="s">
        <v>831</v>
      </c>
      <c r="K112" s="553" t="s">
        <v>832</v>
      </c>
      <c r="L112" s="556">
        <v>0</v>
      </c>
      <c r="M112" s="556">
        <v>0</v>
      </c>
      <c r="N112" s="553">
        <v>1</v>
      </c>
      <c r="O112" s="557">
        <v>0.5</v>
      </c>
      <c r="P112" s="556">
        <v>0</v>
      </c>
      <c r="Q112" s="558"/>
      <c r="R112" s="553">
        <v>1</v>
      </c>
      <c r="S112" s="558">
        <v>1</v>
      </c>
      <c r="T112" s="557">
        <v>0.5</v>
      </c>
      <c r="U112" s="559">
        <v>1</v>
      </c>
    </row>
    <row r="113" spans="1:21" ht="14.4" customHeight="1" x14ac:dyDescent="0.3">
      <c r="A113" s="552">
        <v>29</v>
      </c>
      <c r="B113" s="553" t="s">
        <v>469</v>
      </c>
      <c r="C113" s="553" t="s">
        <v>642</v>
      </c>
      <c r="D113" s="554" t="s">
        <v>1148</v>
      </c>
      <c r="E113" s="555" t="s">
        <v>649</v>
      </c>
      <c r="F113" s="553" t="s">
        <v>639</v>
      </c>
      <c r="G113" s="553" t="s">
        <v>829</v>
      </c>
      <c r="H113" s="553" t="s">
        <v>470</v>
      </c>
      <c r="I113" s="553" t="s">
        <v>892</v>
      </c>
      <c r="J113" s="553" t="s">
        <v>893</v>
      </c>
      <c r="K113" s="553" t="s">
        <v>894</v>
      </c>
      <c r="L113" s="556">
        <v>0</v>
      </c>
      <c r="M113" s="556">
        <v>0</v>
      </c>
      <c r="N113" s="553">
        <v>5</v>
      </c>
      <c r="O113" s="557">
        <v>2.5</v>
      </c>
      <c r="P113" s="556">
        <v>0</v>
      </c>
      <c r="Q113" s="558"/>
      <c r="R113" s="553">
        <v>1</v>
      </c>
      <c r="S113" s="558">
        <v>0.2</v>
      </c>
      <c r="T113" s="557">
        <v>0.5</v>
      </c>
      <c r="U113" s="559">
        <v>0.2</v>
      </c>
    </row>
    <row r="114" spans="1:21" ht="14.4" customHeight="1" x14ac:dyDescent="0.3">
      <c r="A114" s="552">
        <v>29</v>
      </c>
      <c r="B114" s="553" t="s">
        <v>469</v>
      </c>
      <c r="C114" s="553" t="s">
        <v>642</v>
      </c>
      <c r="D114" s="554" t="s">
        <v>1148</v>
      </c>
      <c r="E114" s="555" t="s">
        <v>649</v>
      </c>
      <c r="F114" s="553" t="s">
        <v>639</v>
      </c>
      <c r="G114" s="553" t="s">
        <v>895</v>
      </c>
      <c r="H114" s="553" t="s">
        <v>470</v>
      </c>
      <c r="I114" s="553" t="s">
        <v>896</v>
      </c>
      <c r="J114" s="553" t="s">
        <v>897</v>
      </c>
      <c r="K114" s="553" t="s">
        <v>898</v>
      </c>
      <c r="L114" s="556">
        <v>59.85</v>
      </c>
      <c r="M114" s="556">
        <v>59.85</v>
      </c>
      <c r="N114" s="553">
        <v>1</v>
      </c>
      <c r="O114" s="557">
        <v>1</v>
      </c>
      <c r="P114" s="556">
        <v>59.85</v>
      </c>
      <c r="Q114" s="558">
        <v>1</v>
      </c>
      <c r="R114" s="553">
        <v>1</v>
      </c>
      <c r="S114" s="558">
        <v>1</v>
      </c>
      <c r="T114" s="557">
        <v>1</v>
      </c>
      <c r="U114" s="559">
        <v>1</v>
      </c>
    </row>
    <row r="115" spans="1:21" ht="14.4" customHeight="1" x14ac:dyDescent="0.3">
      <c r="A115" s="552">
        <v>29</v>
      </c>
      <c r="B115" s="553" t="s">
        <v>469</v>
      </c>
      <c r="C115" s="553" t="s">
        <v>642</v>
      </c>
      <c r="D115" s="554" t="s">
        <v>1148</v>
      </c>
      <c r="E115" s="555" t="s">
        <v>649</v>
      </c>
      <c r="F115" s="553" t="s">
        <v>639</v>
      </c>
      <c r="G115" s="553" t="s">
        <v>895</v>
      </c>
      <c r="H115" s="553" t="s">
        <v>470</v>
      </c>
      <c r="I115" s="553" t="s">
        <v>899</v>
      </c>
      <c r="J115" s="553" t="s">
        <v>897</v>
      </c>
      <c r="K115" s="553" t="s">
        <v>900</v>
      </c>
      <c r="L115" s="556">
        <v>83.79</v>
      </c>
      <c r="M115" s="556">
        <v>83.79</v>
      </c>
      <c r="N115" s="553">
        <v>1</v>
      </c>
      <c r="O115" s="557">
        <v>0.5</v>
      </c>
      <c r="P115" s="556">
        <v>83.79</v>
      </c>
      <c r="Q115" s="558">
        <v>1</v>
      </c>
      <c r="R115" s="553">
        <v>1</v>
      </c>
      <c r="S115" s="558">
        <v>1</v>
      </c>
      <c r="T115" s="557">
        <v>0.5</v>
      </c>
      <c r="U115" s="559">
        <v>1</v>
      </c>
    </row>
    <row r="116" spans="1:21" ht="14.4" customHeight="1" x14ac:dyDescent="0.3">
      <c r="A116" s="552">
        <v>29</v>
      </c>
      <c r="B116" s="553" t="s">
        <v>469</v>
      </c>
      <c r="C116" s="553" t="s">
        <v>642</v>
      </c>
      <c r="D116" s="554" t="s">
        <v>1148</v>
      </c>
      <c r="E116" s="555" t="s">
        <v>649</v>
      </c>
      <c r="F116" s="553" t="s">
        <v>639</v>
      </c>
      <c r="G116" s="553" t="s">
        <v>901</v>
      </c>
      <c r="H116" s="553" t="s">
        <v>470</v>
      </c>
      <c r="I116" s="553" t="s">
        <v>902</v>
      </c>
      <c r="J116" s="553" t="s">
        <v>546</v>
      </c>
      <c r="K116" s="553" t="s">
        <v>903</v>
      </c>
      <c r="L116" s="556">
        <v>244.64</v>
      </c>
      <c r="M116" s="556">
        <v>244.64</v>
      </c>
      <c r="N116" s="553">
        <v>1</v>
      </c>
      <c r="O116" s="557">
        <v>1</v>
      </c>
      <c r="P116" s="556">
        <v>244.64</v>
      </c>
      <c r="Q116" s="558">
        <v>1</v>
      </c>
      <c r="R116" s="553">
        <v>1</v>
      </c>
      <c r="S116" s="558">
        <v>1</v>
      </c>
      <c r="T116" s="557">
        <v>1</v>
      </c>
      <c r="U116" s="559">
        <v>1</v>
      </c>
    </row>
    <row r="117" spans="1:21" ht="14.4" customHeight="1" x14ac:dyDescent="0.3">
      <c r="A117" s="552">
        <v>29</v>
      </c>
      <c r="B117" s="553" t="s">
        <v>469</v>
      </c>
      <c r="C117" s="553" t="s">
        <v>642</v>
      </c>
      <c r="D117" s="554" t="s">
        <v>1148</v>
      </c>
      <c r="E117" s="555" t="s">
        <v>649</v>
      </c>
      <c r="F117" s="553" t="s">
        <v>639</v>
      </c>
      <c r="G117" s="553" t="s">
        <v>683</v>
      </c>
      <c r="H117" s="553" t="s">
        <v>470</v>
      </c>
      <c r="I117" s="553" t="s">
        <v>574</v>
      </c>
      <c r="J117" s="553" t="s">
        <v>575</v>
      </c>
      <c r="K117" s="553" t="s">
        <v>684</v>
      </c>
      <c r="L117" s="556">
        <v>36.97</v>
      </c>
      <c r="M117" s="556">
        <v>295.76</v>
      </c>
      <c r="N117" s="553">
        <v>8</v>
      </c>
      <c r="O117" s="557">
        <v>7</v>
      </c>
      <c r="P117" s="556">
        <v>73.94</v>
      </c>
      <c r="Q117" s="558">
        <v>0.25</v>
      </c>
      <c r="R117" s="553">
        <v>2</v>
      </c>
      <c r="S117" s="558">
        <v>0.25</v>
      </c>
      <c r="T117" s="557">
        <v>2</v>
      </c>
      <c r="U117" s="559">
        <v>0.2857142857142857</v>
      </c>
    </row>
    <row r="118" spans="1:21" ht="14.4" customHeight="1" x14ac:dyDescent="0.3">
      <c r="A118" s="552">
        <v>29</v>
      </c>
      <c r="B118" s="553" t="s">
        <v>469</v>
      </c>
      <c r="C118" s="553" t="s">
        <v>642</v>
      </c>
      <c r="D118" s="554" t="s">
        <v>1148</v>
      </c>
      <c r="E118" s="555" t="s">
        <v>649</v>
      </c>
      <c r="F118" s="553" t="s">
        <v>639</v>
      </c>
      <c r="G118" s="553" t="s">
        <v>904</v>
      </c>
      <c r="H118" s="553" t="s">
        <v>470</v>
      </c>
      <c r="I118" s="553" t="s">
        <v>905</v>
      </c>
      <c r="J118" s="553" t="s">
        <v>906</v>
      </c>
      <c r="K118" s="553" t="s">
        <v>703</v>
      </c>
      <c r="L118" s="556">
        <v>0</v>
      </c>
      <c r="M118" s="556">
        <v>0</v>
      </c>
      <c r="N118" s="553">
        <v>1</v>
      </c>
      <c r="O118" s="557">
        <v>1</v>
      </c>
      <c r="P118" s="556">
        <v>0</v>
      </c>
      <c r="Q118" s="558"/>
      <c r="R118" s="553">
        <v>1</v>
      </c>
      <c r="S118" s="558">
        <v>1</v>
      </c>
      <c r="T118" s="557">
        <v>1</v>
      </c>
      <c r="U118" s="559">
        <v>1</v>
      </c>
    </row>
    <row r="119" spans="1:21" ht="14.4" customHeight="1" x14ac:dyDescent="0.3">
      <c r="A119" s="552">
        <v>29</v>
      </c>
      <c r="B119" s="553" t="s">
        <v>469</v>
      </c>
      <c r="C119" s="553" t="s">
        <v>642</v>
      </c>
      <c r="D119" s="554" t="s">
        <v>1148</v>
      </c>
      <c r="E119" s="555" t="s">
        <v>649</v>
      </c>
      <c r="F119" s="553" t="s">
        <v>639</v>
      </c>
      <c r="G119" s="553" t="s">
        <v>689</v>
      </c>
      <c r="H119" s="553" t="s">
        <v>470</v>
      </c>
      <c r="I119" s="553" t="s">
        <v>578</v>
      </c>
      <c r="J119" s="553" t="s">
        <v>579</v>
      </c>
      <c r="K119" s="553" t="s">
        <v>580</v>
      </c>
      <c r="L119" s="556">
        <v>115.13</v>
      </c>
      <c r="M119" s="556">
        <v>345.39</v>
      </c>
      <c r="N119" s="553">
        <v>3</v>
      </c>
      <c r="O119" s="557">
        <v>2.5</v>
      </c>
      <c r="P119" s="556"/>
      <c r="Q119" s="558">
        <v>0</v>
      </c>
      <c r="R119" s="553"/>
      <c r="S119" s="558">
        <v>0</v>
      </c>
      <c r="T119" s="557"/>
      <c r="U119" s="559">
        <v>0</v>
      </c>
    </row>
    <row r="120" spans="1:21" ht="14.4" customHeight="1" x14ac:dyDescent="0.3">
      <c r="A120" s="552">
        <v>29</v>
      </c>
      <c r="B120" s="553" t="s">
        <v>469</v>
      </c>
      <c r="C120" s="553" t="s">
        <v>642</v>
      </c>
      <c r="D120" s="554" t="s">
        <v>1148</v>
      </c>
      <c r="E120" s="555" t="s">
        <v>649</v>
      </c>
      <c r="F120" s="553" t="s">
        <v>639</v>
      </c>
      <c r="G120" s="553" t="s">
        <v>700</v>
      </c>
      <c r="H120" s="553" t="s">
        <v>585</v>
      </c>
      <c r="I120" s="553" t="s">
        <v>701</v>
      </c>
      <c r="J120" s="553" t="s">
        <v>702</v>
      </c>
      <c r="K120" s="553" t="s">
        <v>703</v>
      </c>
      <c r="L120" s="556">
        <v>48.42</v>
      </c>
      <c r="M120" s="556">
        <v>48.42</v>
      </c>
      <c r="N120" s="553">
        <v>1</v>
      </c>
      <c r="O120" s="557">
        <v>0.5</v>
      </c>
      <c r="P120" s="556"/>
      <c r="Q120" s="558">
        <v>0</v>
      </c>
      <c r="R120" s="553"/>
      <c r="S120" s="558">
        <v>0</v>
      </c>
      <c r="T120" s="557"/>
      <c r="U120" s="559">
        <v>0</v>
      </c>
    </row>
    <row r="121" spans="1:21" ht="14.4" customHeight="1" x14ac:dyDescent="0.3">
      <c r="A121" s="552">
        <v>29</v>
      </c>
      <c r="B121" s="553" t="s">
        <v>469</v>
      </c>
      <c r="C121" s="553" t="s">
        <v>642</v>
      </c>
      <c r="D121" s="554" t="s">
        <v>1148</v>
      </c>
      <c r="E121" s="555" t="s">
        <v>649</v>
      </c>
      <c r="F121" s="553" t="s">
        <v>639</v>
      </c>
      <c r="G121" s="553" t="s">
        <v>700</v>
      </c>
      <c r="H121" s="553" t="s">
        <v>585</v>
      </c>
      <c r="I121" s="553" t="s">
        <v>704</v>
      </c>
      <c r="J121" s="553" t="s">
        <v>702</v>
      </c>
      <c r="K121" s="553" t="s">
        <v>705</v>
      </c>
      <c r="L121" s="556">
        <v>0</v>
      </c>
      <c r="M121" s="556">
        <v>0</v>
      </c>
      <c r="N121" s="553">
        <v>1</v>
      </c>
      <c r="O121" s="557">
        <v>0.5</v>
      </c>
      <c r="P121" s="556">
        <v>0</v>
      </c>
      <c r="Q121" s="558"/>
      <c r="R121" s="553">
        <v>1</v>
      </c>
      <c r="S121" s="558">
        <v>1</v>
      </c>
      <c r="T121" s="557">
        <v>0.5</v>
      </c>
      <c r="U121" s="559">
        <v>1</v>
      </c>
    </row>
    <row r="122" spans="1:21" ht="14.4" customHeight="1" x14ac:dyDescent="0.3">
      <c r="A122" s="552">
        <v>29</v>
      </c>
      <c r="B122" s="553" t="s">
        <v>469</v>
      </c>
      <c r="C122" s="553" t="s">
        <v>642</v>
      </c>
      <c r="D122" s="554" t="s">
        <v>1148</v>
      </c>
      <c r="E122" s="555" t="s">
        <v>649</v>
      </c>
      <c r="F122" s="553" t="s">
        <v>639</v>
      </c>
      <c r="G122" s="553" t="s">
        <v>700</v>
      </c>
      <c r="H122" s="553" t="s">
        <v>470</v>
      </c>
      <c r="I122" s="553" t="s">
        <v>907</v>
      </c>
      <c r="J122" s="553" t="s">
        <v>908</v>
      </c>
      <c r="K122" s="553" t="s">
        <v>909</v>
      </c>
      <c r="L122" s="556">
        <v>0</v>
      </c>
      <c r="M122" s="556">
        <v>0</v>
      </c>
      <c r="N122" s="553">
        <v>1</v>
      </c>
      <c r="O122" s="557">
        <v>0.5</v>
      </c>
      <c r="P122" s="556">
        <v>0</v>
      </c>
      <c r="Q122" s="558"/>
      <c r="R122" s="553">
        <v>1</v>
      </c>
      <c r="S122" s="558">
        <v>1</v>
      </c>
      <c r="T122" s="557">
        <v>0.5</v>
      </c>
      <c r="U122" s="559">
        <v>1</v>
      </c>
    </row>
    <row r="123" spans="1:21" ht="14.4" customHeight="1" x14ac:dyDescent="0.3">
      <c r="A123" s="552">
        <v>29</v>
      </c>
      <c r="B123" s="553" t="s">
        <v>469</v>
      </c>
      <c r="C123" s="553" t="s">
        <v>642</v>
      </c>
      <c r="D123" s="554" t="s">
        <v>1148</v>
      </c>
      <c r="E123" s="555" t="s">
        <v>649</v>
      </c>
      <c r="F123" s="553" t="s">
        <v>639</v>
      </c>
      <c r="G123" s="553" t="s">
        <v>700</v>
      </c>
      <c r="H123" s="553" t="s">
        <v>470</v>
      </c>
      <c r="I123" s="553" t="s">
        <v>910</v>
      </c>
      <c r="J123" s="553" t="s">
        <v>908</v>
      </c>
      <c r="K123" s="553" t="s">
        <v>911</v>
      </c>
      <c r="L123" s="556">
        <v>0</v>
      </c>
      <c r="M123" s="556">
        <v>0</v>
      </c>
      <c r="N123" s="553">
        <v>1</v>
      </c>
      <c r="O123" s="557">
        <v>0.5</v>
      </c>
      <c r="P123" s="556"/>
      <c r="Q123" s="558"/>
      <c r="R123" s="553"/>
      <c r="S123" s="558">
        <v>0</v>
      </c>
      <c r="T123" s="557"/>
      <c r="U123" s="559">
        <v>0</v>
      </c>
    </row>
    <row r="124" spans="1:21" ht="14.4" customHeight="1" x14ac:dyDescent="0.3">
      <c r="A124" s="552">
        <v>29</v>
      </c>
      <c r="B124" s="553" t="s">
        <v>469</v>
      </c>
      <c r="C124" s="553" t="s">
        <v>642</v>
      </c>
      <c r="D124" s="554" t="s">
        <v>1148</v>
      </c>
      <c r="E124" s="555" t="s">
        <v>649</v>
      </c>
      <c r="F124" s="553" t="s">
        <v>639</v>
      </c>
      <c r="G124" s="553" t="s">
        <v>912</v>
      </c>
      <c r="H124" s="553" t="s">
        <v>585</v>
      </c>
      <c r="I124" s="553" t="s">
        <v>913</v>
      </c>
      <c r="J124" s="553" t="s">
        <v>914</v>
      </c>
      <c r="K124" s="553" t="s">
        <v>915</v>
      </c>
      <c r="L124" s="556">
        <v>28.81</v>
      </c>
      <c r="M124" s="556">
        <v>28.81</v>
      </c>
      <c r="N124" s="553">
        <v>1</v>
      </c>
      <c r="O124" s="557">
        <v>1</v>
      </c>
      <c r="P124" s="556">
        <v>28.81</v>
      </c>
      <c r="Q124" s="558">
        <v>1</v>
      </c>
      <c r="R124" s="553">
        <v>1</v>
      </c>
      <c r="S124" s="558">
        <v>1</v>
      </c>
      <c r="T124" s="557">
        <v>1</v>
      </c>
      <c r="U124" s="559">
        <v>1</v>
      </c>
    </row>
    <row r="125" spans="1:21" ht="14.4" customHeight="1" x14ac:dyDescent="0.3">
      <c r="A125" s="552">
        <v>29</v>
      </c>
      <c r="B125" s="553" t="s">
        <v>469</v>
      </c>
      <c r="C125" s="553" t="s">
        <v>642</v>
      </c>
      <c r="D125" s="554" t="s">
        <v>1148</v>
      </c>
      <c r="E125" s="555" t="s">
        <v>649</v>
      </c>
      <c r="F125" s="553" t="s">
        <v>639</v>
      </c>
      <c r="G125" s="553" t="s">
        <v>912</v>
      </c>
      <c r="H125" s="553" t="s">
        <v>585</v>
      </c>
      <c r="I125" s="553" t="s">
        <v>913</v>
      </c>
      <c r="J125" s="553" t="s">
        <v>914</v>
      </c>
      <c r="K125" s="553" t="s">
        <v>915</v>
      </c>
      <c r="L125" s="556">
        <v>46.85</v>
      </c>
      <c r="M125" s="556">
        <v>46.85</v>
      </c>
      <c r="N125" s="553">
        <v>1</v>
      </c>
      <c r="O125" s="557">
        <v>0.5</v>
      </c>
      <c r="P125" s="556">
        <v>46.85</v>
      </c>
      <c r="Q125" s="558">
        <v>1</v>
      </c>
      <c r="R125" s="553">
        <v>1</v>
      </c>
      <c r="S125" s="558">
        <v>1</v>
      </c>
      <c r="T125" s="557">
        <v>0.5</v>
      </c>
      <c r="U125" s="559">
        <v>1</v>
      </c>
    </row>
    <row r="126" spans="1:21" ht="14.4" customHeight="1" x14ac:dyDescent="0.3">
      <c r="A126" s="552">
        <v>29</v>
      </c>
      <c r="B126" s="553" t="s">
        <v>469</v>
      </c>
      <c r="C126" s="553" t="s">
        <v>642</v>
      </c>
      <c r="D126" s="554" t="s">
        <v>1148</v>
      </c>
      <c r="E126" s="555" t="s">
        <v>649</v>
      </c>
      <c r="F126" s="553" t="s">
        <v>639</v>
      </c>
      <c r="G126" s="553" t="s">
        <v>706</v>
      </c>
      <c r="H126" s="553" t="s">
        <v>470</v>
      </c>
      <c r="I126" s="553" t="s">
        <v>707</v>
      </c>
      <c r="J126" s="553" t="s">
        <v>708</v>
      </c>
      <c r="K126" s="553" t="s">
        <v>709</v>
      </c>
      <c r="L126" s="556">
        <v>27.49</v>
      </c>
      <c r="M126" s="556">
        <v>27.49</v>
      </c>
      <c r="N126" s="553">
        <v>1</v>
      </c>
      <c r="O126" s="557">
        <v>0.5</v>
      </c>
      <c r="P126" s="556">
        <v>27.49</v>
      </c>
      <c r="Q126" s="558">
        <v>1</v>
      </c>
      <c r="R126" s="553">
        <v>1</v>
      </c>
      <c r="S126" s="558">
        <v>1</v>
      </c>
      <c r="T126" s="557">
        <v>0.5</v>
      </c>
      <c r="U126" s="559">
        <v>1</v>
      </c>
    </row>
    <row r="127" spans="1:21" ht="14.4" customHeight="1" x14ac:dyDescent="0.3">
      <c r="A127" s="552">
        <v>29</v>
      </c>
      <c r="B127" s="553" t="s">
        <v>469</v>
      </c>
      <c r="C127" s="553" t="s">
        <v>642</v>
      </c>
      <c r="D127" s="554" t="s">
        <v>1148</v>
      </c>
      <c r="E127" s="555" t="s">
        <v>649</v>
      </c>
      <c r="F127" s="553" t="s">
        <v>639</v>
      </c>
      <c r="G127" s="553" t="s">
        <v>715</v>
      </c>
      <c r="H127" s="553" t="s">
        <v>470</v>
      </c>
      <c r="I127" s="553" t="s">
        <v>716</v>
      </c>
      <c r="J127" s="553" t="s">
        <v>717</v>
      </c>
      <c r="K127" s="553" t="s">
        <v>718</v>
      </c>
      <c r="L127" s="556">
        <v>0</v>
      </c>
      <c r="M127" s="556">
        <v>0</v>
      </c>
      <c r="N127" s="553">
        <v>31</v>
      </c>
      <c r="O127" s="557">
        <v>23</v>
      </c>
      <c r="P127" s="556">
        <v>0</v>
      </c>
      <c r="Q127" s="558"/>
      <c r="R127" s="553">
        <v>15</v>
      </c>
      <c r="S127" s="558">
        <v>0.4838709677419355</v>
      </c>
      <c r="T127" s="557">
        <v>11</v>
      </c>
      <c r="U127" s="559">
        <v>0.47826086956521741</v>
      </c>
    </row>
    <row r="128" spans="1:21" ht="14.4" customHeight="1" x14ac:dyDescent="0.3">
      <c r="A128" s="552">
        <v>29</v>
      </c>
      <c r="B128" s="553" t="s">
        <v>469</v>
      </c>
      <c r="C128" s="553" t="s">
        <v>642</v>
      </c>
      <c r="D128" s="554" t="s">
        <v>1148</v>
      </c>
      <c r="E128" s="555" t="s">
        <v>649</v>
      </c>
      <c r="F128" s="553" t="s">
        <v>639</v>
      </c>
      <c r="G128" s="553" t="s">
        <v>719</v>
      </c>
      <c r="H128" s="553" t="s">
        <v>470</v>
      </c>
      <c r="I128" s="553" t="s">
        <v>582</v>
      </c>
      <c r="J128" s="553" t="s">
        <v>583</v>
      </c>
      <c r="K128" s="553" t="s">
        <v>721</v>
      </c>
      <c r="L128" s="556">
        <v>289.27</v>
      </c>
      <c r="M128" s="556">
        <v>867.81</v>
      </c>
      <c r="N128" s="553">
        <v>3</v>
      </c>
      <c r="O128" s="557">
        <v>3</v>
      </c>
      <c r="P128" s="556"/>
      <c r="Q128" s="558">
        <v>0</v>
      </c>
      <c r="R128" s="553"/>
      <c r="S128" s="558">
        <v>0</v>
      </c>
      <c r="T128" s="557"/>
      <c r="U128" s="559">
        <v>0</v>
      </c>
    </row>
    <row r="129" spans="1:21" ht="14.4" customHeight="1" x14ac:dyDescent="0.3">
      <c r="A129" s="552">
        <v>29</v>
      </c>
      <c r="B129" s="553" t="s">
        <v>469</v>
      </c>
      <c r="C129" s="553" t="s">
        <v>642</v>
      </c>
      <c r="D129" s="554" t="s">
        <v>1148</v>
      </c>
      <c r="E129" s="555" t="s">
        <v>649</v>
      </c>
      <c r="F129" s="553" t="s">
        <v>639</v>
      </c>
      <c r="G129" s="553" t="s">
        <v>726</v>
      </c>
      <c r="H129" s="553" t="s">
        <v>470</v>
      </c>
      <c r="I129" s="553" t="s">
        <v>916</v>
      </c>
      <c r="J129" s="553" t="s">
        <v>917</v>
      </c>
      <c r="K129" s="553" t="s">
        <v>918</v>
      </c>
      <c r="L129" s="556">
        <v>75.22</v>
      </c>
      <c r="M129" s="556">
        <v>150.44</v>
      </c>
      <c r="N129" s="553">
        <v>2</v>
      </c>
      <c r="O129" s="557">
        <v>1</v>
      </c>
      <c r="P129" s="556">
        <v>75.22</v>
      </c>
      <c r="Q129" s="558">
        <v>0.5</v>
      </c>
      <c r="R129" s="553">
        <v>1</v>
      </c>
      <c r="S129" s="558">
        <v>0.5</v>
      </c>
      <c r="T129" s="557">
        <v>0.5</v>
      </c>
      <c r="U129" s="559">
        <v>0.5</v>
      </c>
    </row>
    <row r="130" spans="1:21" ht="14.4" customHeight="1" x14ac:dyDescent="0.3">
      <c r="A130" s="552">
        <v>29</v>
      </c>
      <c r="B130" s="553" t="s">
        <v>469</v>
      </c>
      <c r="C130" s="553" t="s">
        <v>642</v>
      </c>
      <c r="D130" s="554" t="s">
        <v>1148</v>
      </c>
      <c r="E130" s="555" t="s">
        <v>649</v>
      </c>
      <c r="F130" s="553" t="s">
        <v>639</v>
      </c>
      <c r="G130" s="553" t="s">
        <v>726</v>
      </c>
      <c r="H130" s="553" t="s">
        <v>470</v>
      </c>
      <c r="I130" s="553" t="s">
        <v>730</v>
      </c>
      <c r="J130" s="553" t="s">
        <v>728</v>
      </c>
      <c r="K130" s="553" t="s">
        <v>731</v>
      </c>
      <c r="L130" s="556">
        <v>75.22</v>
      </c>
      <c r="M130" s="556">
        <v>300.88</v>
      </c>
      <c r="N130" s="553">
        <v>4</v>
      </c>
      <c r="O130" s="557">
        <v>3.5</v>
      </c>
      <c r="P130" s="556">
        <v>150.44</v>
      </c>
      <c r="Q130" s="558">
        <v>0.5</v>
      </c>
      <c r="R130" s="553">
        <v>2</v>
      </c>
      <c r="S130" s="558">
        <v>0.5</v>
      </c>
      <c r="T130" s="557">
        <v>1.5</v>
      </c>
      <c r="U130" s="559">
        <v>0.42857142857142855</v>
      </c>
    </row>
    <row r="131" spans="1:21" ht="14.4" customHeight="1" x14ac:dyDescent="0.3">
      <c r="A131" s="552">
        <v>29</v>
      </c>
      <c r="B131" s="553" t="s">
        <v>469</v>
      </c>
      <c r="C131" s="553" t="s">
        <v>642</v>
      </c>
      <c r="D131" s="554" t="s">
        <v>1148</v>
      </c>
      <c r="E131" s="555" t="s">
        <v>649</v>
      </c>
      <c r="F131" s="553" t="s">
        <v>641</v>
      </c>
      <c r="G131" s="553" t="s">
        <v>736</v>
      </c>
      <c r="H131" s="553" t="s">
        <v>470</v>
      </c>
      <c r="I131" s="553" t="s">
        <v>742</v>
      </c>
      <c r="J131" s="553" t="s">
        <v>738</v>
      </c>
      <c r="K131" s="553" t="s">
        <v>743</v>
      </c>
      <c r="L131" s="556">
        <v>200</v>
      </c>
      <c r="M131" s="556">
        <v>400</v>
      </c>
      <c r="N131" s="553">
        <v>2</v>
      </c>
      <c r="O131" s="557">
        <v>1</v>
      </c>
      <c r="P131" s="556"/>
      <c r="Q131" s="558">
        <v>0</v>
      </c>
      <c r="R131" s="553"/>
      <c r="S131" s="558">
        <v>0</v>
      </c>
      <c r="T131" s="557"/>
      <c r="U131" s="559">
        <v>0</v>
      </c>
    </row>
    <row r="132" spans="1:21" ht="14.4" customHeight="1" x14ac:dyDescent="0.3">
      <c r="A132" s="552">
        <v>29</v>
      </c>
      <c r="B132" s="553" t="s">
        <v>469</v>
      </c>
      <c r="C132" s="553" t="s">
        <v>642</v>
      </c>
      <c r="D132" s="554" t="s">
        <v>1148</v>
      </c>
      <c r="E132" s="555" t="s">
        <v>649</v>
      </c>
      <c r="F132" s="553" t="s">
        <v>641</v>
      </c>
      <c r="G132" s="553" t="s">
        <v>736</v>
      </c>
      <c r="H132" s="553" t="s">
        <v>470</v>
      </c>
      <c r="I132" s="553" t="s">
        <v>753</v>
      </c>
      <c r="J132" s="553" t="s">
        <v>751</v>
      </c>
      <c r="K132" s="553" t="s">
        <v>754</v>
      </c>
      <c r="L132" s="556">
        <v>1333.95</v>
      </c>
      <c r="M132" s="556">
        <v>2667.9</v>
      </c>
      <c r="N132" s="553">
        <v>2</v>
      </c>
      <c r="O132" s="557">
        <v>1</v>
      </c>
      <c r="P132" s="556">
        <v>2667.9</v>
      </c>
      <c r="Q132" s="558">
        <v>1</v>
      </c>
      <c r="R132" s="553">
        <v>2</v>
      </c>
      <c r="S132" s="558">
        <v>1</v>
      </c>
      <c r="T132" s="557">
        <v>1</v>
      </c>
      <c r="U132" s="559">
        <v>1</v>
      </c>
    </row>
    <row r="133" spans="1:21" ht="14.4" customHeight="1" x14ac:dyDescent="0.3">
      <c r="A133" s="552">
        <v>29</v>
      </c>
      <c r="B133" s="553" t="s">
        <v>469</v>
      </c>
      <c r="C133" s="553" t="s">
        <v>642</v>
      </c>
      <c r="D133" s="554" t="s">
        <v>1148</v>
      </c>
      <c r="E133" s="555" t="s">
        <v>649</v>
      </c>
      <c r="F133" s="553" t="s">
        <v>641</v>
      </c>
      <c r="G133" s="553" t="s">
        <v>736</v>
      </c>
      <c r="H133" s="553" t="s">
        <v>470</v>
      </c>
      <c r="I133" s="553" t="s">
        <v>758</v>
      </c>
      <c r="J133" s="553" t="s">
        <v>759</v>
      </c>
      <c r="K133" s="553" t="s">
        <v>760</v>
      </c>
      <c r="L133" s="556">
        <v>8</v>
      </c>
      <c r="M133" s="556">
        <v>16</v>
      </c>
      <c r="N133" s="553">
        <v>2</v>
      </c>
      <c r="O133" s="557">
        <v>1</v>
      </c>
      <c r="P133" s="556"/>
      <c r="Q133" s="558">
        <v>0</v>
      </c>
      <c r="R133" s="553"/>
      <c r="S133" s="558">
        <v>0</v>
      </c>
      <c r="T133" s="557"/>
      <c r="U133" s="559">
        <v>0</v>
      </c>
    </row>
    <row r="134" spans="1:21" ht="14.4" customHeight="1" x14ac:dyDescent="0.3">
      <c r="A134" s="552">
        <v>29</v>
      </c>
      <c r="B134" s="553" t="s">
        <v>469</v>
      </c>
      <c r="C134" s="553" t="s">
        <v>642</v>
      </c>
      <c r="D134" s="554" t="s">
        <v>1148</v>
      </c>
      <c r="E134" s="555" t="s">
        <v>649</v>
      </c>
      <c r="F134" s="553" t="s">
        <v>641</v>
      </c>
      <c r="G134" s="553" t="s">
        <v>781</v>
      </c>
      <c r="H134" s="553" t="s">
        <v>470</v>
      </c>
      <c r="I134" s="553" t="s">
        <v>782</v>
      </c>
      <c r="J134" s="553" t="s">
        <v>783</v>
      </c>
      <c r="K134" s="553" t="s">
        <v>784</v>
      </c>
      <c r="L134" s="556">
        <v>410</v>
      </c>
      <c r="M134" s="556">
        <v>4510</v>
      </c>
      <c r="N134" s="553">
        <v>11</v>
      </c>
      <c r="O134" s="557">
        <v>10</v>
      </c>
      <c r="P134" s="556">
        <v>4510</v>
      </c>
      <c r="Q134" s="558">
        <v>1</v>
      </c>
      <c r="R134" s="553">
        <v>11</v>
      </c>
      <c r="S134" s="558">
        <v>1</v>
      </c>
      <c r="T134" s="557">
        <v>10</v>
      </c>
      <c r="U134" s="559">
        <v>1</v>
      </c>
    </row>
    <row r="135" spans="1:21" ht="14.4" customHeight="1" x14ac:dyDescent="0.3">
      <c r="A135" s="552">
        <v>29</v>
      </c>
      <c r="B135" s="553" t="s">
        <v>469</v>
      </c>
      <c r="C135" s="553" t="s">
        <v>642</v>
      </c>
      <c r="D135" s="554" t="s">
        <v>1148</v>
      </c>
      <c r="E135" s="555" t="s">
        <v>649</v>
      </c>
      <c r="F135" s="553" t="s">
        <v>641</v>
      </c>
      <c r="G135" s="553" t="s">
        <v>781</v>
      </c>
      <c r="H135" s="553" t="s">
        <v>470</v>
      </c>
      <c r="I135" s="553" t="s">
        <v>785</v>
      </c>
      <c r="J135" s="553" t="s">
        <v>786</v>
      </c>
      <c r="K135" s="553" t="s">
        <v>787</v>
      </c>
      <c r="L135" s="556">
        <v>566</v>
      </c>
      <c r="M135" s="556">
        <v>566</v>
      </c>
      <c r="N135" s="553">
        <v>1</v>
      </c>
      <c r="O135" s="557">
        <v>1</v>
      </c>
      <c r="P135" s="556">
        <v>566</v>
      </c>
      <c r="Q135" s="558">
        <v>1</v>
      </c>
      <c r="R135" s="553">
        <v>1</v>
      </c>
      <c r="S135" s="558">
        <v>1</v>
      </c>
      <c r="T135" s="557">
        <v>1</v>
      </c>
      <c r="U135" s="559">
        <v>1</v>
      </c>
    </row>
    <row r="136" spans="1:21" ht="14.4" customHeight="1" x14ac:dyDescent="0.3">
      <c r="A136" s="552">
        <v>29</v>
      </c>
      <c r="B136" s="553" t="s">
        <v>469</v>
      </c>
      <c r="C136" s="553" t="s">
        <v>642</v>
      </c>
      <c r="D136" s="554" t="s">
        <v>1148</v>
      </c>
      <c r="E136" s="555" t="s">
        <v>649</v>
      </c>
      <c r="F136" s="553" t="s">
        <v>641</v>
      </c>
      <c r="G136" s="553" t="s">
        <v>781</v>
      </c>
      <c r="H136" s="553" t="s">
        <v>470</v>
      </c>
      <c r="I136" s="553" t="s">
        <v>919</v>
      </c>
      <c r="J136" s="553" t="s">
        <v>786</v>
      </c>
      <c r="K136" s="553" t="s">
        <v>920</v>
      </c>
      <c r="L136" s="556">
        <v>566</v>
      </c>
      <c r="M136" s="556">
        <v>566</v>
      </c>
      <c r="N136" s="553">
        <v>1</v>
      </c>
      <c r="O136" s="557">
        <v>1</v>
      </c>
      <c r="P136" s="556">
        <v>566</v>
      </c>
      <c r="Q136" s="558">
        <v>1</v>
      </c>
      <c r="R136" s="553">
        <v>1</v>
      </c>
      <c r="S136" s="558">
        <v>1</v>
      </c>
      <c r="T136" s="557">
        <v>1</v>
      </c>
      <c r="U136" s="559">
        <v>1</v>
      </c>
    </row>
    <row r="137" spans="1:21" ht="14.4" customHeight="1" x14ac:dyDescent="0.3">
      <c r="A137" s="552">
        <v>29</v>
      </c>
      <c r="B137" s="553" t="s">
        <v>469</v>
      </c>
      <c r="C137" s="553" t="s">
        <v>642</v>
      </c>
      <c r="D137" s="554" t="s">
        <v>1148</v>
      </c>
      <c r="E137" s="555" t="s">
        <v>649</v>
      </c>
      <c r="F137" s="553" t="s">
        <v>641</v>
      </c>
      <c r="G137" s="553" t="s">
        <v>791</v>
      </c>
      <c r="H137" s="553" t="s">
        <v>470</v>
      </c>
      <c r="I137" s="553" t="s">
        <v>921</v>
      </c>
      <c r="J137" s="553" t="s">
        <v>922</v>
      </c>
      <c r="K137" s="553" t="s">
        <v>923</v>
      </c>
      <c r="L137" s="556">
        <v>378.48</v>
      </c>
      <c r="M137" s="556">
        <v>1135.44</v>
      </c>
      <c r="N137" s="553">
        <v>3</v>
      </c>
      <c r="O137" s="557">
        <v>3</v>
      </c>
      <c r="P137" s="556">
        <v>756.96</v>
      </c>
      <c r="Q137" s="558">
        <v>0.66666666666666663</v>
      </c>
      <c r="R137" s="553">
        <v>2</v>
      </c>
      <c r="S137" s="558">
        <v>0.66666666666666663</v>
      </c>
      <c r="T137" s="557">
        <v>2</v>
      </c>
      <c r="U137" s="559">
        <v>0.66666666666666663</v>
      </c>
    </row>
    <row r="138" spans="1:21" ht="14.4" customHeight="1" x14ac:dyDescent="0.3">
      <c r="A138" s="552">
        <v>29</v>
      </c>
      <c r="B138" s="553" t="s">
        <v>469</v>
      </c>
      <c r="C138" s="553" t="s">
        <v>642</v>
      </c>
      <c r="D138" s="554" t="s">
        <v>1148</v>
      </c>
      <c r="E138" s="555" t="s">
        <v>649</v>
      </c>
      <c r="F138" s="553" t="s">
        <v>641</v>
      </c>
      <c r="G138" s="553" t="s">
        <v>791</v>
      </c>
      <c r="H138" s="553" t="s">
        <v>470</v>
      </c>
      <c r="I138" s="553" t="s">
        <v>843</v>
      </c>
      <c r="J138" s="553" t="s">
        <v>844</v>
      </c>
      <c r="K138" s="553" t="s">
        <v>845</v>
      </c>
      <c r="L138" s="556">
        <v>409.87</v>
      </c>
      <c r="M138" s="556">
        <v>409.87</v>
      </c>
      <c r="N138" s="553">
        <v>1</v>
      </c>
      <c r="O138" s="557">
        <v>1</v>
      </c>
      <c r="P138" s="556">
        <v>409.87</v>
      </c>
      <c r="Q138" s="558">
        <v>1</v>
      </c>
      <c r="R138" s="553">
        <v>1</v>
      </c>
      <c r="S138" s="558">
        <v>1</v>
      </c>
      <c r="T138" s="557">
        <v>1</v>
      </c>
      <c r="U138" s="559">
        <v>1</v>
      </c>
    </row>
    <row r="139" spans="1:21" ht="14.4" customHeight="1" x14ac:dyDescent="0.3">
      <c r="A139" s="552">
        <v>29</v>
      </c>
      <c r="B139" s="553" t="s">
        <v>469</v>
      </c>
      <c r="C139" s="553" t="s">
        <v>642</v>
      </c>
      <c r="D139" s="554" t="s">
        <v>1148</v>
      </c>
      <c r="E139" s="555" t="s">
        <v>649</v>
      </c>
      <c r="F139" s="553" t="s">
        <v>641</v>
      </c>
      <c r="G139" s="553" t="s">
        <v>791</v>
      </c>
      <c r="H139" s="553" t="s">
        <v>470</v>
      </c>
      <c r="I139" s="553" t="s">
        <v>924</v>
      </c>
      <c r="J139" s="553" t="s">
        <v>925</v>
      </c>
      <c r="K139" s="553" t="s">
        <v>926</v>
      </c>
      <c r="L139" s="556">
        <v>58.5</v>
      </c>
      <c r="M139" s="556">
        <v>58.5</v>
      </c>
      <c r="N139" s="553">
        <v>1</v>
      </c>
      <c r="O139" s="557">
        <v>1</v>
      </c>
      <c r="P139" s="556">
        <v>58.5</v>
      </c>
      <c r="Q139" s="558">
        <v>1</v>
      </c>
      <c r="R139" s="553">
        <v>1</v>
      </c>
      <c r="S139" s="558">
        <v>1</v>
      </c>
      <c r="T139" s="557">
        <v>1</v>
      </c>
      <c r="U139" s="559">
        <v>1</v>
      </c>
    </row>
    <row r="140" spans="1:21" ht="14.4" customHeight="1" x14ac:dyDescent="0.3">
      <c r="A140" s="552">
        <v>29</v>
      </c>
      <c r="B140" s="553" t="s">
        <v>469</v>
      </c>
      <c r="C140" s="553" t="s">
        <v>642</v>
      </c>
      <c r="D140" s="554" t="s">
        <v>1148</v>
      </c>
      <c r="E140" s="555" t="s">
        <v>649</v>
      </c>
      <c r="F140" s="553" t="s">
        <v>641</v>
      </c>
      <c r="G140" s="553" t="s">
        <v>791</v>
      </c>
      <c r="H140" s="553" t="s">
        <v>470</v>
      </c>
      <c r="I140" s="553" t="s">
        <v>927</v>
      </c>
      <c r="J140" s="553" t="s">
        <v>928</v>
      </c>
      <c r="K140" s="553" t="s">
        <v>929</v>
      </c>
      <c r="L140" s="556">
        <v>748.13</v>
      </c>
      <c r="M140" s="556">
        <v>748.13</v>
      </c>
      <c r="N140" s="553">
        <v>1</v>
      </c>
      <c r="O140" s="557">
        <v>1</v>
      </c>
      <c r="P140" s="556"/>
      <c r="Q140" s="558">
        <v>0</v>
      </c>
      <c r="R140" s="553"/>
      <c r="S140" s="558">
        <v>0</v>
      </c>
      <c r="T140" s="557"/>
      <c r="U140" s="559">
        <v>0</v>
      </c>
    </row>
    <row r="141" spans="1:21" ht="14.4" customHeight="1" x14ac:dyDescent="0.3">
      <c r="A141" s="552">
        <v>29</v>
      </c>
      <c r="B141" s="553" t="s">
        <v>469</v>
      </c>
      <c r="C141" s="553" t="s">
        <v>642</v>
      </c>
      <c r="D141" s="554" t="s">
        <v>1148</v>
      </c>
      <c r="E141" s="555" t="s">
        <v>649</v>
      </c>
      <c r="F141" s="553" t="s">
        <v>641</v>
      </c>
      <c r="G141" s="553" t="s">
        <v>791</v>
      </c>
      <c r="H141" s="553" t="s">
        <v>470</v>
      </c>
      <c r="I141" s="553" t="s">
        <v>930</v>
      </c>
      <c r="J141" s="553" t="s">
        <v>931</v>
      </c>
      <c r="K141" s="553" t="s">
        <v>932</v>
      </c>
      <c r="L141" s="556">
        <v>713.95</v>
      </c>
      <c r="M141" s="556">
        <v>713.95</v>
      </c>
      <c r="N141" s="553">
        <v>1</v>
      </c>
      <c r="O141" s="557">
        <v>1</v>
      </c>
      <c r="P141" s="556"/>
      <c r="Q141" s="558">
        <v>0</v>
      </c>
      <c r="R141" s="553"/>
      <c r="S141" s="558">
        <v>0</v>
      </c>
      <c r="T141" s="557"/>
      <c r="U141" s="559">
        <v>0</v>
      </c>
    </row>
    <row r="142" spans="1:21" ht="14.4" customHeight="1" x14ac:dyDescent="0.3">
      <c r="A142" s="552">
        <v>29</v>
      </c>
      <c r="B142" s="553" t="s">
        <v>469</v>
      </c>
      <c r="C142" s="553" t="s">
        <v>642</v>
      </c>
      <c r="D142" s="554" t="s">
        <v>1148</v>
      </c>
      <c r="E142" s="555" t="s">
        <v>649</v>
      </c>
      <c r="F142" s="553" t="s">
        <v>641</v>
      </c>
      <c r="G142" s="553" t="s">
        <v>791</v>
      </c>
      <c r="H142" s="553" t="s">
        <v>470</v>
      </c>
      <c r="I142" s="553" t="s">
        <v>933</v>
      </c>
      <c r="J142" s="553" t="s">
        <v>934</v>
      </c>
      <c r="K142" s="553" t="s">
        <v>935</v>
      </c>
      <c r="L142" s="556">
        <v>331.32</v>
      </c>
      <c r="M142" s="556">
        <v>331.32</v>
      </c>
      <c r="N142" s="553">
        <v>1</v>
      </c>
      <c r="O142" s="557">
        <v>1</v>
      </c>
      <c r="P142" s="556"/>
      <c r="Q142" s="558">
        <v>0</v>
      </c>
      <c r="R142" s="553"/>
      <c r="S142" s="558">
        <v>0</v>
      </c>
      <c r="T142" s="557"/>
      <c r="U142" s="559">
        <v>0</v>
      </c>
    </row>
    <row r="143" spans="1:21" ht="14.4" customHeight="1" x14ac:dyDescent="0.3">
      <c r="A143" s="552">
        <v>29</v>
      </c>
      <c r="B143" s="553" t="s">
        <v>469</v>
      </c>
      <c r="C143" s="553" t="s">
        <v>642</v>
      </c>
      <c r="D143" s="554" t="s">
        <v>1148</v>
      </c>
      <c r="E143" s="555" t="s">
        <v>649</v>
      </c>
      <c r="F143" s="553" t="s">
        <v>641</v>
      </c>
      <c r="G143" s="553" t="s">
        <v>791</v>
      </c>
      <c r="H143" s="553" t="s">
        <v>470</v>
      </c>
      <c r="I143" s="553" t="s">
        <v>936</v>
      </c>
      <c r="J143" s="553" t="s">
        <v>937</v>
      </c>
      <c r="K143" s="553" t="s">
        <v>938</v>
      </c>
      <c r="L143" s="556">
        <v>731.31</v>
      </c>
      <c r="M143" s="556">
        <v>731.31</v>
      </c>
      <c r="N143" s="553">
        <v>1</v>
      </c>
      <c r="O143" s="557">
        <v>1</v>
      </c>
      <c r="P143" s="556">
        <v>731.31</v>
      </c>
      <c r="Q143" s="558">
        <v>1</v>
      </c>
      <c r="R143" s="553">
        <v>1</v>
      </c>
      <c r="S143" s="558">
        <v>1</v>
      </c>
      <c r="T143" s="557">
        <v>1</v>
      </c>
      <c r="U143" s="559">
        <v>1</v>
      </c>
    </row>
    <row r="144" spans="1:21" ht="14.4" customHeight="1" x14ac:dyDescent="0.3">
      <c r="A144" s="552">
        <v>29</v>
      </c>
      <c r="B144" s="553" t="s">
        <v>469</v>
      </c>
      <c r="C144" s="553" t="s">
        <v>642</v>
      </c>
      <c r="D144" s="554" t="s">
        <v>1148</v>
      </c>
      <c r="E144" s="555" t="s">
        <v>649</v>
      </c>
      <c r="F144" s="553" t="s">
        <v>641</v>
      </c>
      <c r="G144" s="553" t="s">
        <v>791</v>
      </c>
      <c r="H144" s="553" t="s">
        <v>470</v>
      </c>
      <c r="I144" s="553" t="s">
        <v>939</v>
      </c>
      <c r="J144" s="553" t="s">
        <v>940</v>
      </c>
      <c r="K144" s="553" t="s">
        <v>941</v>
      </c>
      <c r="L144" s="556">
        <v>63</v>
      </c>
      <c r="M144" s="556">
        <v>63</v>
      </c>
      <c r="N144" s="553">
        <v>1</v>
      </c>
      <c r="O144" s="557">
        <v>1</v>
      </c>
      <c r="P144" s="556">
        <v>63</v>
      </c>
      <c r="Q144" s="558">
        <v>1</v>
      </c>
      <c r="R144" s="553">
        <v>1</v>
      </c>
      <c r="S144" s="558">
        <v>1</v>
      </c>
      <c r="T144" s="557">
        <v>1</v>
      </c>
      <c r="U144" s="559">
        <v>1</v>
      </c>
    </row>
    <row r="145" spans="1:21" ht="14.4" customHeight="1" x14ac:dyDescent="0.3">
      <c r="A145" s="552">
        <v>29</v>
      </c>
      <c r="B145" s="553" t="s">
        <v>469</v>
      </c>
      <c r="C145" s="553" t="s">
        <v>642</v>
      </c>
      <c r="D145" s="554" t="s">
        <v>1148</v>
      </c>
      <c r="E145" s="555" t="s">
        <v>649</v>
      </c>
      <c r="F145" s="553" t="s">
        <v>641</v>
      </c>
      <c r="G145" s="553" t="s">
        <v>791</v>
      </c>
      <c r="H145" s="553" t="s">
        <v>470</v>
      </c>
      <c r="I145" s="553" t="s">
        <v>810</v>
      </c>
      <c r="J145" s="553" t="s">
        <v>811</v>
      </c>
      <c r="K145" s="553" t="s">
        <v>812</v>
      </c>
      <c r="L145" s="556">
        <v>345.18</v>
      </c>
      <c r="M145" s="556">
        <v>345.18</v>
      </c>
      <c r="N145" s="553">
        <v>1</v>
      </c>
      <c r="O145" s="557">
        <v>1</v>
      </c>
      <c r="P145" s="556">
        <v>345.18</v>
      </c>
      <c r="Q145" s="558">
        <v>1</v>
      </c>
      <c r="R145" s="553">
        <v>1</v>
      </c>
      <c r="S145" s="558">
        <v>1</v>
      </c>
      <c r="T145" s="557">
        <v>1</v>
      </c>
      <c r="U145" s="559">
        <v>1</v>
      </c>
    </row>
    <row r="146" spans="1:21" ht="14.4" customHeight="1" x14ac:dyDescent="0.3">
      <c r="A146" s="552">
        <v>29</v>
      </c>
      <c r="B146" s="553" t="s">
        <v>469</v>
      </c>
      <c r="C146" s="553" t="s">
        <v>642</v>
      </c>
      <c r="D146" s="554" t="s">
        <v>1148</v>
      </c>
      <c r="E146" s="555" t="s">
        <v>649</v>
      </c>
      <c r="F146" s="553" t="s">
        <v>641</v>
      </c>
      <c r="G146" s="553" t="s">
        <v>791</v>
      </c>
      <c r="H146" s="553" t="s">
        <v>470</v>
      </c>
      <c r="I146" s="553" t="s">
        <v>942</v>
      </c>
      <c r="J146" s="553" t="s">
        <v>943</v>
      </c>
      <c r="K146" s="553" t="s">
        <v>944</v>
      </c>
      <c r="L146" s="556">
        <v>509.64</v>
      </c>
      <c r="M146" s="556">
        <v>1019.28</v>
      </c>
      <c r="N146" s="553">
        <v>2</v>
      </c>
      <c r="O146" s="557">
        <v>2</v>
      </c>
      <c r="P146" s="556">
        <v>1019.28</v>
      </c>
      <c r="Q146" s="558">
        <v>1</v>
      </c>
      <c r="R146" s="553">
        <v>2</v>
      </c>
      <c r="S146" s="558">
        <v>1</v>
      </c>
      <c r="T146" s="557">
        <v>2</v>
      </c>
      <c r="U146" s="559">
        <v>1</v>
      </c>
    </row>
    <row r="147" spans="1:21" ht="14.4" customHeight="1" x14ac:dyDescent="0.3">
      <c r="A147" s="552">
        <v>29</v>
      </c>
      <c r="B147" s="553" t="s">
        <v>469</v>
      </c>
      <c r="C147" s="553" t="s">
        <v>642</v>
      </c>
      <c r="D147" s="554" t="s">
        <v>1148</v>
      </c>
      <c r="E147" s="555" t="s">
        <v>650</v>
      </c>
      <c r="F147" s="553" t="s">
        <v>639</v>
      </c>
      <c r="G147" s="553" t="s">
        <v>654</v>
      </c>
      <c r="H147" s="553" t="s">
        <v>470</v>
      </c>
      <c r="I147" s="553" t="s">
        <v>945</v>
      </c>
      <c r="J147" s="553" t="s">
        <v>946</v>
      </c>
      <c r="K147" s="553" t="s">
        <v>947</v>
      </c>
      <c r="L147" s="556">
        <v>154.36000000000001</v>
      </c>
      <c r="M147" s="556">
        <v>154.36000000000001</v>
      </c>
      <c r="N147" s="553">
        <v>1</v>
      </c>
      <c r="O147" s="557">
        <v>1</v>
      </c>
      <c r="P147" s="556">
        <v>154.36000000000001</v>
      </c>
      <c r="Q147" s="558">
        <v>1</v>
      </c>
      <c r="R147" s="553">
        <v>1</v>
      </c>
      <c r="S147" s="558">
        <v>1</v>
      </c>
      <c r="T147" s="557">
        <v>1</v>
      </c>
      <c r="U147" s="559">
        <v>1</v>
      </c>
    </row>
    <row r="148" spans="1:21" ht="14.4" customHeight="1" x14ac:dyDescent="0.3">
      <c r="A148" s="552">
        <v>29</v>
      </c>
      <c r="B148" s="553" t="s">
        <v>469</v>
      </c>
      <c r="C148" s="553" t="s">
        <v>642</v>
      </c>
      <c r="D148" s="554" t="s">
        <v>1148</v>
      </c>
      <c r="E148" s="555" t="s">
        <v>650</v>
      </c>
      <c r="F148" s="553" t="s">
        <v>639</v>
      </c>
      <c r="G148" s="553" t="s">
        <v>654</v>
      </c>
      <c r="H148" s="553" t="s">
        <v>585</v>
      </c>
      <c r="I148" s="553" t="s">
        <v>655</v>
      </c>
      <c r="J148" s="553" t="s">
        <v>656</v>
      </c>
      <c r="K148" s="553" t="s">
        <v>657</v>
      </c>
      <c r="L148" s="556">
        <v>154.36000000000001</v>
      </c>
      <c r="M148" s="556">
        <v>154.36000000000001</v>
      </c>
      <c r="N148" s="553">
        <v>1</v>
      </c>
      <c r="O148" s="557">
        <v>1</v>
      </c>
      <c r="P148" s="556"/>
      <c r="Q148" s="558">
        <v>0</v>
      </c>
      <c r="R148" s="553"/>
      <c r="S148" s="558">
        <v>0</v>
      </c>
      <c r="T148" s="557"/>
      <c r="U148" s="559">
        <v>0</v>
      </c>
    </row>
    <row r="149" spans="1:21" ht="14.4" customHeight="1" x14ac:dyDescent="0.3">
      <c r="A149" s="552">
        <v>29</v>
      </c>
      <c r="B149" s="553" t="s">
        <v>469</v>
      </c>
      <c r="C149" s="553" t="s">
        <v>642</v>
      </c>
      <c r="D149" s="554" t="s">
        <v>1148</v>
      </c>
      <c r="E149" s="555" t="s">
        <v>650</v>
      </c>
      <c r="F149" s="553" t="s">
        <v>639</v>
      </c>
      <c r="G149" s="553" t="s">
        <v>658</v>
      </c>
      <c r="H149" s="553" t="s">
        <v>470</v>
      </c>
      <c r="I149" s="553" t="s">
        <v>659</v>
      </c>
      <c r="J149" s="553" t="s">
        <v>660</v>
      </c>
      <c r="K149" s="553" t="s">
        <v>661</v>
      </c>
      <c r="L149" s="556">
        <v>0</v>
      </c>
      <c r="M149" s="556">
        <v>0</v>
      </c>
      <c r="N149" s="553">
        <v>1</v>
      </c>
      <c r="O149" s="557">
        <v>1</v>
      </c>
      <c r="P149" s="556">
        <v>0</v>
      </c>
      <c r="Q149" s="558"/>
      <c r="R149" s="553">
        <v>1</v>
      </c>
      <c r="S149" s="558">
        <v>1</v>
      </c>
      <c r="T149" s="557">
        <v>1</v>
      </c>
      <c r="U149" s="559">
        <v>1</v>
      </c>
    </row>
    <row r="150" spans="1:21" ht="14.4" customHeight="1" x14ac:dyDescent="0.3">
      <c r="A150" s="552">
        <v>29</v>
      </c>
      <c r="B150" s="553" t="s">
        <v>469</v>
      </c>
      <c r="C150" s="553" t="s">
        <v>642</v>
      </c>
      <c r="D150" s="554" t="s">
        <v>1148</v>
      </c>
      <c r="E150" s="555" t="s">
        <v>650</v>
      </c>
      <c r="F150" s="553" t="s">
        <v>639</v>
      </c>
      <c r="G150" s="553" t="s">
        <v>948</v>
      </c>
      <c r="H150" s="553" t="s">
        <v>470</v>
      </c>
      <c r="I150" s="553" t="s">
        <v>949</v>
      </c>
      <c r="J150" s="553" t="s">
        <v>950</v>
      </c>
      <c r="K150" s="553" t="s">
        <v>951</v>
      </c>
      <c r="L150" s="556">
        <v>0</v>
      </c>
      <c r="M150" s="556">
        <v>0</v>
      </c>
      <c r="N150" s="553">
        <v>1</v>
      </c>
      <c r="O150" s="557">
        <v>1</v>
      </c>
      <c r="P150" s="556"/>
      <c r="Q150" s="558"/>
      <c r="R150" s="553"/>
      <c r="S150" s="558">
        <v>0</v>
      </c>
      <c r="T150" s="557"/>
      <c r="U150" s="559">
        <v>0</v>
      </c>
    </row>
    <row r="151" spans="1:21" ht="14.4" customHeight="1" x14ac:dyDescent="0.3">
      <c r="A151" s="552">
        <v>29</v>
      </c>
      <c r="B151" s="553" t="s">
        <v>469</v>
      </c>
      <c r="C151" s="553" t="s">
        <v>642</v>
      </c>
      <c r="D151" s="554" t="s">
        <v>1148</v>
      </c>
      <c r="E151" s="555" t="s">
        <v>650</v>
      </c>
      <c r="F151" s="553" t="s">
        <v>639</v>
      </c>
      <c r="G151" s="553" t="s">
        <v>952</v>
      </c>
      <c r="H151" s="553" t="s">
        <v>470</v>
      </c>
      <c r="I151" s="553" t="s">
        <v>953</v>
      </c>
      <c r="J151" s="553" t="s">
        <v>954</v>
      </c>
      <c r="K151" s="553" t="s">
        <v>955</v>
      </c>
      <c r="L151" s="556">
        <v>0</v>
      </c>
      <c r="M151" s="556">
        <v>0</v>
      </c>
      <c r="N151" s="553">
        <v>1</v>
      </c>
      <c r="O151" s="557">
        <v>1</v>
      </c>
      <c r="P151" s="556">
        <v>0</v>
      </c>
      <c r="Q151" s="558"/>
      <c r="R151" s="553">
        <v>1</v>
      </c>
      <c r="S151" s="558">
        <v>1</v>
      </c>
      <c r="T151" s="557">
        <v>1</v>
      </c>
      <c r="U151" s="559">
        <v>1</v>
      </c>
    </row>
    <row r="152" spans="1:21" ht="14.4" customHeight="1" x14ac:dyDescent="0.3">
      <c r="A152" s="552">
        <v>29</v>
      </c>
      <c r="B152" s="553" t="s">
        <v>469</v>
      </c>
      <c r="C152" s="553" t="s">
        <v>642</v>
      </c>
      <c r="D152" s="554" t="s">
        <v>1148</v>
      </c>
      <c r="E152" s="555" t="s">
        <v>650</v>
      </c>
      <c r="F152" s="553" t="s">
        <v>639</v>
      </c>
      <c r="G152" s="553" t="s">
        <v>669</v>
      </c>
      <c r="H152" s="553" t="s">
        <v>470</v>
      </c>
      <c r="I152" s="553" t="s">
        <v>570</v>
      </c>
      <c r="J152" s="553" t="s">
        <v>571</v>
      </c>
      <c r="K152" s="553" t="s">
        <v>670</v>
      </c>
      <c r="L152" s="556">
        <v>48.09</v>
      </c>
      <c r="M152" s="556">
        <v>48.09</v>
      </c>
      <c r="N152" s="553">
        <v>1</v>
      </c>
      <c r="O152" s="557">
        <v>1</v>
      </c>
      <c r="P152" s="556">
        <v>48.09</v>
      </c>
      <c r="Q152" s="558">
        <v>1</v>
      </c>
      <c r="R152" s="553">
        <v>1</v>
      </c>
      <c r="S152" s="558">
        <v>1</v>
      </c>
      <c r="T152" s="557">
        <v>1</v>
      </c>
      <c r="U152" s="559">
        <v>1</v>
      </c>
    </row>
    <row r="153" spans="1:21" ht="14.4" customHeight="1" x14ac:dyDescent="0.3">
      <c r="A153" s="552">
        <v>29</v>
      </c>
      <c r="B153" s="553" t="s">
        <v>469</v>
      </c>
      <c r="C153" s="553" t="s">
        <v>642</v>
      </c>
      <c r="D153" s="554" t="s">
        <v>1148</v>
      </c>
      <c r="E153" s="555" t="s">
        <v>650</v>
      </c>
      <c r="F153" s="553" t="s">
        <v>639</v>
      </c>
      <c r="G153" s="553" t="s">
        <v>901</v>
      </c>
      <c r="H153" s="553" t="s">
        <v>470</v>
      </c>
      <c r="I153" s="553" t="s">
        <v>902</v>
      </c>
      <c r="J153" s="553" t="s">
        <v>546</v>
      </c>
      <c r="K153" s="553" t="s">
        <v>903</v>
      </c>
      <c r="L153" s="556">
        <v>244.64</v>
      </c>
      <c r="M153" s="556">
        <v>244.64</v>
      </c>
      <c r="N153" s="553">
        <v>1</v>
      </c>
      <c r="O153" s="557">
        <v>1</v>
      </c>
      <c r="P153" s="556"/>
      <c r="Q153" s="558">
        <v>0</v>
      </c>
      <c r="R153" s="553"/>
      <c r="S153" s="558">
        <v>0</v>
      </c>
      <c r="T153" s="557"/>
      <c r="U153" s="559">
        <v>0</v>
      </c>
    </row>
    <row r="154" spans="1:21" ht="14.4" customHeight="1" x14ac:dyDescent="0.3">
      <c r="A154" s="552">
        <v>29</v>
      </c>
      <c r="B154" s="553" t="s">
        <v>469</v>
      </c>
      <c r="C154" s="553" t="s">
        <v>642</v>
      </c>
      <c r="D154" s="554" t="s">
        <v>1148</v>
      </c>
      <c r="E154" s="555" t="s">
        <v>650</v>
      </c>
      <c r="F154" s="553" t="s">
        <v>639</v>
      </c>
      <c r="G154" s="553" t="s">
        <v>901</v>
      </c>
      <c r="H154" s="553" t="s">
        <v>470</v>
      </c>
      <c r="I154" s="553" t="s">
        <v>545</v>
      </c>
      <c r="J154" s="553" t="s">
        <v>546</v>
      </c>
      <c r="K154" s="553" t="s">
        <v>547</v>
      </c>
      <c r="L154" s="556">
        <v>0</v>
      </c>
      <c r="M154" s="556">
        <v>0</v>
      </c>
      <c r="N154" s="553">
        <v>3</v>
      </c>
      <c r="O154" s="557">
        <v>1</v>
      </c>
      <c r="P154" s="556"/>
      <c r="Q154" s="558"/>
      <c r="R154" s="553"/>
      <c r="S154" s="558">
        <v>0</v>
      </c>
      <c r="T154" s="557"/>
      <c r="U154" s="559">
        <v>0</v>
      </c>
    </row>
    <row r="155" spans="1:21" ht="14.4" customHeight="1" x14ac:dyDescent="0.3">
      <c r="A155" s="552">
        <v>29</v>
      </c>
      <c r="B155" s="553" t="s">
        <v>469</v>
      </c>
      <c r="C155" s="553" t="s">
        <v>642</v>
      </c>
      <c r="D155" s="554" t="s">
        <v>1148</v>
      </c>
      <c r="E155" s="555" t="s">
        <v>650</v>
      </c>
      <c r="F155" s="553" t="s">
        <v>639</v>
      </c>
      <c r="G155" s="553" t="s">
        <v>683</v>
      </c>
      <c r="H155" s="553" t="s">
        <v>470</v>
      </c>
      <c r="I155" s="553" t="s">
        <v>574</v>
      </c>
      <c r="J155" s="553" t="s">
        <v>575</v>
      </c>
      <c r="K155" s="553" t="s">
        <v>684</v>
      </c>
      <c r="L155" s="556">
        <v>36.97</v>
      </c>
      <c r="M155" s="556">
        <v>221.82</v>
      </c>
      <c r="N155" s="553">
        <v>6</v>
      </c>
      <c r="O155" s="557">
        <v>5</v>
      </c>
      <c r="P155" s="556">
        <v>110.91</v>
      </c>
      <c r="Q155" s="558">
        <v>0.5</v>
      </c>
      <c r="R155" s="553">
        <v>3</v>
      </c>
      <c r="S155" s="558">
        <v>0.5</v>
      </c>
      <c r="T155" s="557">
        <v>2</v>
      </c>
      <c r="U155" s="559">
        <v>0.4</v>
      </c>
    </row>
    <row r="156" spans="1:21" ht="14.4" customHeight="1" x14ac:dyDescent="0.3">
      <c r="A156" s="552">
        <v>29</v>
      </c>
      <c r="B156" s="553" t="s">
        <v>469</v>
      </c>
      <c r="C156" s="553" t="s">
        <v>642</v>
      </c>
      <c r="D156" s="554" t="s">
        <v>1148</v>
      </c>
      <c r="E156" s="555" t="s">
        <v>650</v>
      </c>
      <c r="F156" s="553" t="s">
        <v>639</v>
      </c>
      <c r="G156" s="553" t="s">
        <v>956</v>
      </c>
      <c r="H156" s="553" t="s">
        <v>585</v>
      </c>
      <c r="I156" s="553" t="s">
        <v>957</v>
      </c>
      <c r="J156" s="553" t="s">
        <v>958</v>
      </c>
      <c r="K156" s="553" t="s">
        <v>959</v>
      </c>
      <c r="L156" s="556">
        <v>21.13</v>
      </c>
      <c r="M156" s="556">
        <v>42.26</v>
      </c>
      <c r="N156" s="553">
        <v>2</v>
      </c>
      <c r="O156" s="557">
        <v>2</v>
      </c>
      <c r="P156" s="556">
        <v>42.26</v>
      </c>
      <c r="Q156" s="558">
        <v>1</v>
      </c>
      <c r="R156" s="553">
        <v>2</v>
      </c>
      <c r="S156" s="558">
        <v>1</v>
      </c>
      <c r="T156" s="557">
        <v>2</v>
      </c>
      <c r="U156" s="559">
        <v>1</v>
      </c>
    </row>
    <row r="157" spans="1:21" ht="14.4" customHeight="1" x14ac:dyDescent="0.3">
      <c r="A157" s="552">
        <v>29</v>
      </c>
      <c r="B157" s="553" t="s">
        <v>469</v>
      </c>
      <c r="C157" s="553" t="s">
        <v>642</v>
      </c>
      <c r="D157" s="554" t="s">
        <v>1148</v>
      </c>
      <c r="E157" s="555" t="s">
        <v>650</v>
      </c>
      <c r="F157" s="553" t="s">
        <v>639</v>
      </c>
      <c r="G157" s="553" t="s">
        <v>960</v>
      </c>
      <c r="H157" s="553" t="s">
        <v>470</v>
      </c>
      <c r="I157" s="553" t="s">
        <v>961</v>
      </c>
      <c r="J157" s="553" t="s">
        <v>962</v>
      </c>
      <c r="K157" s="553" t="s">
        <v>963</v>
      </c>
      <c r="L157" s="556">
        <v>0</v>
      </c>
      <c r="M157" s="556">
        <v>0</v>
      </c>
      <c r="N157" s="553">
        <v>1</v>
      </c>
      <c r="O157" s="557">
        <v>1</v>
      </c>
      <c r="P157" s="556">
        <v>0</v>
      </c>
      <c r="Q157" s="558"/>
      <c r="R157" s="553">
        <v>1</v>
      </c>
      <c r="S157" s="558">
        <v>1</v>
      </c>
      <c r="T157" s="557">
        <v>1</v>
      </c>
      <c r="U157" s="559">
        <v>1</v>
      </c>
    </row>
    <row r="158" spans="1:21" ht="14.4" customHeight="1" x14ac:dyDescent="0.3">
      <c r="A158" s="552">
        <v>29</v>
      </c>
      <c r="B158" s="553" t="s">
        <v>469</v>
      </c>
      <c r="C158" s="553" t="s">
        <v>642</v>
      </c>
      <c r="D158" s="554" t="s">
        <v>1148</v>
      </c>
      <c r="E158" s="555" t="s">
        <v>650</v>
      </c>
      <c r="F158" s="553" t="s">
        <v>639</v>
      </c>
      <c r="G158" s="553" t="s">
        <v>719</v>
      </c>
      <c r="H158" s="553" t="s">
        <v>470</v>
      </c>
      <c r="I158" s="553" t="s">
        <v>582</v>
      </c>
      <c r="J158" s="553" t="s">
        <v>583</v>
      </c>
      <c r="K158" s="553" t="s">
        <v>721</v>
      </c>
      <c r="L158" s="556">
        <v>289.27</v>
      </c>
      <c r="M158" s="556">
        <v>578.54</v>
      </c>
      <c r="N158" s="553">
        <v>2</v>
      </c>
      <c r="O158" s="557">
        <v>2</v>
      </c>
      <c r="P158" s="556">
        <v>578.54</v>
      </c>
      <c r="Q158" s="558">
        <v>1</v>
      </c>
      <c r="R158" s="553">
        <v>2</v>
      </c>
      <c r="S158" s="558">
        <v>1</v>
      </c>
      <c r="T158" s="557">
        <v>2</v>
      </c>
      <c r="U158" s="559">
        <v>1</v>
      </c>
    </row>
    <row r="159" spans="1:21" ht="14.4" customHeight="1" x14ac:dyDescent="0.3">
      <c r="A159" s="552">
        <v>29</v>
      </c>
      <c r="B159" s="553" t="s">
        <v>469</v>
      </c>
      <c r="C159" s="553" t="s">
        <v>642</v>
      </c>
      <c r="D159" s="554" t="s">
        <v>1148</v>
      </c>
      <c r="E159" s="555" t="s">
        <v>650</v>
      </c>
      <c r="F159" s="553" t="s">
        <v>639</v>
      </c>
      <c r="G159" s="553" t="s">
        <v>726</v>
      </c>
      <c r="H159" s="553" t="s">
        <v>470</v>
      </c>
      <c r="I159" s="553" t="s">
        <v>964</v>
      </c>
      <c r="J159" s="553" t="s">
        <v>728</v>
      </c>
      <c r="K159" s="553" t="s">
        <v>965</v>
      </c>
      <c r="L159" s="556">
        <v>25.07</v>
      </c>
      <c r="M159" s="556">
        <v>25.07</v>
      </c>
      <c r="N159" s="553">
        <v>1</v>
      </c>
      <c r="O159" s="557">
        <v>1</v>
      </c>
      <c r="P159" s="556">
        <v>25.07</v>
      </c>
      <c r="Q159" s="558">
        <v>1</v>
      </c>
      <c r="R159" s="553">
        <v>1</v>
      </c>
      <c r="S159" s="558">
        <v>1</v>
      </c>
      <c r="T159" s="557">
        <v>1</v>
      </c>
      <c r="U159" s="559">
        <v>1</v>
      </c>
    </row>
    <row r="160" spans="1:21" ht="14.4" customHeight="1" x14ac:dyDescent="0.3">
      <c r="A160" s="552">
        <v>29</v>
      </c>
      <c r="B160" s="553" t="s">
        <v>469</v>
      </c>
      <c r="C160" s="553" t="s">
        <v>642</v>
      </c>
      <c r="D160" s="554" t="s">
        <v>1148</v>
      </c>
      <c r="E160" s="555" t="s">
        <v>650</v>
      </c>
      <c r="F160" s="553" t="s">
        <v>639</v>
      </c>
      <c r="G160" s="553" t="s">
        <v>726</v>
      </c>
      <c r="H160" s="553" t="s">
        <v>470</v>
      </c>
      <c r="I160" s="553" t="s">
        <v>966</v>
      </c>
      <c r="J160" s="553" t="s">
        <v>728</v>
      </c>
      <c r="K160" s="553" t="s">
        <v>731</v>
      </c>
      <c r="L160" s="556">
        <v>75.22</v>
      </c>
      <c r="M160" s="556">
        <v>75.22</v>
      </c>
      <c r="N160" s="553">
        <v>1</v>
      </c>
      <c r="O160" s="557">
        <v>1</v>
      </c>
      <c r="P160" s="556">
        <v>75.22</v>
      </c>
      <c r="Q160" s="558">
        <v>1</v>
      </c>
      <c r="R160" s="553">
        <v>1</v>
      </c>
      <c r="S160" s="558">
        <v>1</v>
      </c>
      <c r="T160" s="557">
        <v>1</v>
      </c>
      <c r="U160" s="559">
        <v>1</v>
      </c>
    </row>
    <row r="161" spans="1:21" ht="14.4" customHeight="1" x14ac:dyDescent="0.3">
      <c r="A161" s="552">
        <v>29</v>
      </c>
      <c r="B161" s="553" t="s">
        <v>469</v>
      </c>
      <c r="C161" s="553" t="s">
        <v>642</v>
      </c>
      <c r="D161" s="554" t="s">
        <v>1148</v>
      </c>
      <c r="E161" s="555" t="s">
        <v>650</v>
      </c>
      <c r="F161" s="553" t="s">
        <v>641</v>
      </c>
      <c r="G161" s="553" t="s">
        <v>736</v>
      </c>
      <c r="H161" s="553" t="s">
        <v>470</v>
      </c>
      <c r="I161" s="553" t="s">
        <v>740</v>
      </c>
      <c r="J161" s="553" t="s">
        <v>738</v>
      </c>
      <c r="K161" s="553" t="s">
        <v>741</v>
      </c>
      <c r="L161" s="556">
        <v>175.15</v>
      </c>
      <c r="M161" s="556">
        <v>700.6</v>
      </c>
      <c r="N161" s="553">
        <v>4</v>
      </c>
      <c r="O161" s="557">
        <v>2</v>
      </c>
      <c r="P161" s="556">
        <v>700.6</v>
      </c>
      <c r="Q161" s="558">
        <v>1</v>
      </c>
      <c r="R161" s="553">
        <v>4</v>
      </c>
      <c r="S161" s="558">
        <v>1</v>
      </c>
      <c r="T161" s="557">
        <v>2</v>
      </c>
      <c r="U161" s="559">
        <v>1</v>
      </c>
    </row>
    <row r="162" spans="1:21" ht="14.4" customHeight="1" x14ac:dyDescent="0.3">
      <c r="A162" s="552">
        <v>29</v>
      </c>
      <c r="B162" s="553" t="s">
        <v>469</v>
      </c>
      <c r="C162" s="553" t="s">
        <v>642</v>
      </c>
      <c r="D162" s="554" t="s">
        <v>1148</v>
      </c>
      <c r="E162" s="555" t="s">
        <v>650</v>
      </c>
      <c r="F162" s="553" t="s">
        <v>641</v>
      </c>
      <c r="G162" s="553" t="s">
        <v>736</v>
      </c>
      <c r="H162" s="553" t="s">
        <v>470</v>
      </c>
      <c r="I162" s="553" t="s">
        <v>742</v>
      </c>
      <c r="J162" s="553" t="s">
        <v>738</v>
      </c>
      <c r="K162" s="553" t="s">
        <v>743</v>
      </c>
      <c r="L162" s="556">
        <v>200</v>
      </c>
      <c r="M162" s="556">
        <v>4600</v>
      </c>
      <c r="N162" s="553">
        <v>23</v>
      </c>
      <c r="O162" s="557">
        <v>10</v>
      </c>
      <c r="P162" s="556">
        <v>3000</v>
      </c>
      <c r="Q162" s="558">
        <v>0.65217391304347827</v>
      </c>
      <c r="R162" s="553">
        <v>15</v>
      </c>
      <c r="S162" s="558">
        <v>0.65217391304347827</v>
      </c>
      <c r="T162" s="557">
        <v>7</v>
      </c>
      <c r="U162" s="559">
        <v>0.7</v>
      </c>
    </row>
    <row r="163" spans="1:21" ht="14.4" customHeight="1" x14ac:dyDescent="0.3">
      <c r="A163" s="552">
        <v>29</v>
      </c>
      <c r="B163" s="553" t="s">
        <v>469</v>
      </c>
      <c r="C163" s="553" t="s">
        <v>642</v>
      </c>
      <c r="D163" s="554" t="s">
        <v>1148</v>
      </c>
      <c r="E163" s="555" t="s">
        <v>650</v>
      </c>
      <c r="F163" s="553" t="s">
        <v>641</v>
      </c>
      <c r="G163" s="553" t="s">
        <v>781</v>
      </c>
      <c r="H163" s="553" t="s">
        <v>470</v>
      </c>
      <c r="I163" s="553" t="s">
        <v>782</v>
      </c>
      <c r="J163" s="553" t="s">
        <v>783</v>
      </c>
      <c r="K163" s="553" t="s">
        <v>784</v>
      </c>
      <c r="L163" s="556">
        <v>410</v>
      </c>
      <c r="M163" s="556">
        <v>2050</v>
      </c>
      <c r="N163" s="553">
        <v>5</v>
      </c>
      <c r="O163" s="557">
        <v>5</v>
      </c>
      <c r="P163" s="556">
        <v>2050</v>
      </c>
      <c r="Q163" s="558">
        <v>1</v>
      </c>
      <c r="R163" s="553">
        <v>5</v>
      </c>
      <c r="S163" s="558">
        <v>1</v>
      </c>
      <c r="T163" s="557">
        <v>5</v>
      </c>
      <c r="U163" s="559">
        <v>1</v>
      </c>
    </row>
    <row r="164" spans="1:21" ht="14.4" customHeight="1" x14ac:dyDescent="0.3">
      <c r="A164" s="552">
        <v>29</v>
      </c>
      <c r="B164" s="553" t="s">
        <v>469</v>
      </c>
      <c r="C164" s="553" t="s">
        <v>642</v>
      </c>
      <c r="D164" s="554" t="s">
        <v>1148</v>
      </c>
      <c r="E164" s="555" t="s">
        <v>650</v>
      </c>
      <c r="F164" s="553" t="s">
        <v>641</v>
      </c>
      <c r="G164" s="553" t="s">
        <v>791</v>
      </c>
      <c r="H164" s="553" t="s">
        <v>470</v>
      </c>
      <c r="I164" s="553" t="s">
        <v>967</v>
      </c>
      <c r="J164" s="553" t="s">
        <v>968</v>
      </c>
      <c r="K164" s="553" t="s">
        <v>969</v>
      </c>
      <c r="L164" s="556">
        <v>378.48</v>
      </c>
      <c r="M164" s="556">
        <v>756.96</v>
      </c>
      <c r="N164" s="553">
        <v>2</v>
      </c>
      <c r="O164" s="557">
        <v>2</v>
      </c>
      <c r="P164" s="556">
        <v>756.96</v>
      </c>
      <c r="Q164" s="558">
        <v>1</v>
      </c>
      <c r="R164" s="553">
        <v>2</v>
      </c>
      <c r="S164" s="558">
        <v>1</v>
      </c>
      <c r="T164" s="557">
        <v>2</v>
      </c>
      <c r="U164" s="559">
        <v>1</v>
      </c>
    </row>
    <row r="165" spans="1:21" ht="14.4" customHeight="1" x14ac:dyDescent="0.3">
      <c r="A165" s="552">
        <v>29</v>
      </c>
      <c r="B165" s="553" t="s">
        <v>469</v>
      </c>
      <c r="C165" s="553" t="s">
        <v>642</v>
      </c>
      <c r="D165" s="554" t="s">
        <v>1148</v>
      </c>
      <c r="E165" s="555" t="s">
        <v>651</v>
      </c>
      <c r="F165" s="553" t="s">
        <v>639</v>
      </c>
      <c r="G165" s="553" t="s">
        <v>658</v>
      </c>
      <c r="H165" s="553" t="s">
        <v>470</v>
      </c>
      <c r="I165" s="553" t="s">
        <v>659</v>
      </c>
      <c r="J165" s="553" t="s">
        <v>660</v>
      </c>
      <c r="K165" s="553" t="s">
        <v>661</v>
      </c>
      <c r="L165" s="556">
        <v>0</v>
      </c>
      <c r="M165" s="556">
        <v>0</v>
      </c>
      <c r="N165" s="553">
        <v>5</v>
      </c>
      <c r="O165" s="557">
        <v>5</v>
      </c>
      <c r="P165" s="556">
        <v>0</v>
      </c>
      <c r="Q165" s="558"/>
      <c r="R165" s="553">
        <v>5</v>
      </c>
      <c r="S165" s="558">
        <v>1</v>
      </c>
      <c r="T165" s="557">
        <v>5</v>
      </c>
      <c r="U165" s="559">
        <v>1</v>
      </c>
    </row>
    <row r="166" spans="1:21" ht="14.4" customHeight="1" x14ac:dyDescent="0.3">
      <c r="A166" s="552">
        <v>29</v>
      </c>
      <c r="B166" s="553" t="s">
        <v>469</v>
      </c>
      <c r="C166" s="553" t="s">
        <v>642</v>
      </c>
      <c r="D166" s="554" t="s">
        <v>1148</v>
      </c>
      <c r="E166" s="555" t="s">
        <v>651</v>
      </c>
      <c r="F166" s="553" t="s">
        <v>639</v>
      </c>
      <c r="G166" s="553" t="s">
        <v>817</v>
      </c>
      <c r="H166" s="553" t="s">
        <v>470</v>
      </c>
      <c r="I166" s="553" t="s">
        <v>818</v>
      </c>
      <c r="J166" s="553" t="s">
        <v>819</v>
      </c>
      <c r="K166" s="553" t="s">
        <v>820</v>
      </c>
      <c r="L166" s="556">
        <v>170.52</v>
      </c>
      <c r="M166" s="556">
        <v>341.04</v>
      </c>
      <c r="N166" s="553">
        <v>2</v>
      </c>
      <c r="O166" s="557">
        <v>2</v>
      </c>
      <c r="P166" s="556">
        <v>170.52</v>
      </c>
      <c r="Q166" s="558">
        <v>0.5</v>
      </c>
      <c r="R166" s="553">
        <v>1</v>
      </c>
      <c r="S166" s="558">
        <v>0.5</v>
      </c>
      <c r="T166" s="557">
        <v>1</v>
      </c>
      <c r="U166" s="559">
        <v>0.5</v>
      </c>
    </row>
    <row r="167" spans="1:21" ht="14.4" customHeight="1" x14ac:dyDescent="0.3">
      <c r="A167" s="552">
        <v>29</v>
      </c>
      <c r="B167" s="553" t="s">
        <v>469</v>
      </c>
      <c r="C167" s="553" t="s">
        <v>642</v>
      </c>
      <c r="D167" s="554" t="s">
        <v>1148</v>
      </c>
      <c r="E167" s="555" t="s">
        <v>651</v>
      </c>
      <c r="F167" s="553" t="s">
        <v>639</v>
      </c>
      <c r="G167" s="553" t="s">
        <v>879</v>
      </c>
      <c r="H167" s="553" t="s">
        <v>470</v>
      </c>
      <c r="I167" s="553" t="s">
        <v>880</v>
      </c>
      <c r="J167" s="553" t="s">
        <v>881</v>
      </c>
      <c r="K167" s="553" t="s">
        <v>820</v>
      </c>
      <c r="L167" s="556">
        <v>78.33</v>
      </c>
      <c r="M167" s="556">
        <v>156.66</v>
      </c>
      <c r="N167" s="553">
        <v>2</v>
      </c>
      <c r="O167" s="557">
        <v>0.5</v>
      </c>
      <c r="P167" s="556"/>
      <c r="Q167" s="558">
        <v>0</v>
      </c>
      <c r="R167" s="553"/>
      <c r="S167" s="558">
        <v>0</v>
      </c>
      <c r="T167" s="557"/>
      <c r="U167" s="559">
        <v>0</v>
      </c>
    </row>
    <row r="168" spans="1:21" ht="14.4" customHeight="1" x14ac:dyDescent="0.3">
      <c r="A168" s="552">
        <v>29</v>
      </c>
      <c r="B168" s="553" t="s">
        <v>469</v>
      </c>
      <c r="C168" s="553" t="s">
        <v>642</v>
      </c>
      <c r="D168" s="554" t="s">
        <v>1148</v>
      </c>
      <c r="E168" s="555" t="s">
        <v>651</v>
      </c>
      <c r="F168" s="553" t="s">
        <v>639</v>
      </c>
      <c r="G168" s="553" t="s">
        <v>970</v>
      </c>
      <c r="H168" s="553" t="s">
        <v>470</v>
      </c>
      <c r="I168" s="553" t="s">
        <v>971</v>
      </c>
      <c r="J168" s="553" t="s">
        <v>509</v>
      </c>
      <c r="K168" s="553" t="s">
        <v>972</v>
      </c>
      <c r="L168" s="556">
        <v>0</v>
      </c>
      <c r="M168" s="556">
        <v>0</v>
      </c>
      <c r="N168" s="553">
        <v>5</v>
      </c>
      <c r="O168" s="557">
        <v>1</v>
      </c>
      <c r="P168" s="556">
        <v>0</v>
      </c>
      <c r="Q168" s="558"/>
      <c r="R168" s="553">
        <v>5</v>
      </c>
      <c r="S168" s="558">
        <v>1</v>
      </c>
      <c r="T168" s="557">
        <v>1</v>
      </c>
      <c r="U168" s="559">
        <v>1</v>
      </c>
    </row>
    <row r="169" spans="1:21" ht="14.4" customHeight="1" x14ac:dyDescent="0.3">
      <c r="A169" s="552">
        <v>29</v>
      </c>
      <c r="B169" s="553" t="s">
        <v>469</v>
      </c>
      <c r="C169" s="553" t="s">
        <v>642</v>
      </c>
      <c r="D169" s="554" t="s">
        <v>1148</v>
      </c>
      <c r="E169" s="555" t="s">
        <v>651</v>
      </c>
      <c r="F169" s="553" t="s">
        <v>639</v>
      </c>
      <c r="G169" s="553" t="s">
        <v>662</v>
      </c>
      <c r="H169" s="553" t="s">
        <v>470</v>
      </c>
      <c r="I169" s="553" t="s">
        <v>663</v>
      </c>
      <c r="J169" s="553" t="s">
        <v>664</v>
      </c>
      <c r="K169" s="553" t="s">
        <v>665</v>
      </c>
      <c r="L169" s="556">
        <v>156.77000000000001</v>
      </c>
      <c r="M169" s="556">
        <v>313.54000000000002</v>
      </c>
      <c r="N169" s="553">
        <v>2</v>
      </c>
      <c r="O169" s="557">
        <v>1</v>
      </c>
      <c r="P169" s="556">
        <v>313.54000000000002</v>
      </c>
      <c r="Q169" s="558">
        <v>1</v>
      </c>
      <c r="R169" s="553">
        <v>2</v>
      </c>
      <c r="S169" s="558">
        <v>1</v>
      </c>
      <c r="T169" s="557">
        <v>1</v>
      </c>
      <c r="U169" s="559">
        <v>1</v>
      </c>
    </row>
    <row r="170" spans="1:21" ht="14.4" customHeight="1" x14ac:dyDescent="0.3">
      <c r="A170" s="552">
        <v>29</v>
      </c>
      <c r="B170" s="553" t="s">
        <v>469</v>
      </c>
      <c r="C170" s="553" t="s">
        <v>642</v>
      </c>
      <c r="D170" s="554" t="s">
        <v>1148</v>
      </c>
      <c r="E170" s="555" t="s">
        <v>651</v>
      </c>
      <c r="F170" s="553" t="s">
        <v>639</v>
      </c>
      <c r="G170" s="553" t="s">
        <v>669</v>
      </c>
      <c r="H170" s="553" t="s">
        <v>470</v>
      </c>
      <c r="I170" s="553" t="s">
        <v>570</v>
      </c>
      <c r="J170" s="553" t="s">
        <v>571</v>
      </c>
      <c r="K170" s="553" t="s">
        <v>670</v>
      </c>
      <c r="L170" s="556">
        <v>48.09</v>
      </c>
      <c r="M170" s="556">
        <v>96.18</v>
      </c>
      <c r="N170" s="553">
        <v>2</v>
      </c>
      <c r="O170" s="557">
        <v>2</v>
      </c>
      <c r="P170" s="556">
        <v>48.09</v>
      </c>
      <c r="Q170" s="558">
        <v>0.5</v>
      </c>
      <c r="R170" s="553">
        <v>1</v>
      </c>
      <c r="S170" s="558">
        <v>0.5</v>
      </c>
      <c r="T170" s="557">
        <v>1</v>
      </c>
      <c r="U170" s="559">
        <v>0.5</v>
      </c>
    </row>
    <row r="171" spans="1:21" ht="14.4" customHeight="1" x14ac:dyDescent="0.3">
      <c r="A171" s="552">
        <v>29</v>
      </c>
      <c r="B171" s="553" t="s">
        <v>469</v>
      </c>
      <c r="C171" s="553" t="s">
        <v>642</v>
      </c>
      <c r="D171" s="554" t="s">
        <v>1148</v>
      </c>
      <c r="E171" s="555" t="s">
        <v>651</v>
      </c>
      <c r="F171" s="553" t="s">
        <v>639</v>
      </c>
      <c r="G171" s="553" t="s">
        <v>675</v>
      </c>
      <c r="H171" s="553" t="s">
        <v>470</v>
      </c>
      <c r="I171" s="553" t="s">
        <v>973</v>
      </c>
      <c r="J171" s="553" t="s">
        <v>516</v>
      </c>
      <c r="K171" s="553" t="s">
        <v>517</v>
      </c>
      <c r="L171" s="556">
        <v>0</v>
      </c>
      <c r="M171" s="556">
        <v>0</v>
      </c>
      <c r="N171" s="553">
        <v>1</v>
      </c>
      <c r="O171" s="557">
        <v>1</v>
      </c>
      <c r="P171" s="556">
        <v>0</v>
      </c>
      <c r="Q171" s="558"/>
      <c r="R171" s="553">
        <v>1</v>
      </c>
      <c r="S171" s="558">
        <v>1</v>
      </c>
      <c r="T171" s="557">
        <v>1</v>
      </c>
      <c r="U171" s="559">
        <v>1</v>
      </c>
    </row>
    <row r="172" spans="1:21" ht="14.4" customHeight="1" x14ac:dyDescent="0.3">
      <c r="A172" s="552">
        <v>29</v>
      </c>
      <c r="B172" s="553" t="s">
        <v>469</v>
      </c>
      <c r="C172" s="553" t="s">
        <v>642</v>
      </c>
      <c r="D172" s="554" t="s">
        <v>1148</v>
      </c>
      <c r="E172" s="555" t="s">
        <v>651</v>
      </c>
      <c r="F172" s="553" t="s">
        <v>639</v>
      </c>
      <c r="G172" s="553" t="s">
        <v>683</v>
      </c>
      <c r="H172" s="553" t="s">
        <v>470</v>
      </c>
      <c r="I172" s="553" t="s">
        <v>574</v>
      </c>
      <c r="J172" s="553" t="s">
        <v>575</v>
      </c>
      <c r="K172" s="553" t="s">
        <v>684</v>
      </c>
      <c r="L172" s="556">
        <v>36.97</v>
      </c>
      <c r="M172" s="556">
        <v>184.85</v>
      </c>
      <c r="N172" s="553">
        <v>5</v>
      </c>
      <c r="O172" s="557">
        <v>4</v>
      </c>
      <c r="P172" s="556">
        <v>73.94</v>
      </c>
      <c r="Q172" s="558">
        <v>0.4</v>
      </c>
      <c r="R172" s="553">
        <v>2</v>
      </c>
      <c r="S172" s="558">
        <v>0.4</v>
      </c>
      <c r="T172" s="557">
        <v>2</v>
      </c>
      <c r="U172" s="559">
        <v>0.5</v>
      </c>
    </row>
    <row r="173" spans="1:21" ht="14.4" customHeight="1" x14ac:dyDescent="0.3">
      <c r="A173" s="552">
        <v>29</v>
      </c>
      <c r="B173" s="553" t="s">
        <v>469</v>
      </c>
      <c r="C173" s="553" t="s">
        <v>642</v>
      </c>
      <c r="D173" s="554" t="s">
        <v>1148</v>
      </c>
      <c r="E173" s="555" t="s">
        <v>651</v>
      </c>
      <c r="F173" s="553" t="s">
        <v>639</v>
      </c>
      <c r="G173" s="553" t="s">
        <v>974</v>
      </c>
      <c r="H173" s="553" t="s">
        <v>470</v>
      </c>
      <c r="I173" s="553" t="s">
        <v>975</v>
      </c>
      <c r="J173" s="553" t="s">
        <v>976</v>
      </c>
      <c r="K173" s="553" t="s">
        <v>977</v>
      </c>
      <c r="L173" s="556">
        <v>0</v>
      </c>
      <c r="M173" s="556">
        <v>0</v>
      </c>
      <c r="N173" s="553">
        <v>1</v>
      </c>
      <c r="O173" s="557">
        <v>1</v>
      </c>
      <c r="P173" s="556"/>
      <c r="Q173" s="558"/>
      <c r="R173" s="553"/>
      <c r="S173" s="558">
        <v>0</v>
      </c>
      <c r="T173" s="557"/>
      <c r="U173" s="559">
        <v>0</v>
      </c>
    </row>
    <row r="174" spans="1:21" ht="14.4" customHeight="1" x14ac:dyDescent="0.3">
      <c r="A174" s="552">
        <v>29</v>
      </c>
      <c r="B174" s="553" t="s">
        <v>469</v>
      </c>
      <c r="C174" s="553" t="s">
        <v>642</v>
      </c>
      <c r="D174" s="554" t="s">
        <v>1148</v>
      </c>
      <c r="E174" s="555" t="s">
        <v>651</v>
      </c>
      <c r="F174" s="553" t="s">
        <v>639</v>
      </c>
      <c r="G174" s="553" t="s">
        <v>978</v>
      </c>
      <c r="H174" s="553" t="s">
        <v>470</v>
      </c>
      <c r="I174" s="553" t="s">
        <v>979</v>
      </c>
      <c r="J174" s="553" t="s">
        <v>980</v>
      </c>
      <c r="K174" s="553" t="s">
        <v>981</v>
      </c>
      <c r="L174" s="556">
        <v>0</v>
      </c>
      <c r="M174" s="556">
        <v>0</v>
      </c>
      <c r="N174" s="553">
        <v>1</v>
      </c>
      <c r="O174" s="557">
        <v>0.5</v>
      </c>
      <c r="P174" s="556"/>
      <c r="Q174" s="558"/>
      <c r="R174" s="553"/>
      <c r="S174" s="558">
        <v>0</v>
      </c>
      <c r="T174" s="557"/>
      <c r="U174" s="559">
        <v>0</v>
      </c>
    </row>
    <row r="175" spans="1:21" ht="14.4" customHeight="1" x14ac:dyDescent="0.3">
      <c r="A175" s="552">
        <v>29</v>
      </c>
      <c r="B175" s="553" t="s">
        <v>469</v>
      </c>
      <c r="C175" s="553" t="s">
        <v>642</v>
      </c>
      <c r="D175" s="554" t="s">
        <v>1148</v>
      </c>
      <c r="E175" s="555" t="s">
        <v>651</v>
      </c>
      <c r="F175" s="553" t="s">
        <v>639</v>
      </c>
      <c r="G175" s="553" t="s">
        <v>982</v>
      </c>
      <c r="H175" s="553" t="s">
        <v>585</v>
      </c>
      <c r="I175" s="553" t="s">
        <v>983</v>
      </c>
      <c r="J175" s="553" t="s">
        <v>984</v>
      </c>
      <c r="K175" s="553" t="s">
        <v>985</v>
      </c>
      <c r="L175" s="556">
        <v>291.82</v>
      </c>
      <c r="M175" s="556">
        <v>291.82</v>
      </c>
      <c r="N175" s="553">
        <v>1</v>
      </c>
      <c r="O175" s="557">
        <v>1</v>
      </c>
      <c r="P175" s="556"/>
      <c r="Q175" s="558">
        <v>0</v>
      </c>
      <c r="R175" s="553"/>
      <c r="S175" s="558">
        <v>0</v>
      </c>
      <c r="T175" s="557"/>
      <c r="U175" s="559">
        <v>0</v>
      </c>
    </row>
    <row r="176" spans="1:21" ht="14.4" customHeight="1" x14ac:dyDescent="0.3">
      <c r="A176" s="552">
        <v>29</v>
      </c>
      <c r="B176" s="553" t="s">
        <v>469</v>
      </c>
      <c r="C176" s="553" t="s">
        <v>642</v>
      </c>
      <c r="D176" s="554" t="s">
        <v>1148</v>
      </c>
      <c r="E176" s="555" t="s">
        <v>651</v>
      </c>
      <c r="F176" s="553" t="s">
        <v>639</v>
      </c>
      <c r="G176" s="553" t="s">
        <v>986</v>
      </c>
      <c r="H176" s="553" t="s">
        <v>470</v>
      </c>
      <c r="I176" s="553" t="s">
        <v>987</v>
      </c>
      <c r="J176" s="553" t="s">
        <v>988</v>
      </c>
      <c r="K176" s="553" t="s">
        <v>989</v>
      </c>
      <c r="L176" s="556">
        <v>24.78</v>
      </c>
      <c r="M176" s="556">
        <v>24.78</v>
      </c>
      <c r="N176" s="553">
        <v>1</v>
      </c>
      <c r="O176" s="557">
        <v>1</v>
      </c>
      <c r="P176" s="556">
        <v>24.78</v>
      </c>
      <c r="Q176" s="558">
        <v>1</v>
      </c>
      <c r="R176" s="553">
        <v>1</v>
      </c>
      <c r="S176" s="558">
        <v>1</v>
      </c>
      <c r="T176" s="557">
        <v>1</v>
      </c>
      <c r="U176" s="559">
        <v>1</v>
      </c>
    </row>
    <row r="177" spans="1:21" ht="14.4" customHeight="1" x14ac:dyDescent="0.3">
      <c r="A177" s="552">
        <v>29</v>
      </c>
      <c r="B177" s="553" t="s">
        <v>469</v>
      </c>
      <c r="C177" s="553" t="s">
        <v>642</v>
      </c>
      <c r="D177" s="554" t="s">
        <v>1148</v>
      </c>
      <c r="E177" s="555" t="s">
        <v>651</v>
      </c>
      <c r="F177" s="553" t="s">
        <v>639</v>
      </c>
      <c r="G177" s="553" t="s">
        <v>990</v>
      </c>
      <c r="H177" s="553" t="s">
        <v>470</v>
      </c>
      <c r="I177" s="553" t="s">
        <v>991</v>
      </c>
      <c r="J177" s="553" t="s">
        <v>992</v>
      </c>
      <c r="K177" s="553" t="s">
        <v>993</v>
      </c>
      <c r="L177" s="556">
        <v>22.44</v>
      </c>
      <c r="M177" s="556">
        <v>22.44</v>
      </c>
      <c r="N177" s="553">
        <v>1</v>
      </c>
      <c r="O177" s="557">
        <v>1</v>
      </c>
      <c r="P177" s="556">
        <v>22.44</v>
      </c>
      <c r="Q177" s="558">
        <v>1</v>
      </c>
      <c r="R177" s="553">
        <v>1</v>
      </c>
      <c r="S177" s="558">
        <v>1</v>
      </c>
      <c r="T177" s="557">
        <v>1</v>
      </c>
      <c r="U177" s="559">
        <v>1</v>
      </c>
    </row>
    <row r="178" spans="1:21" ht="14.4" customHeight="1" x14ac:dyDescent="0.3">
      <c r="A178" s="552">
        <v>29</v>
      </c>
      <c r="B178" s="553" t="s">
        <v>469</v>
      </c>
      <c r="C178" s="553" t="s">
        <v>642</v>
      </c>
      <c r="D178" s="554" t="s">
        <v>1148</v>
      </c>
      <c r="E178" s="555" t="s">
        <v>651</v>
      </c>
      <c r="F178" s="553" t="s">
        <v>639</v>
      </c>
      <c r="G178" s="553" t="s">
        <v>726</v>
      </c>
      <c r="H178" s="553" t="s">
        <v>470</v>
      </c>
      <c r="I178" s="553" t="s">
        <v>730</v>
      </c>
      <c r="J178" s="553" t="s">
        <v>728</v>
      </c>
      <c r="K178" s="553" t="s">
        <v>731</v>
      </c>
      <c r="L178" s="556">
        <v>75.22</v>
      </c>
      <c r="M178" s="556">
        <v>75.22</v>
      </c>
      <c r="N178" s="553">
        <v>1</v>
      </c>
      <c r="O178" s="557">
        <v>1</v>
      </c>
      <c r="P178" s="556"/>
      <c r="Q178" s="558">
        <v>0</v>
      </c>
      <c r="R178" s="553"/>
      <c r="S178" s="558">
        <v>0</v>
      </c>
      <c r="T178" s="557"/>
      <c r="U178" s="559">
        <v>0</v>
      </c>
    </row>
    <row r="179" spans="1:21" ht="14.4" customHeight="1" x14ac:dyDescent="0.3">
      <c r="A179" s="552">
        <v>29</v>
      </c>
      <c r="B179" s="553" t="s">
        <v>469</v>
      </c>
      <c r="C179" s="553" t="s">
        <v>642</v>
      </c>
      <c r="D179" s="554" t="s">
        <v>1148</v>
      </c>
      <c r="E179" s="555" t="s">
        <v>651</v>
      </c>
      <c r="F179" s="553" t="s">
        <v>640</v>
      </c>
      <c r="G179" s="553" t="s">
        <v>666</v>
      </c>
      <c r="H179" s="553" t="s">
        <v>470</v>
      </c>
      <c r="I179" s="553" t="s">
        <v>994</v>
      </c>
      <c r="J179" s="553" t="s">
        <v>668</v>
      </c>
      <c r="K179" s="553"/>
      <c r="L179" s="556">
        <v>0</v>
      </c>
      <c r="M179" s="556">
        <v>0</v>
      </c>
      <c r="N179" s="553">
        <v>1</v>
      </c>
      <c r="O179" s="557">
        <v>1</v>
      </c>
      <c r="P179" s="556"/>
      <c r="Q179" s="558"/>
      <c r="R179" s="553"/>
      <c r="S179" s="558">
        <v>0</v>
      </c>
      <c r="T179" s="557"/>
      <c r="U179" s="559">
        <v>0</v>
      </c>
    </row>
    <row r="180" spans="1:21" ht="14.4" customHeight="1" x14ac:dyDescent="0.3">
      <c r="A180" s="552">
        <v>29</v>
      </c>
      <c r="B180" s="553" t="s">
        <v>469</v>
      </c>
      <c r="C180" s="553" t="s">
        <v>642</v>
      </c>
      <c r="D180" s="554" t="s">
        <v>1148</v>
      </c>
      <c r="E180" s="555" t="s">
        <v>651</v>
      </c>
      <c r="F180" s="553" t="s">
        <v>641</v>
      </c>
      <c r="G180" s="553" t="s">
        <v>995</v>
      </c>
      <c r="H180" s="553" t="s">
        <v>470</v>
      </c>
      <c r="I180" s="553" t="s">
        <v>996</v>
      </c>
      <c r="J180" s="553" t="s">
        <v>997</v>
      </c>
      <c r="K180" s="553" t="s">
        <v>998</v>
      </c>
      <c r="L180" s="556">
        <v>75</v>
      </c>
      <c r="M180" s="556">
        <v>75</v>
      </c>
      <c r="N180" s="553">
        <v>1</v>
      </c>
      <c r="O180" s="557">
        <v>1</v>
      </c>
      <c r="P180" s="556"/>
      <c r="Q180" s="558">
        <v>0</v>
      </c>
      <c r="R180" s="553"/>
      <c r="S180" s="558">
        <v>0</v>
      </c>
      <c r="T180" s="557"/>
      <c r="U180" s="559">
        <v>0</v>
      </c>
    </row>
    <row r="181" spans="1:21" ht="14.4" customHeight="1" x14ac:dyDescent="0.3">
      <c r="A181" s="552">
        <v>29</v>
      </c>
      <c r="B181" s="553" t="s">
        <v>469</v>
      </c>
      <c r="C181" s="553" t="s">
        <v>642</v>
      </c>
      <c r="D181" s="554" t="s">
        <v>1148</v>
      </c>
      <c r="E181" s="555" t="s">
        <v>651</v>
      </c>
      <c r="F181" s="553" t="s">
        <v>641</v>
      </c>
      <c r="G181" s="553" t="s">
        <v>995</v>
      </c>
      <c r="H181" s="553" t="s">
        <v>470</v>
      </c>
      <c r="I181" s="553" t="s">
        <v>999</v>
      </c>
      <c r="J181" s="553" t="s">
        <v>1000</v>
      </c>
      <c r="K181" s="553" t="s">
        <v>1001</v>
      </c>
      <c r="L181" s="556">
        <v>63.6</v>
      </c>
      <c r="M181" s="556">
        <v>127.2</v>
      </c>
      <c r="N181" s="553">
        <v>2</v>
      </c>
      <c r="O181" s="557">
        <v>2</v>
      </c>
      <c r="P181" s="556"/>
      <c r="Q181" s="558">
        <v>0</v>
      </c>
      <c r="R181" s="553"/>
      <c r="S181" s="558">
        <v>0</v>
      </c>
      <c r="T181" s="557"/>
      <c r="U181" s="559">
        <v>0</v>
      </c>
    </row>
    <row r="182" spans="1:21" ht="14.4" customHeight="1" x14ac:dyDescent="0.3">
      <c r="A182" s="552">
        <v>29</v>
      </c>
      <c r="B182" s="553" t="s">
        <v>469</v>
      </c>
      <c r="C182" s="553" t="s">
        <v>642</v>
      </c>
      <c r="D182" s="554" t="s">
        <v>1148</v>
      </c>
      <c r="E182" s="555" t="s">
        <v>651</v>
      </c>
      <c r="F182" s="553" t="s">
        <v>641</v>
      </c>
      <c r="G182" s="553" t="s">
        <v>995</v>
      </c>
      <c r="H182" s="553" t="s">
        <v>470</v>
      </c>
      <c r="I182" s="553" t="s">
        <v>1002</v>
      </c>
      <c r="J182" s="553" t="s">
        <v>1003</v>
      </c>
      <c r="K182" s="553" t="s">
        <v>1004</v>
      </c>
      <c r="L182" s="556">
        <v>63.6</v>
      </c>
      <c r="M182" s="556">
        <v>63.6</v>
      </c>
      <c r="N182" s="553">
        <v>1</v>
      </c>
      <c r="O182" s="557">
        <v>1</v>
      </c>
      <c r="P182" s="556"/>
      <c r="Q182" s="558">
        <v>0</v>
      </c>
      <c r="R182" s="553"/>
      <c r="S182" s="558">
        <v>0</v>
      </c>
      <c r="T182" s="557"/>
      <c r="U182" s="559">
        <v>0</v>
      </c>
    </row>
    <row r="183" spans="1:21" ht="14.4" customHeight="1" x14ac:dyDescent="0.3">
      <c r="A183" s="552">
        <v>29</v>
      </c>
      <c r="B183" s="553" t="s">
        <v>469</v>
      </c>
      <c r="C183" s="553" t="s">
        <v>642</v>
      </c>
      <c r="D183" s="554" t="s">
        <v>1148</v>
      </c>
      <c r="E183" s="555" t="s">
        <v>651</v>
      </c>
      <c r="F183" s="553" t="s">
        <v>641</v>
      </c>
      <c r="G183" s="553" t="s">
        <v>736</v>
      </c>
      <c r="H183" s="553" t="s">
        <v>470</v>
      </c>
      <c r="I183" s="553" t="s">
        <v>737</v>
      </c>
      <c r="J183" s="553" t="s">
        <v>738</v>
      </c>
      <c r="K183" s="553" t="s">
        <v>739</v>
      </c>
      <c r="L183" s="556">
        <v>133.69</v>
      </c>
      <c r="M183" s="556">
        <v>133.69</v>
      </c>
      <c r="N183" s="553">
        <v>1</v>
      </c>
      <c r="O183" s="557">
        <v>1</v>
      </c>
      <c r="P183" s="556"/>
      <c r="Q183" s="558">
        <v>0</v>
      </c>
      <c r="R183" s="553"/>
      <c r="S183" s="558">
        <v>0</v>
      </c>
      <c r="T183" s="557"/>
      <c r="U183" s="559">
        <v>0</v>
      </c>
    </row>
    <row r="184" spans="1:21" ht="14.4" customHeight="1" x14ac:dyDescent="0.3">
      <c r="A184" s="552">
        <v>29</v>
      </c>
      <c r="B184" s="553" t="s">
        <v>469</v>
      </c>
      <c r="C184" s="553" t="s">
        <v>642</v>
      </c>
      <c r="D184" s="554" t="s">
        <v>1148</v>
      </c>
      <c r="E184" s="555" t="s">
        <v>651</v>
      </c>
      <c r="F184" s="553" t="s">
        <v>641</v>
      </c>
      <c r="G184" s="553" t="s">
        <v>736</v>
      </c>
      <c r="H184" s="553" t="s">
        <v>470</v>
      </c>
      <c r="I184" s="553" t="s">
        <v>1005</v>
      </c>
      <c r="J184" s="553" t="s">
        <v>759</v>
      </c>
      <c r="K184" s="553" t="s">
        <v>1006</v>
      </c>
      <c r="L184" s="556">
        <v>4.87</v>
      </c>
      <c r="M184" s="556">
        <v>4.87</v>
      </c>
      <c r="N184" s="553">
        <v>1</v>
      </c>
      <c r="O184" s="557">
        <v>1</v>
      </c>
      <c r="P184" s="556">
        <v>4.87</v>
      </c>
      <c r="Q184" s="558">
        <v>1</v>
      </c>
      <c r="R184" s="553">
        <v>1</v>
      </c>
      <c r="S184" s="558">
        <v>1</v>
      </c>
      <c r="T184" s="557">
        <v>1</v>
      </c>
      <c r="U184" s="559">
        <v>1</v>
      </c>
    </row>
    <row r="185" spans="1:21" ht="14.4" customHeight="1" x14ac:dyDescent="0.3">
      <c r="A185" s="552">
        <v>29</v>
      </c>
      <c r="B185" s="553" t="s">
        <v>469</v>
      </c>
      <c r="C185" s="553" t="s">
        <v>642</v>
      </c>
      <c r="D185" s="554" t="s">
        <v>1148</v>
      </c>
      <c r="E185" s="555" t="s">
        <v>651</v>
      </c>
      <c r="F185" s="553" t="s">
        <v>641</v>
      </c>
      <c r="G185" s="553" t="s">
        <v>781</v>
      </c>
      <c r="H185" s="553" t="s">
        <v>470</v>
      </c>
      <c r="I185" s="553" t="s">
        <v>782</v>
      </c>
      <c r="J185" s="553" t="s">
        <v>783</v>
      </c>
      <c r="K185" s="553" t="s">
        <v>784</v>
      </c>
      <c r="L185" s="556">
        <v>410</v>
      </c>
      <c r="M185" s="556">
        <v>410</v>
      </c>
      <c r="N185" s="553">
        <v>1</v>
      </c>
      <c r="O185" s="557">
        <v>1</v>
      </c>
      <c r="P185" s="556"/>
      <c r="Q185" s="558">
        <v>0</v>
      </c>
      <c r="R185" s="553"/>
      <c r="S185" s="558">
        <v>0</v>
      </c>
      <c r="T185" s="557"/>
      <c r="U185" s="559">
        <v>0</v>
      </c>
    </row>
    <row r="186" spans="1:21" ht="14.4" customHeight="1" x14ac:dyDescent="0.3">
      <c r="A186" s="552">
        <v>29</v>
      </c>
      <c r="B186" s="553" t="s">
        <v>469</v>
      </c>
      <c r="C186" s="553" t="s">
        <v>642</v>
      </c>
      <c r="D186" s="554" t="s">
        <v>1148</v>
      </c>
      <c r="E186" s="555" t="s">
        <v>651</v>
      </c>
      <c r="F186" s="553" t="s">
        <v>641</v>
      </c>
      <c r="G186" s="553" t="s">
        <v>813</v>
      </c>
      <c r="H186" s="553" t="s">
        <v>470</v>
      </c>
      <c r="I186" s="553" t="s">
        <v>1007</v>
      </c>
      <c r="J186" s="553" t="s">
        <v>1008</v>
      </c>
      <c r="K186" s="553" t="s">
        <v>1009</v>
      </c>
      <c r="L186" s="556">
        <v>260</v>
      </c>
      <c r="M186" s="556">
        <v>780</v>
      </c>
      <c r="N186" s="553">
        <v>3</v>
      </c>
      <c r="O186" s="557">
        <v>2</v>
      </c>
      <c r="P186" s="556">
        <v>260</v>
      </c>
      <c r="Q186" s="558">
        <v>0.33333333333333331</v>
      </c>
      <c r="R186" s="553">
        <v>1</v>
      </c>
      <c r="S186" s="558">
        <v>0.33333333333333331</v>
      </c>
      <c r="T186" s="557">
        <v>1</v>
      </c>
      <c r="U186" s="559">
        <v>0.5</v>
      </c>
    </row>
    <row r="187" spans="1:21" ht="14.4" customHeight="1" x14ac:dyDescent="0.3">
      <c r="A187" s="552">
        <v>29</v>
      </c>
      <c r="B187" s="553" t="s">
        <v>469</v>
      </c>
      <c r="C187" s="553" t="s">
        <v>642</v>
      </c>
      <c r="D187" s="554" t="s">
        <v>1148</v>
      </c>
      <c r="E187" s="555" t="s">
        <v>651</v>
      </c>
      <c r="F187" s="553" t="s">
        <v>641</v>
      </c>
      <c r="G187" s="553" t="s">
        <v>813</v>
      </c>
      <c r="H187" s="553" t="s">
        <v>470</v>
      </c>
      <c r="I187" s="553" t="s">
        <v>1010</v>
      </c>
      <c r="J187" s="553" t="s">
        <v>1011</v>
      </c>
      <c r="K187" s="553" t="s">
        <v>1012</v>
      </c>
      <c r="L187" s="556">
        <v>1110</v>
      </c>
      <c r="M187" s="556">
        <v>1110</v>
      </c>
      <c r="N187" s="553">
        <v>1</v>
      </c>
      <c r="O187" s="557">
        <v>1</v>
      </c>
      <c r="P187" s="556"/>
      <c r="Q187" s="558">
        <v>0</v>
      </c>
      <c r="R187" s="553"/>
      <c r="S187" s="558">
        <v>0</v>
      </c>
      <c r="T187" s="557"/>
      <c r="U187" s="559">
        <v>0</v>
      </c>
    </row>
    <row r="188" spans="1:21" ht="14.4" customHeight="1" x14ac:dyDescent="0.3">
      <c r="A188" s="552">
        <v>29</v>
      </c>
      <c r="B188" s="553" t="s">
        <v>469</v>
      </c>
      <c r="C188" s="553" t="s">
        <v>642</v>
      </c>
      <c r="D188" s="554" t="s">
        <v>1148</v>
      </c>
      <c r="E188" s="555" t="s">
        <v>652</v>
      </c>
      <c r="F188" s="553" t="s">
        <v>639</v>
      </c>
      <c r="G188" s="553" t="s">
        <v>654</v>
      </c>
      <c r="H188" s="553" t="s">
        <v>470</v>
      </c>
      <c r="I188" s="553" t="s">
        <v>945</v>
      </c>
      <c r="J188" s="553" t="s">
        <v>946</v>
      </c>
      <c r="K188" s="553" t="s">
        <v>947</v>
      </c>
      <c r="L188" s="556">
        <v>154.36000000000001</v>
      </c>
      <c r="M188" s="556">
        <v>154.36000000000001</v>
      </c>
      <c r="N188" s="553">
        <v>1</v>
      </c>
      <c r="O188" s="557">
        <v>1</v>
      </c>
      <c r="P188" s="556">
        <v>154.36000000000001</v>
      </c>
      <c r="Q188" s="558">
        <v>1</v>
      </c>
      <c r="R188" s="553">
        <v>1</v>
      </c>
      <c r="S188" s="558">
        <v>1</v>
      </c>
      <c r="T188" s="557">
        <v>1</v>
      </c>
      <c r="U188" s="559">
        <v>1</v>
      </c>
    </row>
    <row r="189" spans="1:21" ht="14.4" customHeight="1" x14ac:dyDescent="0.3">
      <c r="A189" s="552">
        <v>29</v>
      </c>
      <c r="B189" s="553" t="s">
        <v>469</v>
      </c>
      <c r="C189" s="553" t="s">
        <v>642</v>
      </c>
      <c r="D189" s="554" t="s">
        <v>1148</v>
      </c>
      <c r="E189" s="555" t="s">
        <v>652</v>
      </c>
      <c r="F189" s="553" t="s">
        <v>639</v>
      </c>
      <c r="G189" s="553" t="s">
        <v>654</v>
      </c>
      <c r="H189" s="553" t="s">
        <v>585</v>
      </c>
      <c r="I189" s="553" t="s">
        <v>655</v>
      </c>
      <c r="J189" s="553" t="s">
        <v>656</v>
      </c>
      <c r="K189" s="553" t="s">
        <v>657</v>
      </c>
      <c r="L189" s="556">
        <v>150.04</v>
      </c>
      <c r="M189" s="556">
        <v>450.12</v>
      </c>
      <c r="N189" s="553">
        <v>3</v>
      </c>
      <c r="O189" s="557">
        <v>2.5</v>
      </c>
      <c r="P189" s="556">
        <v>300.08</v>
      </c>
      <c r="Q189" s="558">
        <v>0.66666666666666663</v>
      </c>
      <c r="R189" s="553">
        <v>2</v>
      </c>
      <c r="S189" s="558">
        <v>0.66666666666666663</v>
      </c>
      <c r="T189" s="557">
        <v>1.5</v>
      </c>
      <c r="U189" s="559">
        <v>0.6</v>
      </c>
    </row>
    <row r="190" spans="1:21" ht="14.4" customHeight="1" x14ac:dyDescent="0.3">
      <c r="A190" s="552">
        <v>29</v>
      </c>
      <c r="B190" s="553" t="s">
        <v>469</v>
      </c>
      <c r="C190" s="553" t="s">
        <v>642</v>
      </c>
      <c r="D190" s="554" t="s">
        <v>1148</v>
      </c>
      <c r="E190" s="555" t="s">
        <v>652</v>
      </c>
      <c r="F190" s="553" t="s">
        <v>639</v>
      </c>
      <c r="G190" s="553" t="s">
        <v>654</v>
      </c>
      <c r="H190" s="553" t="s">
        <v>585</v>
      </c>
      <c r="I190" s="553" t="s">
        <v>655</v>
      </c>
      <c r="J190" s="553" t="s">
        <v>656</v>
      </c>
      <c r="K190" s="553" t="s">
        <v>657</v>
      </c>
      <c r="L190" s="556">
        <v>154.36000000000001</v>
      </c>
      <c r="M190" s="556">
        <v>1389.2400000000002</v>
      </c>
      <c r="N190" s="553">
        <v>9</v>
      </c>
      <c r="O190" s="557">
        <v>8</v>
      </c>
      <c r="P190" s="556">
        <v>771.80000000000007</v>
      </c>
      <c r="Q190" s="558">
        <v>0.55555555555555547</v>
      </c>
      <c r="R190" s="553">
        <v>5</v>
      </c>
      <c r="S190" s="558">
        <v>0.55555555555555558</v>
      </c>
      <c r="T190" s="557">
        <v>4.5</v>
      </c>
      <c r="U190" s="559">
        <v>0.5625</v>
      </c>
    </row>
    <row r="191" spans="1:21" ht="14.4" customHeight="1" x14ac:dyDescent="0.3">
      <c r="A191" s="552">
        <v>29</v>
      </c>
      <c r="B191" s="553" t="s">
        <v>469</v>
      </c>
      <c r="C191" s="553" t="s">
        <v>642</v>
      </c>
      <c r="D191" s="554" t="s">
        <v>1148</v>
      </c>
      <c r="E191" s="555" t="s">
        <v>652</v>
      </c>
      <c r="F191" s="553" t="s">
        <v>639</v>
      </c>
      <c r="G191" s="553" t="s">
        <v>654</v>
      </c>
      <c r="H191" s="553" t="s">
        <v>470</v>
      </c>
      <c r="I191" s="553" t="s">
        <v>1013</v>
      </c>
      <c r="J191" s="553" t="s">
        <v>1014</v>
      </c>
      <c r="K191" s="553" t="s">
        <v>1015</v>
      </c>
      <c r="L191" s="556">
        <v>107.86</v>
      </c>
      <c r="M191" s="556">
        <v>107.86</v>
      </c>
      <c r="N191" s="553">
        <v>1</v>
      </c>
      <c r="O191" s="557">
        <v>1</v>
      </c>
      <c r="P191" s="556"/>
      <c r="Q191" s="558">
        <v>0</v>
      </c>
      <c r="R191" s="553"/>
      <c r="S191" s="558">
        <v>0</v>
      </c>
      <c r="T191" s="557"/>
      <c r="U191" s="559">
        <v>0</v>
      </c>
    </row>
    <row r="192" spans="1:21" ht="14.4" customHeight="1" x14ac:dyDescent="0.3">
      <c r="A192" s="552">
        <v>29</v>
      </c>
      <c r="B192" s="553" t="s">
        <v>469</v>
      </c>
      <c r="C192" s="553" t="s">
        <v>642</v>
      </c>
      <c r="D192" s="554" t="s">
        <v>1148</v>
      </c>
      <c r="E192" s="555" t="s">
        <v>652</v>
      </c>
      <c r="F192" s="553" t="s">
        <v>639</v>
      </c>
      <c r="G192" s="553" t="s">
        <v>654</v>
      </c>
      <c r="H192" s="553" t="s">
        <v>585</v>
      </c>
      <c r="I192" s="553" t="s">
        <v>1016</v>
      </c>
      <c r="J192" s="553" t="s">
        <v>1017</v>
      </c>
      <c r="K192" s="553" t="s">
        <v>1015</v>
      </c>
      <c r="L192" s="556">
        <v>149.52000000000001</v>
      </c>
      <c r="M192" s="556">
        <v>448.56000000000006</v>
      </c>
      <c r="N192" s="553">
        <v>3</v>
      </c>
      <c r="O192" s="557">
        <v>2.5</v>
      </c>
      <c r="P192" s="556">
        <v>299.04000000000002</v>
      </c>
      <c r="Q192" s="558">
        <v>0.66666666666666663</v>
      </c>
      <c r="R192" s="553">
        <v>2</v>
      </c>
      <c r="S192" s="558">
        <v>0.66666666666666663</v>
      </c>
      <c r="T192" s="557">
        <v>1.5</v>
      </c>
      <c r="U192" s="559">
        <v>0.6</v>
      </c>
    </row>
    <row r="193" spans="1:21" ht="14.4" customHeight="1" x14ac:dyDescent="0.3">
      <c r="A193" s="552">
        <v>29</v>
      </c>
      <c r="B193" s="553" t="s">
        <v>469</v>
      </c>
      <c r="C193" s="553" t="s">
        <v>642</v>
      </c>
      <c r="D193" s="554" t="s">
        <v>1148</v>
      </c>
      <c r="E193" s="555" t="s">
        <v>652</v>
      </c>
      <c r="F193" s="553" t="s">
        <v>639</v>
      </c>
      <c r="G193" s="553" t="s">
        <v>658</v>
      </c>
      <c r="H193" s="553" t="s">
        <v>470</v>
      </c>
      <c r="I193" s="553" t="s">
        <v>659</v>
      </c>
      <c r="J193" s="553" t="s">
        <v>660</v>
      </c>
      <c r="K193" s="553" t="s">
        <v>661</v>
      </c>
      <c r="L193" s="556">
        <v>0</v>
      </c>
      <c r="M193" s="556">
        <v>0</v>
      </c>
      <c r="N193" s="553">
        <v>5</v>
      </c>
      <c r="O193" s="557">
        <v>5</v>
      </c>
      <c r="P193" s="556">
        <v>0</v>
      </c>
      <c r="Q193" s="558"/>
      <c r="R193" s="553">
        <v>5</v>
      </c>
      <c r="S193" s="558">
        <v>1</v>
      </c>
      <c r="T193" s="557">
        <v>5</v>
      </c>
      <c r="U193" s="559">
        <v>1</v>
      </c>
    </row>
    <row r="194" spans="1:21" ht="14.4" customHeight="1" x14ac:dyDescent="0.3">
      <c r="A194" s="552">
        <v>29</v>
      </c>
      <c r="B194" s="553" t="s">
        <v>469</v>
      </c>
      <c r="C194" s="553" t="s">
        <v>642</v>
      </c>
      <c r="D194" s="554" t="s">
        <v>1148</v>
      </c>
      <c r="E194" s="555" t="s">
        <v>652</v>
      </c>
      <c r="F194" s="553" t="s">
        <v>639</v>
      </c>
      <c r="G194" s="553" t="s">
        <v>817</v>
      </c>
      <c r="H194" s="553" t="s">
        <v>470</v>
      </c>
      <c r="I194" s="553" t="s">
        <v>818</v>
      </c>
      <c r="J194" s="553" t="s">
        <v>819</v>
      </c>
      <c r="K194" s="553" t="s">
        <v>820</v>
      </c>
      <c r="L194" s="556">
        <v>170.52</v>
      </c>
      <c r="M194" s="556">
        <v>170.52</v>
      </c>
      <c r="N194" s="553">
        <v>1</v>
      </c>
      <c r="O194" s="557">
        <v>1</v>
      </c>
      <c r="P194" s="556"/>
      <c r="Q194" s="558">
        <v>0</v>
      </c>
      <c r="R194" s="553"/>
      <c r="S194" s="558">
        <v>0</v>
      </c>
      <c r="T194" s="557"/>
      <c r="U194" s="559">
        <v>0</v>
      </c>
    </row>
    <row r="195" spans="1:21" ht="14.4" customHeight="1" x14ac:dyDescent="0.3">
      <c r="A195" s="552">
        <v>29</v>
      </c>
      <c r="B195" s="553" t="s">
        <v>469</v>
      </c>
      <c r="C195" s="553" t="s">
        <v>642</v>
      </c>
      <c r="D195" s="554" t="s">
        <v>1148</v>
      </c>
      <c r="E195" s="555" t="s">
        <v>652</v>
      </c>
      <c r="F195" s="553" t="s">
        <v>639</v>
      </c>
      <c r="G195" s="553" t="s">
        <v>879</v>
      </c>
      <c r="H195" s="553" t="s">
        <v>470</v>
      </c>
      <c r="I195" s="553" t="s">
        <v>880</v>
      </c>
      <c r="J195" s="553" t="s">
        <v>881</v>
      </c>
      <c r="K195" s="553" t="s">
        <v>820</v>
      </c>
      <c r="L195" s="556">
        <v>66.819999999999993</v>
      </c>
      <c r="M195" s="556">
        <v>267.27999999999997</v>
      </c>
      <c r="N195" s="553">
        <v>4</v>
      </c>
      <c r="O195" s="557">
        <v>1.5</v>
      </c>
      <c r="P195" s="556">
        <v>133.63999999999999</v>
      </c>
      <c r="Q195" s="558">
        <v>0.5</v>
      </c>
      <c r="R195" s="553">
        <v>2</v>
      </c>
      <c r="S195" s="558">
        <v>0.5</v>
      </c>
      <c r="T195" s="557">
        <v>1</v>
      </c>
      <c r="U195" s="559">
        <v>0.66666666666666663</v>
      </c>
    </row>
    <row r="196" spans="1:21" ht="14.4" customHeight="1" x14ac:dyDescent="0.3">
      <c r="A196" s="552">
        <v>29</v>
      </c>
      <c r="B196" s="553" t="s">
        <v>469</v>
      </c>
      <c r="C196" s="553" t="s">
        <v>642</v>
      </c>
      <c r="D196" s="554" t="s">
        <v>1148</v>
      </c>
      <c r="E196" s="555" t="s">
        <v>652</v>
      </c>
      <c r="F196" s="553" t="s">
        <v>639</v>
      </c>
      <c r="G196" s="553" t="s">
        <v>879</v>
      </c>
      <c r="H196" s="553" t="s">
        <v>470</v>
      </c>
      <c r="I196" s="553" t="s">
        <v>880</v>
      </c>
      <c r="J196" s="553" t="s">
        <v>881</v>
      </c>
      <c r="K196" s="553" t="s">
        <v>820</v>
      </c>
      <c r="L196" s="556">
        <v>78.33</v>
      </c>
      <c r="M196" s="556">
        <v>78.33</v>
      </c>
      <c r="N196" s="553">
        <v>1</v>
      </c>
      <c r="O196" s="557">
        <v>1</v>
      </c>
      <c r="P196" s="556">
        <v>78.33</v>
      </c>
      <c r="Q196" s="558">
        <v>1</v>
      </c>
      <c r="R196" s="553">
        <v>1</v>
      </c>
      <c r="S196" s="558">
        <v>1</v>
      </c>
      <c r="T196" s="557">
        <v>1</v>
      </c>
      <c r="U196" s="559">
        <v>1</v>
      </c>
    </row>
    <row r="197" spans="1:21" ht="14.4" customHeight="1" x14ac:dyDescent="0.3">
      <c r="A197" s="552">
        <v>29</v>
      </c>
      <c r="B197" s="553" t="s">
        <v>469</v>
      </c>
      <c r="C197" s="553" t="s">
        <v>642</v>
      </c>
      <c r="D197" s="554" t="s">
        <v>1148</v>
      </c>
      <c r="E197" s="555" t="s">
        <v>652</v>
      </c>
      <c r="F197" s="553" t="s">
        <v>639</v>
      </c>
      <c r="G197" s="553" t="s">
        <v>1018</v>
      </c>
      <c r="H197" s="553" t="s">
        <v>470</v>
      </c>
      <c r="I197" s="553" t="s">
        <v>1019</v>
      </c>
      <c r="J197" s="553" t="s">
        <v>1020</v>
      </c>
      <c r="K197" s="553" t="s">
        <v>1021</v>
      </c>
      <c r="L197" s="556">
        <v>48.42</v>
      </c>
      <c r="M197" s="556">
        <v>48.42</v>
      </c>
      <c r="N197" s="553">
        <v>1</v>
      </c>
      <c r="O197" s="557">
        <v>1</v>
      </c>
      <c r="P197" s="556"/>
      <c r="Q197" s="558">
        <v>0</v>
      </c>
      <c r="R197" s="553"/>
      <c r="S197" s="558">
        <v>0</v>
      </c>
      <c r="T197" s="557"/>
      <c r="U197" s="559">
        <v>0</v>
      </c>
    </row>
    <row r="198" spans="1:21" ht="14.4" customHeight="1" x14ac:dyDescent="0.3">
      <c r="A198" s="552">
        <v>29</v>
      </c>
      <c r="B198" s="553" t="s">
        <v>469</v>
      </c>
      <c r="C198" s="553" t="s">
        <v>642</v>
      </c>
      <c r="D198" s="554" t="s">
        <v>1148</v>
      </c>
      <c r="E198" s="555" t="s">
        <v>652</v>
      </c>
      <c r="F198" s="553" t="s">
        <v>639</v>
      </c>
      <c r="G198" s="553" t="s">
        <v>821</v>
      </c>
      <c r="H198" s="553" t="s">
        <v>470</v>
      </c>
      <c r="I198" s="553" t="s">
        <v>822</v>
      </c>
      <c r="J198" s="553" t="s">
        <v>823</v>
      </c>
      <c r="K198" s="553" t="s">
        <v>824</v>
      </c>
      <c r="L198" s="556">
        <v>110.28</v>
      </c>
      <c r="M198" s="556">
        <v>330.84000000000003</v>
      </c>
      <c r="N198" s="553">
        <v>3</v>
      </c>
      <c r="O198" s="557">
        <v>3</v>
      </c>
      <c r="P198" s="556">
        <v>110.28</v>
      </c>
      <c r="Q198" s="558">
        <v>0.33333333333333331</v>
      </c>
      <c r="R198" s="553">
        <v>1</v>
      </c>
      <c r="S198" s="558">
        <v>0.33333333333333331</v>
      </c>
      <c r="T198" s="557">
        <v>1</v>
      </c>
      <c r="U198" s="559">
        <v>0.33333333333333331</v>
      </c>
    </row>
    <row r="199" spans="1:21" ht="14.4" customHeight="1" x14ac:dyDescent="0.3">
      <c r="A199" s="552">
        <v>29</v>
      </c>
      <c r="B199" s="553" t="s">
        <v>469</v>
      </c>
      <c r="C199" s="553" t="s">
        <v>642</v>
      </c>
      <c r="D199" s="554" t="s">
        <v>1148</v>
      </c>
      <c r="E199" s="555" t="s">
        <v>652</v>
      </c>
      <c r="F199" s="553" t="s">
        <v>639</v>
      </c>
      <c r="G199" s="553" t="s">
        <v>821</v>
      </c>
      <c r="H199" s="553" t="s">
        <v>470</v>
      </c>
      <c r="I199" s="553" t="s">
        <v>1022</v>
      </c>
      <c r="J199" s="553" t="s">
        <v>823</v>
      </c>
      <c r="K199" s="553" t="s">
        <v>824</v>
      </c>
      <c r="L199" s="556">
        <v>110.28</v>
      </c>
      <c r="M199" s="556">
        <v>110.28</v>
      </c>
      <c r="N199" s="553">
        <v>1</v>
      </c>
      <c r="O199" s="557">
        <v>0.5</v>
      </c>
      <c r="P199" s="556"/>
      <c r="Q199" s="558">
        <v>0</v>
      </c>
      <c r="R199" s="553"/>
      <c r="S199" s="558">
        <v>0</v>
      </c>
      <c r="T199" s="557"/>
      <c r="U199" s="559">
        <v>0</v>
      </c>
    </row>
    <row r="200" spans="1:21" ht="14.4" customHeight="1" x14ac:dyDescent="0.3">
      <c r="A200" s="552">
        <v>29</v>
      </c>
      <c r="B200" s="553" t="s">
        <v>469</v>
      </c>
      <c r="C200" s="553" t="s">
        <v>642</v>
      </c>
      <c r="D200" s="554" t="s">
        <v>1148</v>
      </c>
      <c r="E200" s="555" t="s">
        <v>652</v>
      </c>
      <c r="F200" s="553" t="s">
        <v>639</v>
      </c>
      <c r="G200" s="553" t="s">
        <v>821</v>
      </c>
      <c r="H200" s="553" t="s">
        <v>470</v>
      </c>
      <c r="I200" s="553" t="s">
        <v>1023</v>
      </c>
      <c r="J200" s="553" t="s">
        <v>823</v>
      </c>
      <c r="K200" s="553" t="s">
        <v>824</v>
      </c>
      <c r="L200" s="556">
        <v>110.28</v>
      </c>
      <c r="M200" s="556">
        <v>110.28</v>
      </c>
      <c r="N200" s="553">
        <v>1</v>
      </c>
      <c r="O200" s="557">
        <v>1</v>
      </c>
      <c r="P200" s="556">
        <v>110.28</v>
      </c>
      <c r="Q200" s="558">
        <v>1</v>
      </c>
      <c r="R200" s="553">
        <v>1</v>
      </c>
      <c r="S200" s="558">
        <v>1</v>
      </c>
      <c r="T200" s="557">
        <v>1</v>
      </c>
      <c r="U200" s="559">
        <v>1</v>
      </c>
    </row>
    <row r="201" spans="1:21" ht="14.4" customHeight="1" x14ac:dyDescent="0.3">
      <c r="A201" s="552">
        <v>29</v>
      </c>
      <c r="B201" s="553" t="s">
        <v>469</v>
      </c>
      <c r="C201" s="553" t="s">
        <v>642</v>
      </c>
      <c r="D201" s="554" t="s">
        <v>1148</v>
      </c>
      <c r="E201" s="555" t="s">
        <v>652</v>
      </c>
      <c r="F201" s="553" t="s">
        <v>639</v>
      </c>
      <c r="G201" s="553" t="s">
        <v>1024</v>
      </c>
      <c r="H201" s="553" t="s">
        <v>470</v>
      </c>
      <c r="I201" s="553" t="s">
        <v>1025</v>
      </c>
      <c r="J201" s="553" t="s">
        <v>1026</v>
      </c>
      <c r="K201" s="553" t="s">
        <v>1027</v>
      </c>
      <c r="L201" s="556">
        <v>0</v>
      </c>
      <c r="M201" s="556">
        <v>0</v>
      </c>
      <c r="N201" s="553">
        <v>2</v>
      </c>
      <c r="O201" s="557">
        <v>1.5</v>
      </c>
      <c r="P201" s="556">
        <v>0</v>
      </c>
      <c r="Q201" s="558"/>
      <c r="R201" s="553">
        <v>1</v>
      </c>
      <c r="S201" s="558">
        <v>0.5</v>
      </c>
      <c r="T201" s="557">
        <v>1</v>
      </c>
      <c r="U201" s="559">
        <v>0.66666666666666663</v>
      </c>
    </row>
    <row r="202" spans="1:21" ht="14.4" customHeight="1" x14ac:dyDescent="0.3">
      <c r="A202" s="552">
        <v>29</v>
      </c>
      <c r="B202" s="553" t="s">
        <v>469</v>
      </c>
      <c r="C202" s="553" t="s">
        <v>642</v>
      </c>
      <c r="D202" s="554" t="s">
        <v>1148</v>
      </c>
      <c r="E202" s="555" t="s">
        <v>652</v>
      </c>
      <c r="F202" s="553" t="s">
        <v>639</v>
      </c>
      <c r="G202" s="553" t="s">
        <v>1028</v>
      </c>
      <c r="H202" s="553" t="s">
        <v>470</v>
      </c>
      <c r="I202" s="553" t="s">
        <v>1029</v>
      </c>
      <c r="J202" s="553" t="s">
        <v>1030</v>
      </c>
      <c r="K202" s="553" t="s">
        <v>1031</v>
      </c>
      <c r="L202" s="556">
        <v>0</v>
      </c>
      <c r="M202" s="556">
        <v>0</v>
      </c>
      <c r="N202" s="553">
        <v>1</v>
      </c>
      <c r="O202" s="557">
        <v>0.5</v>
      </c>
      <c r="P202" s="556"/>
      <c r="Q202" s="558"/>
      <c r="R202" s="553"/>
      <c r="S202" s="558">
        <v>0</v>
      </c>
      <c r="T202" s="557"/>
      <c r="U202" s="559">
        <v>0</v>
      </c>
    </row>
    <row r="203" spans="1:21" ht="14.4" customHeight="1" x14ac:dyDescent="0.3">
      <c r="A203" s="552">
        <v>29</v>
      </c>
      <c r="B203" s="553" t="s">
        <v>469</v>
      </c>
      <c r="C203" s="553" t="s">
        <v>642</v>
      </c>
      <c r="D203" s="554" t="s">
        <v>1148</v>
      </c>
      <c r="E203" s="555" t="s">
        <v>652</v>
      </c>
      <c r="F203" s="553" t="s">
        <v>639</v>
      </c>
      <c r="G203" s="553" t="s">
        <v>669</v>
      </c>
      <c r="H203" s="553" t="s">
        <v>470</v>
      </c>
      <c r="I203" s="553" t="s">
        <v>570</v>
      </c>
      <c r="J203" s="553" t="s">
        <v>571</v>
      </c>
      <c r="K203" s="553" t="s">
        <v>670</v>
      </c>
      <c r="L203" s="556">
        <v>48.09</v>
      </c>
      <c r="M203" s="556">
        <v>240.45000000000002</v>
      </c>
      <c r="N203" s="553">
        <v>5</v>
      </c>
      <c r="O203" s="557">
        <v>5</v>
      </c>
      <c r="P203" s="556">
        <v>48.09</v>
      </c>
      <c r="Q203" s="558">
        <v>0.2</v>
      </c>
      <c r="R203" s="553">
        <v>1</v>
      </c>
      <c r="S203" s="558">
        <v>0.2</v>
      </c>
      <c r="T203" s="557">
        <v>1</v>
      </c>
      <c r="U203" s="559">
        <v>0.2</v>
      </c>
    </row>
    <row r="204" spans="1:21" ht="14.4" customHeight="1" x14ac:dyDescent="0.3">
      <c r="A204" s="552">
        <v>29</v>
      </c>
      <c r="B204" s="553" t="s">
        <v>469</v>
      </c>
      <c r="C204" s="553" t="s">
        <v>642</v>
      </c>
      <c r="D204" s="554" t="s">
        <v>1148</v>
      </c>
      <c r="E204" s="555" t="s">
        <v>652</v>
      </c>
      <c r="F204" s="553" t="s">
        <v>639</v>
      </c>
      <c r="G204" s="553" t="s">
        <v>829</v>
      </c>
      <c r="H204" s="553" t="s">
        <v>470</v>
      </c>
      <c r="I204" s="553" t="s">
        <v>890</v>
      </c>
      <c r="J204" s="553" t="s">
        <v>831</v>
      </c>
      <c r="K204" s="553" t="s">
        <v>891</v>
      </c>
      <c r="L204" s="556">
        <v>0</v>
      </c>
      <c r="M204" s="556">
        <v>0</v>
      </c>
      <c r="N204" s="553">
        <v>1</v>
      </c>
      <c r="O204" s="557">
        <v>0.5</v>
      </c>
      <c r="P204" s="556"/>
      <c r="Q204" s="558"/>
      <c r="R204" s="553"/>
      <c r="S204" s="558">
        <v>0</v>
      </c>
      <c r="T204" s="557"/>
      <c r="U204" s="559">
        <v>0</v>
      </c>
    </row>
    <row r="205" spans="1:21" ht="14.4" customHeight="1" x14ac:dyDescent="0.3">
      <c r="A205" s="552">
        <v>29</v>
      </c>
      <c r="B205" s="553" t="s">
        <v>469</v>
      </c>
      <c r="C205" s="553" t="s">
        <v>642</v>
      </c>
      <c r="D205" s="554" t="s">
        <v>1148</v>
      </c>
      <c r="E205" s="555" t="s">
        <v>652</v>
      </c>
      <c r="F205" s="553" t="s">
        <v>639</v>
      </c>
      <c r="G205" s="553" t="s">
        <v>829</v>
      </c>
      <c r="H205" s="553" t="s">
        <v>470</v>
      </c>
      <c r="I205" s="553" t="s">
        <v>830</v>
      </c>
      <c r="J205" s="553" t="s">
        <v>831</v>
      </c>
      <c r="K205" s="553" t="s">
        <v>832</v>
      </c>
      <c r="L205" s="556">
        <v>0</v>
      </c>
      <c r="M205" s="556">
        <v>0</v>
      </c>
      <c r="N205" s="553">
        <v>1</v>
      </c>
      <c r="O205" s="557">
        <v>0.5</v>
      </c>
      <c r="P205" s="556"/>
      <c r="Q205" s="558"/>
      <c r="R205" s="553"/>
      <c r="S205" s="558">
        <v>0</v>
      </c>
      <c r="T205" s="557"/>
      <c r="U205" s="559">
        <v>0</v>
      </c>
    </row>
    <row r="206" spans="1:21" ht="14.4" customHeight="1" x14ac:dyDescent="0.3">
      <c r="A206" s="552">
        <v>29</v>
      </c>
      <c r="B206" s="553" t="s">
        <v>469</v>
      </c>
      <c r="C206" s="553" t="s">
        <v>642</v>
      </c>
      <c r="D206" s="554" t="s">
        <v>1148</v>
      </c>
      <c r="E206" s="555" t="s">
        <v>652</v>
      </c>
      <c r="F206" s="553" t="s">
        <v>639</v>
      </c>
      <c r="G206" s="553" t="s">
        <v>675</v>
      </c>
      <c r="H206" s="553" t="s">
        <v>470</v>
      </c>
      <c r="I206" s="553" t="s">
        <v>519</v>
      </c>
      <c r="J206" s="553" t="s">
        <v>516</v>
      </c>
      <c r="K206" s="553" t="s">
        <v>678</v>
      </c>
      <c r="L206" s="556">
        <v>105.7</v>
      </c>
      <c r="M206" s="556">
        <v>105.7</v>
      </c>
      <c r="N206" s="553">
        <v>1</v>
      </c>
      <c r="O206" s="557">
        <v>1</v>
      </c>
      <c r="P206" s="556">
        <v>105.7</v>
      </c>
      <c r="Q206" s="558">
        <v>1</v>
      </c>
      <c r="R206" s="553">
        <v>1</v>
      </c>
      <c r="S206" s="558">
        <v>1</v>
      </c>
      <c r="T206" s="557">
        <v>1</v>
      </c>
      <c r="U206" s="559">
        <v>1</v>
      </c>
    </row>
    <row r="207" spans="1:21" ht="14.4" customHeight="1" x14ac:dyDescent="0.3">
      <c r="A207" s="552">
        <v>29</v>
      </c>
      <c r="B207" s="553" t="s">
        <v>469</v>
      </c>
      <c r="C207" s="553" t="s">
        <v>642</v>
      </c>
      <c r="D207" s="554" t="s">
        <v>1148</v>
      </c>
      <c r="E207" s="555" t="s">
        <v>652</v>
      </c>
      <c r="F207" s="553" t="s">
        <v>639</v>
      </c>
      <c r="G207" s="553" t="s">
        <v>675</v>
      </c>
      <c r="H207" s="553" t="s">
        <v>470</v>
      </c>
      <c r="I207" s="553" t="s">
        <v>515</v>
      </c>
      <c r="J207" s="553" t="s">
        <v>516</v>
      </c>
      <c r="K207" s="553" t="s">
        <v>517</v>
      </c>
      <c r="L207" s="556">
        <v>210.22</v>
      </c>
      <c r="M207" s="556">
        <v>420.44</v>
      </c>
      <c r="N207" s="553">
        <v>2</v>
      </c>
      <c r="O207" s="557">
        <v>2</v>
      </c>
      <c r="P207" s="556">
        <v>420.44</v>
      </c>
      <c r="Q207" s="558">
        <v>1</v>
      </c>
      <c r="R207" s="553">
        <v>2</v>
      </c>
      <c r="S207" s="558">
        <v>1</v>
      </c>
      <c r="T207" s="557">
        <v>2</v>
      </c>
      <c r="U207" s="559">
        <v>1</v>
      </c>
    </row>
    <row r="208" spans="1:21" ht="14.4" customHeight="1" x14ac:dyDescent="0.3">
      <c r="A208" s="552">
        <v>29</v>
      </c>
      <c r="B208" s="553" t="s">
        <v>469</v>
      </c>
      <c r="C208" s="553" t="s">
        <v>642</v>
      </c>
      <c r="D208" s="554" t="s">
        <v>1148</v>
      </c>
      <c r="E208" s="555" t="s">
        <v>652</v>
      </c>
      <c r="F208" s="553" t="s">
        <v>639</v>
      </c>
      <c r="G208" s="553" t="s">
        <v>675</v>
      </c>
      <c r="H208" s="553" t="s">
        <v>470</v>
      </c>
      <c r="I208" s="553" t="s">
        <v>973</v>
      </c>
      <c r="J208" s="553" t="s">
        <v>516</v>
      </c>
      <c r="K208" s="553" t="s">
        <v>517</v>
      </c>
      <c r="L208" s="556">
        <v>0</v>
      </c>
      <c r="M208" s="556">
        <v>0</v>
      </c>
      <c r="N208" s="553">
        <v>1</v>
      </c>
      <c r="O208" s="557">
        <v>1</v>
      </c>
      <c r="P208" s="556">
        <v>0</v>
      </c>
      <c r="Q208" s="558"/>
      <c r="R208" s="553">
        <v>1</v>
      </c>
      <c r="S208" s="558">
        <v>1</v>
      </c>
      <c r="T208" s="557">
        <v>1</v>
      </c>
      <c r="U208" s="559">
        <v>1</v>
      </c>
    </row>
    <row r="209" spans="1:21" ht="14.4" customHeight="1" x14ac:dyDescent="0.3">
      <c r="A209" s="552">
        <v>29</v>
      </c>
      <c r="B209" s="553" t="s">
        <v>469</v>
      </c>
      <c r="C209" s="553" t="s">
        <v>642</v>
      </c>
      <c r="D209" s="554" t="s">
        <v>1148</v>
      </c>
      <c r="E209" s="555" t="s">
        <v>652</v>
      </c>
      <c r="F209" s="553" t="s">
        <v>639</v>
      </c>
      <c r="G209" s="553" t="s">
        <v>675</v>
      </c>
      <c r="H209" s="553" t="s">
        <v>470</v>
      </c>
      <c r="I209" s="553" t="s">
        <v>1032</v>
      </c>
      <c r="J209" s="553" t="s">
        <v>1033</v>
      </c>
      <c r="K209" s="553" t="s">
        <v>1034</v>
      </c>
      <c r="L209" s="556">
        <v>0</v>
      </c>
      <c r="M209" s="556">
        <v>0</v>
      </c>
      <c r="N209" s="553">
        <v>1</v>
      </c>
      <c r="O209" s="557">
        <v>1</v>
      </c>
      <c r="P209" s="556"/>
      <c r="Q209" s="558"/>
      <c r="R209" s="553"/>
      <c r="S209" s="558">
        <v>0</v>
      </c>
      <c r="T209" s="557"/>
      <c r="U209" s="559">
        <v>0</v>
      </c>
    </row>
    <row r="210" spans="1:21" ht="14.4" customHeight="1" x14ac:dyDescent="0.3">
      <c r="A210" s="552">
        <v>29</v>
      </c>
      <c r="B210" s="553" t="s">
        <v>469</v>
      </c>
      <c r="C210" s="553" t="s">
        <v>642</v>
      </c>
      <c r="D210" s="554" t="s">
        <v>1148</v>
      </c>
      <c r="E210" s="555" t="s">
        <v>652</v>
      </c>
      <c r="F210" s="553" t="s">
        <v>639</v>
      </c>
      <c r="G210" s="553" t="s">
        <v>675</v>
      </c>
      <c r="H210" s="553" t="s">
        <v>470</v>
      </c>
      <c r="I210" s="553" t="s">
        <v>1035</v>
      </c>
      <c r="J210" s="553" t="s">
        <v>1033</v>
      </c>
      <c r="K210" s="553" t="s">
        <v>1036</v>
      </c>
      <c r="L210" s="556">
        <v>0</v>
      </c>
      <c r="M210" s="556">
        <v>0</v>
      </c>
      <c r="N210" s="553">
        <v>2</v>
      </c>
      <c r="O210" s="557">
        <v>2</v>
      </c>
      <c r="P210" s="556">
        <v>0</v>
      </c>
      <c r="Q210" s="558"/>
      <c r="R210" s="553">
        <v>1</v>
      </c>
      <c r="S210" s="558">
        <v>0.5</v>
      </c>
      <c r="T210" s="557">
        <v>1</v>
      </c>
      <c r="U210" s="559">
        <v>0.5</v>
      </c>
    </row>
    <row r="211" spans="1:21" ht="14.4" customHeight="1" x14ac:dyDescent="0.3">
      <c r="A211" s="552">
        <v>29</v>
      </c>
      <c r="B211" s="553" t="s">
        <v>469</v>
      </c>
      <c r="C211" s="553" t="s">
        <v>642</v>
      </c>
      <c r="D211" s="554" t="s">
        <v>1148</v>
      </c>
      <c r="E211" s="555" t="s">
        <v>652</v>
      </c>
      <c r="F211" s="553" t="s">
        <v>639</v>
      </c>
      <c r="G211" s="553" t="s">
        <v>675</v>
      </c>
      <c r="H211" s="553" t="s">
        <v>470</v>
      </c>
      <c r="I211" s="553" t="s">
        <v>1037</v>
      </c>
      <c r="J211" s="553" t="s">
        <v>1033</v>
      </c>
      <c r="K211" s="553" t="s">
        <v>1038</v>
      </c>
      <c r="L211" s="556">
        <v>0</v>
      </c>
      <c r="M211" s="556">
        <v>0</v>
      </c>
      <c r="N211" s="553">
        <v>2</v>
      </c>
      <c r="O211" s="557">
        <v>2</v>
      </c>
      <c r="P211" s="556">
        <v>0</v>
      </c>
      <c r="Q211" s="558"/>
      <c r="R211" s="553">
        <v>1</v>
      </c>
      <c r="S211" s="558">
        <v>0.5</v>
      </c>
      <c r="T211" s="557">
        <v>1</v>
      </c>
      <c r="U211" s="559">
        <v>0.5</v>
      </c>
    </row>
    <row r="212" spans="1:21" ht="14.4" customHeight="1" x14ac:dyDescent="0.3">
      <c r="A212" s="552">
        <v>29</v>
      </c>
      <c r="B212" s="553" t="s">
        <v>469</v>
      </c>
      <c r="C212" s="553" t="s">
        <v>642</v>
      </c>
      <c r="D212" s="554" t="s">
        <v>1148</v>
      </c>
      <c r="E212" s="555" t="s">
        <v>652</v>
      </c>
      <c r="F212" s="553" t="s">
        <v>639</v>
      </c>
      <c r="G212" s="553" t="s">
        <v>679</v>
      </c>
      <c r="H212" s="553" t="s">
        <v>470</v>
      </c>
      <c r="I212" s="553" t="s">
        <v>680</v>
      </c>
      <c r="J212" s="553" t="s">
        <v>681</v>
      </c>
      <c r="K212" s="553" t="s">
        <v>682</v>
      </c>
      <c r="L212" s="556">
        <v>147.31</v>
      </c>
      <c r="M212" s="556">
        <v>441.93</v>
      </c>
      <c r="N212" s="553">
        <v>3</v>
      </c>
      <c r="O212" s="557">
        <v>1</v>
      </c>
      <c r="P212" s="556">
        <v>441.93</v>
      </c>
      <c r="Q212" s="558">
        <v>1</v>
      </c>
      <c r="R212" s="553">
        <v>3</v>
      </c>
      <c r="S212" s="558">
        <v>1</v>
      </c>
      <c r="T212" s="557">
        <v>1</v>
      </c>
      <c r="U212" s="559">
        <v>1</v>
      </c>
    </row>
    <row r="213" spans="1:21" ht="14.4" customHeight="1" x14ac:dyDescent="0.3">
      <c r="A213" s="552">
        <v>29</v>
      </c>
      <c r="B213" s="553" t="s">
        <v>469</v>
      </c>
      <c r="C213" s="553" t="s">
        <v>642</v>
      </c>
      <c r="D213" s="554" t="s">
        <v>1148</v>
      </c>
      <c r="E213" s="555" t="s">
        <v>652</v>
      </c>
      <c r="F213" s="553" t="s">
        <v>639</v>
      </c>
      <c r="G213" s="553" t="s">
        <v>683</v>
      </c>
      <c r="H213" s="553" t="s">
        <v>470</v>
      </c>
      <c r="I213" s="553" t="s">
        <v>574</v>
      </c>
      <c r="J213" s="553" t="s">
        <v>575</v>
      </c>
      <c r="K213" s="553" t="s">
        <v>684</v>
      </c>
      <c r="L213" s="556">
        <v>36.97</v>
      </c>
      <c r="M213" s="556">
        <v>480.61000000000013</v>
      </c>
      <c r="N213" s="553">
        <v>13</v>
      </c>
      <c r="O213" s="557">
        <v>11.5</v>
      </c>
      <c r="P213" s="556">
        <v>443.6400000000001</v>
      </c>
      <c r="Q213" s="558">
        <v>0.92307692307692302</v>
      </c>
      <c r="R213" s="553">
        <v>12</v>
      </c>
      <c r="S213" s="558">
        <v>0.92307692307692313</v>
      </c>
      <c r="T213" s="557">
        <v>10.5</v>
      </c>
      <c r="U213" s="559">
        <v>0.91304347826086951</v>
      </c>
    </row>
    <row r="214" spans="1:21" ht="14.4" customHeight="1" x14ac:dyDescent="0.3">
      <c r="A214" s="552">
        <v>29</v>
      </c>
      <c r="B214" s="553" t="s">
        <v>469</v>
      </c>
      <c r="C214" s="553" t="s">
        <v>642</v>
      </c>
      <c r="D214" s="554" t="s">
        <v>1148</v>
      </c>
      <c r="E214" s="555" t="s">
        <v>652</v>
      </c>
      <c r="F214" s="553" t="s">
        <v>639</v>
      </c>
      <c r="G214" s="553" t="s">
        <v>689</v>
      </c>
      <c r="H214" s="553" t="s">
        <v>470</v>
      </c>
      <c r="I214" s="553" t="s">
        <v>578</v>
      </c>
      <c r="J214" s="553" t="s">
        <v>579</v>
      </c>
      <c r="K214" s="553" t="s">
        <v>580</v>
      </c>
      <c r="L214" s="556">
        <v>115.13</v>
      </c>
      <c r="M214" s="556">
        <v>921.04</v>
      </c>
      <c r="N214" s="553">
        <v>8</v>
      </c>
      <c r="O214" s="557">
        <v>7</v>
      </c>
      <c r="P214" s="556">
        <v>460.52</v>
      </c>
      <c r="Q214" s="558">
        <v>0.5</v>
      </c>
      <c r="R214" s="553">
        <v>4</v>
      </c>
      <c r="S214" s="558">
        <v>0.5</v>
      </c>
      <c r="T214" s="557">
        <v>4</v>
      </c>
      <c r="U214" s="559">
        <v>0.5714285714285714</v>
      </c>
    </row>
    <row r="215" spans="1:21" ht="14.4" customHeight="1" x14ac:dyDescent="0.3">
      <c r="A215" s="552">
        <v>29</v>
      </c>
      <c r="B215" s="553" t="s">
        <v>469</v>
      </c>
      <c r="C215" s="553" t="s">
        <v>642</v>
      </c>
      <c r="D215" s="554" t="s">
        <v>1148</v>
      </c>
      <c r="E215" s="555" t="s">
        <v>652</v>
      </c>
      <c r="F215" s="553" t="s">
        <v>639</v>
      </c>
      <c r="G215" s="553" t="s">
        <v>690</v>
      </c>
      <c r="H215" s="553" t="s">
        <v>585</v>
      </c>
      <c r="I215" s="553" t="s">
        <v>1039</v>
      </c>
      <c r="J215" s="553" t="s">
        <v>692</v>
      </c>
      <c r="K215" s="553" t="s">
        <v>1040</v>
      </c>
      <c r="L215" s="556">
        <v>0</v>
      </c>
      <c r="M215" s="556">
        <v>0</v>
      </c>
      <c r="N215" s="553">
        <v>3</v>
      </c>
      <c r="O215" s="557">
        <v>2.5</v>
      </c>
      <c r="P215" s="556">
        <v>0</v>
      </c>
      <c r="Q215" s="558"/>
      <c r="R215" s="553">
        <v>2</v>
      </c>
      <c r="S215" s="558">
        <v>0.66666666666666663</v>
      </c>
      <c r="T215" s="557">
        <v>2</v>
      </c>
      <c r="U215" s="559">
        <v>0.8</v>
      </c>
    </row>
    <row r="216" spans="1:21" ht="14.4" customHeight="1" x14ac:dyDescent="0.3">
      <c r="A216" s="552">
        <v>29</v>
      </c>
      <c r="B216" s="553" t="s">
        <v>469</v>
      </c>
      <c r="C216" s="553" t="s">
        <v>642</v>
      </c>
      <c r="D216" s="554" t="s">
        <v>1148</v>
      </c>
      <c r="E216" s="555" t="s">
        <v>652</v>
      </c>
      <c r="F216" s="553" t="s">
        <v>639</v>
      </c>
      <c r="G216" s="553" t="s">
        <v>690</v>
      </c>
      <c r="H216" s="553" t="s">
        <v>585</v>
      </c>
      <c r="I216" s="553" t="s">
        <v>1041</v>
      </c>
      <c r="J216" s="553" t="s">
        <v>692</v>
      </c>
      <c r="K216" s="553" t="s">
        <v>1042</v>
      </c>
      <c r="L216" s="556">
        <v>815.1</v>
      </c>
      <c r="M216" s="556">
        <v>815.1</v>
      </c>
      <c r="N216" s="553">
        <v>1</v>
      </c>
      <c r="O216" s="557">
        <v>1</v>
      </c>
      <c r="P216" s="556">
        <v>815.1</v>
      </c>
      <c r="Q216" s="558">
        <v>1</v>
      </c>
      <c r="R216" s="553">
        <v>1</v>
      </c>
      <c r="S216" s="558">
        <v>1</v>
      </c>
      <c r="T216" s="557">
        <v>1</v>
      </c>
      <c r="U216" s="559">
        <v>1</v>
      </c>
    </row>
    <row r="217" spans="1:21" ht="14.4" customHeight="1" x14ac:dyDescent="0.3">
      <c r="A217" s="552">
        <v>29</v>
      </c>
      <c r="B217" s="553" t="s">
        <v>469</v>
      </c>
      <c r="C217" s="553" t="s">
        <v>642</v>
      </c>
      <c r="D217" s="554" t="s">
        <v>1148</v>
      </c>
      <c r="E217" s="555" t="s">
        <v>652</v>
      </c>
      <c r="F217" s="553" t="s">
        <v>639</v>
      </c>
      <c r="G217" s="553" t="s">
        <v>690</v>
      </c>
      <c r="H217" s="553" t="s">
        <v>585</v>
      </c>
      <c r="I217" s="553" t="s">
        <v>1043</v>
      </c>
      <c r="J217" s="553" t="s">
        <v>692</v>
      </c>
      <c r="K217" s="553" t="s">
        <v>835</v>
      </c>
      <c r="L217" s="556">
        <v>923.74</v>
      </c>
      <c r="M217" s="556">
        <v>923.74</v>
      </c>
      <c r="N217" s="553">
        <v>1</v>
      </c>
      <c r="O217" s="557">
        <v>1</v>
      </c>
      <c r="P217" s="556">
        <v>923.74</v>
      </c>
      <c r="Q217" s="558">
        <v>1</v>
      </c>
      <c r="R217" s="553">
        <v>1</v>
      </c>
      <c r="S217" s="558">
        <v>1</v>
      </c>
      <c r="T217" s="557">
        <v>1</v>
      </c>
      <c r="U217" s="559">
        <v>1</v>
      </c>
    </row>
    <row r="218" spans="1:21" ht="14.4" customHeight="1" x14ac:dyDescent="0.3">
      <c r="A218" s="552">
        <v>29</v>
      </c>
      <c r="B218" s="553" t="s">
        <v>469</v>
      </c>
      <c r="C218" s="553" t="s">
        <v>642</v>
      </c>
      <c r="D218" s="554" t="s">
        <v>1148</v>
      </c>
      <c r="E218" s="555" t="s">
        <v>652</v>
      </c>
      <c r="F218" s="553" t="s">
        <v>639</v>
      </c>
      <c r="G218" s="553" t="s">
        <v>690</v>
      </c>
      <c r="H218" s="553" t="s">
        <v>585</v>
      </c>
      <c r="I218" s="553" t="s">
        <v>1044</v>
      </c>
      <c r="J218" s="553" t="s">
        <v>692</v>
      </c>
      <c r="K218" s="553" t="s">
        <v>1045</v>
      </c>
      <c r="L218" s="556">
        <v>1154.68</v>
      </c>
      <c r="M218" s="556">
        <v>1154.68</v>
      </c>
      <c r="N218" s="553">
        <v>1</v>
      </c>
      <c r="O218" s="557">
        <v>1</v>
      </c>
      <c r="P218" s="556">
        <v>1154.68</v>
      </c>
      <c r="Q218" s="558">
        <v>1</v>
      </c>
      <c r="R218" s="553">
        <v>1</v>
      </c>
      <c r="S218" s="558">
        <v>1</v>
      </c>
      <c r="T218" s="557">
        <v>1</v>
      </c>
      <c r="U218" s="559">
        <v>1</v>
      </c>
    </row>
    <row r="219" spans="1:21" ht="14.4" customHeight="1" x14ac:dyDescent="0.3">
      <c r="A219" s="552">
        <v>29</v>
      </c>
      <c r="B219" s="553" t="s">
        <v>469</v>
      </c>
      <c r="C219" s="553" t="s">
        <v>642</v>
      </c>
      <c r="D219" s="554" t="s">
        <v>1148</v>
      </c>
      <c r="E219" s="555" t="s">
        <v>652</v>
      </c>
      <c r="F219" s="553" t="s">
        <v>639</v>
      </c>
      <c r="G219" s="553" t="s">
        <v>1046</v>
      </c>
      <c r="H219" s="553" t="s">
        <v>585</v>
      </c>
      <c r="I219" s="553" t="s">
        <v>1047</v>
      </c>
      <c r="J219" s="553" t="s">
        <v>1048</v>
      </c>
      <c r="K219" s="553" t="s">
        <v>1049</v>
      </c>
      <c r="L219" s="556">
        <v>15.61</v>
      </c>
      <c r="M219" s="556">
        <v>15.61</v>
      </c>
      <c r="N219" s="553">
        <v>1</v>
      </c>
      <c r="O219" s="557">
        <v>1</v>
      </c>
      <c r="P219" s="556">
        <v>15.61</v>
      </c>
      <c r="Q219" s="558">
        <v>1</v>
      </c>
      <c r="R219" s="553">
        <v>1</v>
      </c>
      <c r="S219" s="558">
        <v>1</v>
      </c>
      <c r="T219" s="557">
        <v>1</v>
      </c>
      <c r="U219" s="559">
        <v>1</v>
      </c>
    </row>
    <row r="220" spans="1:21" ht="14.4" customHeight="1" x14ac:dyDescent="0.3">
      <c r="A220" s="552">
        <v>29</v>
      </c>
      <c r="B220" s="553" t="s">
        <v>469</v>
      </c>
      <c r="C220" s="553" t="s">
        <v>642</v>
      </c>
      <c r="D220" s="554" t="s">
        <v>1148</v>
      </c>
      <c r="E220" s="555" t="s">
        <v>652</v>
      </c>
      <c r="F220" s="553" t="s">
        <v>639</v>
      </c>
      <c r="G220" s="553" t="s">
        <v>719</v>
      </c>
      <c r="H220" s="553" t="s">
        <v>470</v>
      </c>
      <c r="I220" s="553" t="s">
        <v>620</v>
      </c>
      <c r="J220" s="553" t="s">
        <v>583</v>
      </c>
      <c r="K220" s="553" t="s">
        <v>720</v>
      </c>
      <c r="L220" s="556">
        <v>96.42</v>
      </c>
      <c r="M220" s="556">
        <v>964.2</v>
      </c>
      <c r="N220" s="553">
        <v>10</v>
      </c>
      <c r="O220" s="557">
        <v>7</v>
      </c>
      <c r="P220" s="556">
        <v>674.94</v>
      </c>
      <c r="Q220" s="558">
        <v>0.70000000000000007</v>
      </c>
      <c r="R220" s="553">
        <v>7</v>
      </c>
      <c r="S220" s="558">
        <v>0.7</v>
      </c>
      <c r="T220" s="557">
        <v>4</v>
      </c>
      <c r="U220" s="559">
        <v>0.5714285714285714</v>
      </c>
    </row>
    <row r="221" spans="1:21" ht="14.4" customHeight="1" x14ac:dyDescent="0.3">
      <c r="A221" s="552">
        <v>29</v>
      </c>
      <c r="B221" s="553" t="s">
        <v>469</v>
      </c>
      <c r="C221" s="553" t="s">
        <v>642</v>
      </c>
      <c r="D221" s="554" t="s">
        <v>1148</v>
      </c>
      <c r="E221" s="555" t="s">
        <v>652</v>
      </c>
      <c r="F221" s="553" t="s">
        <v>639</v>
      </c>
      <c r="G221" s="553" t="s">
        <v>719</v>
      </c>
      <c r="H221" s="553" t="s">
        <v>470</v>
      </c>
      <c r="I221" s="553" t="s">
        <v>1050</v>
      </c>
      <c r="J221" s="553" t="s">
        <v>583</v>
      </c>
      <c r="K221" s="553" t="s">
        <v>1051</v>
      </c>
      <c r="L221" s="556">
        <v>0</v>
      </c>
      <c r="M221" s="556">
        <v>0</v>
      </c>
      <c r="N221" s="553">
        <v>1</v>
      </c>
      <c r="O221" s="557">
        <v>1</v>
      </c>
      <c r="P221" s="556">
        <v>0</v>
      </c>
      <c r="Q221" s="558"/>
      <c r="R221" s="553">
        <v>1</v>
      </c>
      <c r="S221" s="558">
        <v>1</v>
      </c>
      <c r="T221" s="557">
        <v>1</v>
      </c>
      <c r="U221" s="559">
        <v>1</v>
      </c>
    </row>
    <row r="222" spans="1:21" ht="14.4" customHeight="1" x14ac:dyDescent="0.3">
      <c r="A222" s="552">
        <v>29</v>
      </c>
      <c r="B222" s="553" t="s">
        <v>469</v>
      </c>
      <c r="C222" s="553" t="s">
        <v>642</v>
      </c>
      <c r="D222" s="554" t="s">
        <v>1148</v>
      </c>
      <c r="E222" s="555" t="s">
        <v>652</v>
      </c>
      <c r="F222" s="553" t="s">
        <v>639</v>
      </c>
      <c r="G222" s="553" t="s">
        <v>719</v>
      </c>
      <c r="H222" s="553" t="s">
        <v>470</v>
      </c>
      <c r="I222" s="553" t="s">
        <v>582</v>
      </c>
      <c r="J222" s="553" t="s">
        <v>583</v>
      </c>
      <c r="K222" s="553" t="s">
        <v>721</v>
      </c>
      <c r="L222" s="556">
        <v>289.27</v>
      </c>
      <c r="M222" s="556">
        <v>2603.4299999999998</v>
      </c>
      <c r="N222" s="553">
        <v>9</v>
      </c>
      <c r="O222" s="557">
        <v>5.5</v>
      </c>
      <c r="P222" s="556">
        <v>1446.35</v>
      </c>
      <c r="Q222" s="558">
        <v>0.55555555555555558</v>
      </c>
      <c r="R222" s="553">
        <v>5</v>
      </c>
      <c r="S222" s="558">
        <v>0.55555555555555558</v>
      </c>
      <c r="T222" s="557">
        <v>2.5</v>
      </c>
      <c r="U222" s="559">
        <v>0.45454545454545453</v>
      </c>
    </row>
    <row r="223" spans="1:21" ht="14.4" customHeight="1" x14ac:dyDescent="0.3">
      <c r="A223" s="552">
        <v>29</v>
      </c>
      <c r="B223" s="553" t="s">
        <v>469</v>
      </c>
      <c r="C223" s="553" t="s">
        <v>642</v>
      </c>
      <c r="D223" s="554" t="s">
        <v>1148</v>
      </c>
      <c r="E223" s="555" t="s">
        <v>652</v>
      </c>
      <c r="F223" s="553" t="s">
        <v>639</v>
      </c>
      <c r="G223" s="553" t="s">
        <v>726</v>
      </c>
      <c r="H223" s="553" t="s">
        <v>470</v>
      </c>
      <c r="I223" s="553" t="s">
        <v>964</v>
      </c>
      <c r="J223" s="553" t="s">
        <v>728</v>
      </c>
      <c r="K223" s="553" t="s">
        <v>965</v>
      </c>
      <c r="L223" s="556">
        <v>25.07</v>
      </c>
      <c r="M223" s="556">
        <v>75.210000000000008</v>
      </c>
      <c r="N223" s="553">
        <v>3</v>
      </c>
      <c r="O223" s="557">
        <v>3</v>
      </c>
      <c r="P223" s="556">
        <v>50.14</v>
      </c>
      <c r="Q223" s="558">
        <v>0.66666666666666663</v>
      </c>
      <c r="R223" s="553">
        <v>2</v>
      </c>
      <c r="S223" s="558">
        <v>0.66666666666666663</v>
      </c>
      <c r="T223" s="557">
        <v>2</v>
      </c>
      <c r="U223" s="559">
        <v>0.66666666666666663</v>
      </c>
    </row>
    <row r="224" spans="1:21" ht="14.4" customHeight="1" x14ac:dyDescent="0.3">
      <c r="A224" s="552">
        <v>29</v>
      </c>
      <c r="B224" s="553" t="s">
        <v>469</v>
      </c>
      <c r="C224" s="553" t="s">
        <v>642</v>
      </c>
      <c r="D224" s="554" t="s">
        <v>1148</v>
      </c>
      <c r="E224" s="555" t="s">
        <v>652</v>
      </c>
      <c r="F224" s="553" t="s">
        <v>639</v>
      </c>
      <c r="G224" s="553" t="s">
        <v>726</v>
      </c>
      <c r="H224" s="553" t="s">
        <v>470</v>
      </c>
      <c r="I224" s="553" t="s">
        <v>727</v>
      </c>
      <c r="J224" s="553" t="s">
        <v>728</v>
      </c>
      <c r="K224" s="553" t="s">
        <v>729</v>
      </c>
      <c r="L224" s="556">
        <v>50.14</v>
      </c>
      <c r="M224" s="556">
        <v>150.42000000000002</v>
      </c>
      <c r="N224" s="553">
        <v>3</v>
      </c>
      <c r="O224" s="557">
        <v>2.5</v>
      </c>
      <c r="P224" s="556">
        <v>100.28</v>
      </c>
      <c r="Q224" s="558">
        <v>0.66666666666666663</v>
      </c>
      <c r="R224" s="553">
        <v>2</v>
      </c>
      <c r="S224" s="558">
        <v>0.66666666666666663</v>
      </c>
      <c r="T224" s="557">
        <v>1.5</v>
      </c>
      <c r="U224" s="559">
        <v>0.6</v>
      </c>
    </row>
    <row r="225" spans="1:21" ht="14.4" customHeight="1" x14ac:dyDescent="0.3">
      <c r="A225" s="552">
        <v>29</v>
      </c>
      <c r="B225" s="553" t="s">
        <v>469</v>
      </c>
      <c r="C225" s="553" t="s">
        <v>642</v>
      </c>
      <c r="D225" s="554" t="s">
        <v>1148</v>
      </c>
      <c r="E225" s="555" t="s">
        <v>652</v>
      </c>
      <c r="F225" s="553" t="s">
        <v>639</v>
      </c>
      <c r="G225" s="553" t="s">
        <v>726</v>
      </c>
      <c r="H225" s="553" t="s">
        <v>470</v>
      </c>
      <c r="I225" s="553" t="s">
        <v>730</v>
      </c>
      <c r="J225" s="553" t="s">
        <v>728</v>
      </c>
      <c r="K225" s="553" t="s">
        <v>731</v>
      </c>
      <c r="L225" s="556">
        <v>75.22</v>
      </c>
      <c r="M225" s="556">
        <v>75.22</v>
      </c>
      <c r="N225" s="553">
        <v>1</v>
      </c>
      <c r="O225" s="557">
        <v>1</v>
      </c>
      <c r="P225" s="556"/>
      <c r="Q225" s="558">
        <v>0</v>
      </c>
      <c r="R225" s="553"/>
      <c r="S225" s="558">
        <v>0</v>
      </c>
      <c r="T225" s="557"/>
      <c r="U225" s="559">
        <v>0</v>
      </c>
    </row>
    <row r="226" spans="1:21" ht="14.4" customHeight="1" x14ac:dyDescent="0.3">
      <c r="A226" s="552">
        <v>29</v>
      </c>
      <c r="B226" s="553" t="s">
        <v>469</v>
      </c>
      <c r="C226" s="553" t="s">
        <v>642</v>
      </c>
      <c r="D226" s="554" t="s">
        <v>1148</v>
      </c>
      <c r="E226" s="555" t="s">
        <v>652</v>
      </c>
      <c r="F226" s="553" t="s">
        <v>641</v>
      </c>
      <c r="G226" s="553" t="s">
        <v>736</v>
      </c>
      <c r="H226" s="553" t="s">
        <v>470</v>
      </c>
      <c r="I226" s="553" t="s">
        <v>737</v>
      </c>
      <c r="J226" s="553" t="s">
        <v>738</v>
      </c>
      <c r="K226" s="553" t="s">
        <v>739</v>
      </c>
      <c r="L226" s="556">
        <v>133.69</v>
      </c>
      <c r="M226" s="556">
        <v>534.76</v>
      </c>
      <c r="N226" s="553">
        <v>4</v>
      </c>
      <c r="O226" s="557">
        <v>3</v>
      </c>
      <c r="P226" s="556">
        <v>534.76</v>
      </c>
      <c r="Q226" s="558">
        <v>1</v>
      </c>
      <c r="R226" s="553">
        <v>4</v>
      </c>
      <c r="S226" s="558">
        <v>1</v>
      </c>
      <c r="T226" s="557">
        <v>3</v>
      </c>
      <c r="U226" s="559">
        <v>1</v>
      </c>
    </row>
    <row r="227" spans="1:21" ht="14.4" customHeight="1" x14ac:dyDescent="0.3">
      <c r="A227" s="552">
        <v>29</v>
      </c>
      <c r="B227" s="553" t="s">
        <v>469</v>
      </c>
      <c r="C227" s="553" t="s">
        <v>642</v>
      </c>
      <c r="D227" s="554" t="s">
        <v>1148</v>
      </c>
      <c r="E227" s="555" t="s">
        <v>652</v>
      </c>
      <c r="F227" s="553" t="s">
        <v>641</v>
      </c>
      <c r="G227" s="553" t="s">
        <v>736</v>
      </c>
      <c r="H227" s="553" t="s">
        <v>470</v>
      </c>
      <c r="I227" s="553" t="s">
        <v>740</v>
      </c>
      <c r="J227" s="553" t="s">
        <v>738</v>
      </c>
      <c r="K227" s="553" t="s">
        <v>741</v>
      </c>
      <c r="L227" s="556">
        <v>175.15</v>
      </c>
      <c r="M227" s="556">
        <v>875.75</v>
      </c>
      <c r="N227" s="553">
        <v>5</v>
      </c>
      <c r="O227" s="557">
        <v>5</v>
      </c>
      <c r="P227" s="556">
        <v>350.3</v>
      </c>
      <c r="Q227" s="558">
        <v>0.4</v>
      </c>
      <c r="R227" s="553">
        <v>2</v>
      </c>
      <c r="S227" s="558">
        <v>0.4</v>
      </c>
      <c r="T227" s="557">
        <v>2</v>
      </c>
      <c r="U227" s="559">
        <v>0.4</v>
      </c>
    </row>
    <row r="228" spans="1:21" ht="14.4" customHeight="1" x14ac:dyDescent="0.3">
      <c r="A228" s="552">
        <v>29</v>
      </c>
      <c r="B228" s="553" t="s">
        <v>469</v>
      </c>
      <c r="C228" s="553" t="s">
        <v>642</v>
      </c>
      <c r="D228" s="554" t="s">
        <v>1148</v>
      </c>
      <c r="E228" s="555" t="s">
        <v>652</v>
      </c>
      <c r="F228" s="553" t="s">
        <v>641</v>
      </c>
      <c r="G228" s="553" t="s">
        <v>736</v>
      </c>
      <c r="H228" s="553" t="s">
        <v>470</v>
      </c>
      <c r="I228" s="553" t="s">
        <v>742</v>
      </c>
      <c r="J228" s="553" t="s">
        <v>738</v>
      </c>
      <c r="K228" s="553" t="s">
        <v>743</v>
      </c>
      <c r="L228" s="556">
        <v>200</v>
      </c>
      <c r="M228" s="556">
        <v>7600</v>
      </c>
      <c r="N228" s="553">
        <v>38</v>
      </c>
      <c r="O228" s="557">
        <v>23</v>
      </c>
      <c r="P228" s="556">
        <v>6600</v>
      </c>
      <c r="Q228" s="558">
        <v>0.86842105263157898</v>
      </c>
      <c r="R228" s="553">
        <v>33</v>
      </c>
      <c r="S228" s="558">
        <v>0.86842105263157898</v>
      </c>
      <c r="T228" s="557">
        <v>20</v>
      </c>
      <c r="U228" s="559">
        <v>0.86956521739130432</v>
      </c>
    </row>
    <row r="229" spans="1:21" ht="14.4" customHeight="1" x14ac:dyDescent="0.3">
      <c r="A229" s="552">
        <v>29</v>
      </c>
      <c r="B229" s="553" t="s">
        <v>469</v>
      </c>
      <c r="C229" s="553" t="s">
        <v>642</v>
      </c>
      <c r="D229" s="554" t="s">
        <v>1148</v>
      </c>
      <c r="E229" s="555" t="s">
        <v>652</v>
      </c>
      <c r="F229" s="553" t="s">
        <v>641</v>
      </c>
      <c r="G229" s="553" t="s">
        <v>736</v>
      </c>
      <c r="H229" s="553" t="s">
        <v>470</v>
      </c>
      <c r="I229" s="553" t="s">
        <v>1052</v>
      </c>
      <c r="J229" s="553" t="s">
        <v>1053</v>
      </c>
      <c r="K229" s="553" t="s">
        <v>1054</v>
      </c>
      <c r="L229" s="556">
        <v>1041.3900000000001</v>
      </c>
      <c r="M229" s="556">
        <v>3124.17</v>
      </c>
      <c r="N229" s="553">
        <v>3</v>
      </c>
      <c r="O229" s="557">
        <v>1</v>
      </c>
      <c r="P229" s="556">
        <v>3124.17</v>
      </c>
      <c r="Q229" s="558">
        <v>1</v>
      </c>
      <c r="R229" s="553">
        <v>3</v>
      </c>
      <c r="S229" s="558">
        <v>1</v>
      </c>
      <c r="T229" s="557">
        <v>1</v>
      </c>
      <c r="U229" s="559">
        <v>1</v>
      </c>
    </row>
    <row r="230" spans="1:21" ht="14.4" customHeight="1" x14ac:dyDescent="0.3">
      <c r="A230" s="552">
        <v>29</v>
      </c>
      <c r="B230" s="553" t="s">
        <v>469</v>
      </c>
      <c r="C230" s="553" t="s">
        <v>642</v>
      </c>
      <c r="D230" s="554" t="s">
        <v>1148</v>
      </c>
      <c r="E230" s="555" t="s">
        <v>652</v>
      </c>
      <c r="F230" s="553" t="s">
        <v>641</v>
      </c>
      <c r="G230" s="553" t="s">
        <v>736</v>
      </c>
      <c r="H230" s="553" t="s">
        <v>470</v>
      </c>
      <c r="I230" s="553" t="s">
        <v>1055</v>
      </c>
      <c r="J230" s="553" t="s">
        <v>1053</v>
      </c>
      <c r="K230" s="553" t="s">
        <v>1056</v>
      </c>
      <c r="L230" s="556">
        <v>1269.81</v>
      </c>
      <c r="M230" s="556">
        <v>3809.43</v>
      </c>
      <c r="N230" s="553">
        <v>3</v>
      </c>
      <c r="O230" s="557">
        <v>1</v>
      </c>
      <c r="P230" s="556">
        <v>3809.43</v>
      </c>
      <c r="Q230" s="558">
        <v>1</v>
      </c>
      <c r="R230" s="553">
        <v>3</v>
      </c>
      <c r="S230" s="558">
        <v>1</v>
      </c>
      <c r="T230" s="557">
        <v>1</v>
      </c>
      <c r="U230" s="559">
        <v>1</v>
      </c>
    </row>
    <row r="231" spans="1:21" ht="14.4" customHeight="1" x14ac:dyDescent="0.3">
      <c r="A231" s="552">
        <v>29</v>
      </c>
      <c r="B231" s="553" t="s">
        <v>469</v>
      </c>
      <c r="C231" s="553" t="s">
        <v>642</v>
      </c>
      <c r="D231" s="554" t="s">
        <v>1148</v>
      </c>
      <c r="E231" s="555" t="s">
        <v>652</v>
      </c>
      <c r="F231" s="553" t="s">
        <v>641</v>
      </c>
      <c r="G231" s="553" t="s">
        <v>736</v>
      </c>
      <c r="H231" s="553" t="s">
        <v>470</v>
      </c>
      <c r="I231" s="553" t="s">
        <v>839</v>
      </c>
      <c r="J231" s="553" t="s">
        <v>748</v>
      </c>
      <c r="K231" s="553" t="s">
        <v>840</v>
      </c>
      <c r="L231" s="556">
        <v>128</v>
      </c>
      <c r="M231" s="556">
        <v>384</v>
      </c>
      <c r="N231" s="553">
        <v>3</v>
      </c>
      <c r="O231" s="557">
        <v>2</v>
      </c>
      <c r="P231" s="556">
        <v>384</v>
      </c>
      <c r="Q231" s="558">
        <v>1</v>
      </c>
      <c r="R231" s="553">
        <v>3</v>
      </c>
      <c r="S231" s="558">
        <v>1</v>
      </c>
      <c r="T231" s="557">
        <v>2</v>
      </c>
      <c r="U231" s="559">
        <v>1</v>
      </c>
    </row>
    <row r="232" spans="1:21" ht="14.4" customHeight="1" x14ac:dyDescent="0.3">
      <c r="A232" s="552">
        <v>29</v>
      </c>
      <c r="B232" s="553" t="s">
        <v>469</v>
      </c>
      <c r="C232" s="553" t="s">
        <v>642</v>
      </c>
      <c r="D232" s="554" t="s">
        <v>1148</v>
      </c>
      <c r="E232" s="555" t="s">
        <v>652</v>
      </c>
      <c r="F232" s="553" t="s">
        <v>641</v>
      </c>
      <c r="G232" s="553" t="s">
        <v>736</v>
      </c>
      <c r="H232" s="553" t="s">
        <v>470</v>
      </c>
      <c r="I232" s="553" t="s">
        <v>747</v>
      </c>
      <c r="J232" s="553" t="s">
        <v>748</v>
      </c>
      <c r="K232" s="553" t="s">
        <v>749</v>
      </c>
      <c r="L232" s="556">
        <v>156</v>
      </c>
      <c r="M232" s="556">
        <v>1560</v>
      </c>
      <c r="N232" s="553">
        <v>10</v>
      </c>
      <c r="O232" s="557">
        <v>10</v>
      </c>
      <c r="P232" s="556">
        <v>1248</v>
      </c>
      <c r="Q232" s="558">
        <v>0.8</v>
      </c>
      <c r="R232" s="553">
        <v>8</v>
      </c>
      <c r="S232" s="558">
        <v>0.8</v>
      </c>
      <c r="T232" s="557">
        <v>8</v>
      </c>
      <c r="U232" s="559">
        <v>0.8</v>
      </c>
    </row>
    <row r="233" spans="1:21" ht="14.4" customHeight="1" x14ac:dyDescent="0.3">
      <c r="A233" s="552">
        <v>29</v>
      </c>
      <c r="B233" s="553" t="s">
        <v>469</v>
      </c>
      <c r="C233" s="553" t="s">
        <v>642</v>
      </c>
      <c r="D233" s="554" t="s">
        <v>1148</v>
      </c>
      <c r="E233" s="555" t="s">
        <v>652</v>
      </c>
      <c r="F233" s="553" t="s">
        <v>641</v>
      </c>
      <c r="G233" s="553" t="s">
        <v>736</v>
      </c>
      <c r="H233" s="553" t="s">
        <v>470</v>
      </c>
      <c r="I233" s="553" t="s">
        <v>1057</v>
      </c>
      <c r="J233" s="553" t="s">
        <v>1058</v>
      </c>
      <c r="K233" s="553" t="s">
        <v>1059</v>
      </c>
      <c r="L233" s="556">
        <v>1600</v>
      </c>
      <c r="M233" s="556">
        <v>3200</v>
      </c>
      <c r="N233" s="553">
        <v>2</v>
      </c>
      <c r="O233" s="557">
        <v>1</v>
      </c>
      <c r="P233" s="556">
        <v>3200</v>
      </c>
      <c r="Q233" s="558">
        <v>1</v>
      </c>
      <c r="R233" s="553">
        <v>2</v>
      </c>
      <c r="S233" s="558">
        <v>1</v>
      </c>
      <c r="T233" s="557">
        <v>1</v>
      </c>
      <c r="U233" s="559">
        <v>1</v>
      </c>
    </row>
    <row r="234" spans="1:21" ht="14.4" customHeight="1" x14ac:dyDescent="0.3">
      <c r="A234" s="552">
        <v>29</v>
      </c>
      <c r="B234" s="553" t="s">
        <v>469</v>
      </c>
      <c r="C234" s="553" t="s">
        <v>642</v>
      </c>
      <c r="D234" s="554" t="s">
        <v>1148</v>
      </c>
      <c r="E234" s="555" t="s">
        <v>652</v>
      </c>
      <c r="F234" s="553" t="s">
        <v>641</v>
      </c>
      <c r="G234" s="553" t="s">
        <v>736</v>
      </c>
      <c r="H234" s="553" t="s">
        <v>470</v>
      </c>
      <c r="I234" s="553" t="s">
        <v>1060</v>
      </c>
      <c r="J234" s="553" t="s">
        <v>1061</v>
      </c>
      <c r="K234" s="553" t="s">
        <v>1062</v>
      </c>
      <c r="L234" s="556">
        <v>1512.58</v>
      </c>
      <c r="M234" s="556">
        <v>3025.16</v>
      </c>
      <c r="N234" s="553">
        <v>2</v>
      </c>
      <c r="O234" s="557">
        <v>1</v>
      </c>
      <c r="P234" s="556">
        <v>3025.16</v>
      </c>
      <c r="Q234" s="558">
        <v>1</v>
      </c>
      <c r="R234" s="553">
        <v>2</v>
      </c>
      <c r="S234" s="558">
        <v>1</v>
      </c>
      <c r="T234" s="557">
        <v>1</v>
      </c>
      <c r="U234" s="559">
        <v>1</v>
      </c>
    </row>
    <row r="235" spans="1:21" ht="14.4" customHeight="1" x14ac:dyDescent="0.3">
      <c r="A235" s="552">
        <v>29</v>
      </c>
      <c r="B235" s="553" t="s">
        <v>469</v>
      </c>
      <c r="C235" s="553" t="s">
        <v>642</v>
      </c>
      <c r="D235" s="554" t="s">
        <v>1148</v>
      </c>
      <c r="E235" s="555" t="s">
        <v>652</v>
      </c>
      <c r="F235" s="553" t="s">
        <v>641</v>
      </c>
      <c r="G235" s="553" t="s">
        <v>736</v>
      </c>
      <c r="H235" s="553" t="s">
        <v>470</v>
      </c>
      <c r="I235" s="553" t="s">
        <v>1063</v>
      </c>
      <c r="J235" s="553" t="s">
        <v>1064</v>
      </c>
      <c r="K235" s="553" t="s">
        <v>1065</v>
      </c>
      <c r="L235" s="556">
        <v>159.6</v>
      </c>
      <c r="M235" s="556">
        <v>159.6</v>
      </c>
      <c r="N235" s="553">
        <v>1</v>
      </c>
      <c r="O235" s="557">
        <v>1</v>
      </c>
      <c r="P235" s="556">
        <v>159.6</v>
      </c>
      <c r="Q235" s="558">
        <v>1</v>
      </c>
      <c r="R235" s="553">
        <v>1</v>
      </c>
      <c r="S235" s="558">
        <v>1</v>
      </c>
      <c r="T235" s="557">
        <v>1</v>
      </c>
      <c r="U235" s="559">
        <v>1</v>
      </c>
    </row>
    <row r="236" spans="1:21" ht="14.4" customHeight="1" x14ac:dyDescent="0.3">
      <c r="A236" s="552">
        <v>29</v>
      </c>
      <c r="B236" s="553" t="s">
        <v>469</v>
      </c>
      <c r="C236" s="553" t="s">
        <v>642</v>
      </c>
      <c r="D236" s="554" t="s">
        <v>1148</v>
      </c>
      <c r="E236" s="555" t="s">
        <v>652</v>
      </c>
      <c r="F236" s="553" t="s">
        <v>641</v>
      </c>
      <c r="G236" s="553" t="s">
        <v>736</v>
      </c>
      <c r="H236" s="553" t="s">
        <v>470</v>
      </c>
      <c r="I236" s="553" t="s">
        <v>758</v>
      </c>
      <c r="J236" s="553" t="s">
        <v>759</v>
      </c>
      <c r="K236" s="553" t="s">
        <v>760</v>
      </c>
      <c r="L236" s="556">
        <v>8</v>
      </c>
      <c r="M236" s="556">
        <v>16</v>
      </c>
      <c r="N236" s="553">
        <v>2</v>
      </c>
      <c r="O236" s="557">
        <v>1</v>
      </c>
      <c r="P236" s="556">
        <v>16</v>
      </c>
      <c r="Q236" s="558">
        <v>1</v>
      </c>
      <c r="R236" s="553">
        <v>2</v>
      </c>
      <c r="S236" s="558">
        <v>1</v>
      </c>
      <c r="T236" s="557">
        <v>1</v>
      </c>
      <c r="U236" s="559">
        <v>1</v>
      </c>
    </row>
    <row r="237" spans="1:21" ht="14.4" customHeight="1" x14ac:dyDescent="0.3">
      <c r="A237" s="552">
        <v>29</v>
      </c>
      <c r="B237" s="553" t="s">
        <v>469</v>
      </c>
      <c r="C237" s="553" t="s">
        <v>642</v>
      </c>
      <c r="D237" s="554" t="s">
        <v>1148</v>
      </c>
      <c r="E237" s="555" t="s">
        <v>652</v>
      </c>
      <c r="F237" s="553" t="s">
        <v>641</v>
      </c>
      <c r="G237" s="553" t="s">
        <v>736</v>
      </c>
      <c r="H237" s="553" t="s">
        <v>470</v>
      </c>
      <c r="I237" s="553" t="s">
        <v>1066</v>
      </c>
      <c r="J237" s="553" t="s">
        <v>1067</v>
      </c>
      <c r="K237" s="553" t="s">
        <v>1068</v>
      </c>
      <c r="L237" s="556">
        <v>734.52</v>
      </c>
      <c r="M237" s="556">
        <v>734.52</v>
      </c>
      <c r="N237" s="553">
        <v>1</v>
      </c>
      <c r="O237" s="557">
        <v>1</v>
      </c>
      <c r="P237" s="556">
        <v>734.52</v>
      </c>
      <c r="Q237" s="558">
        <v>1</v>
      </c>
      <c r="R237" s="553">
        <v>1</v>
      </c>
      <c r="S237" s="558">
        <v>1</v>
      </c>
      <c r="T237" s="557">
        <v>1</v>
      </c>
      <c r="U237" s="559">
        <v>1</v>
      </c>
    </row>
    <row r="238" spans="1:21" ht="14.4" customHeight="1" x14ac:dyDescent="0.3">
      <c r="A238" s="552">
        <v>29</v>
      </c>
      <c r="B238" s="553" t="s">
        <v>469</v>
      </c>
      <c r="C238" s="553" t="s">
        <v>642</v>
      </c>
      <c r="D238" s="554" t="s">
        <v>1148</v>
      </c>
      <c r="E238" s="555" t="s">
        <v>652</v>
      </c>
      <c r="F238" s="553" t="s">
        <v>641</v>
      </c>
      <c r="G238" s="553" t="s">
        <v>736</v>
      </c>
      <c r="H238" s="553" t="s">
        <v>470</v>
      </c>
      <c r="I238" s="553" t="s">
        <v>1005</v>
      </c>
      <c r="J238" s="553" t="s">
        <v>759</v>
      </c>
      <c r="K238" s="553" t="s">
        <v>1006</v>
      </c>
      <c r="L238" s="556">
        <v>4.87</v>
      </c>
      <c r="M238" s="556">
        <v>14.61</v>
      </c>
      <c r="N238" s="553">
        <v>3</v>
      </c>
      <c r="O238" s="557">
        <v>1</v>
      </c>
      <c r="P238" s="556">
        <v>14.61</v>
      </c>
      <c r="Q238" s="558">
        <v>1</v>
      </c>
      <c r="R238" s="553">
        <v>3</v>
      </c>
      <c r="S238" s="558">
        <v>1</v>
      </c>
      <c r="T238" s="557">
        <v>1</v>
      </c>
      <c r="U238" s="559">
        <v>1</v>
      </c>
    </row>
    <row r="239" spans="1:21" ht="14.4" customHeight="1" x14ac:dyDescent="0.3">
      <c r="A239" s="552">
        <v>29</v>
      </c>
      <c r="B239" s="553" t="s">
        <v>469</v>
      </c>
      <c r="C239" s="553" t="s">
        <v>642</v>
      </c>
      <c r="D239" s="554" t="s">
        <v>1148</v>
      </c>
      <c r="E239" s="555" t="s">
        <v>652</v>
      </c>
      <c r="F239" s="553" t="s">
        <v>641</v>
      </c>
      <c r="G239" s="553" t="s">
        <v>736</v>
      </c>
      <c r="H239" s="553" t="s">
        <v>470</v>
      </c>
      <c r="I239" s="553" t="s">
        <v>1069</v>
      </c>
      <c r="J239" s="553" t="s">
        <v>1070</v>
      </c>
      <c r="K239" s="553" t="s">
        <v>1071</v>
      </c>
      <c r="L239" s="556">
        <v>181.88</v>
      </c>
      <c r="M239" s="556">
        <v>181.88</v>
      </c>
      <c r="N239" s="553">
        <v>1</v>
      </c>
      <c r="O239" s="557">
        <v>1</v>
      </c>
      <c r="P239" s="556"/>
      <c r="Q239" s="558">
        <v>0</v>
      </c>
      <c r="R239" s="553"/>
      <c r="S239" s="558">
        <v>0</v>
      </c>
      <c r="T239" s="557"/>
      <c r="U239" s="559">
        <v>0</v>
      </c>
    </row>
    <row r="240" spans="1:21" ht="14.4" customHeight="1" x14ac:dyDescent="0.3">
      <c r="A240" s="552">
        <v>29</v>
      </c>
      <c r="B240" s="553" t="s">
        <v>469</v>
      </c>
      <c r="C240" s="553" t="s">
        <v>642</v>
      </c>
      <c r="D240" s="554" t="s">
        <v>1148</v>
      </c>
      <c r="E240" s="555" t="s">
        <v>652</v>
      </c>
      <c r="F240" s="553" t="s">
        <v>641</v>
      </c>
      <c r="G240" s="553" t="s">
        <v>736</v>
      </c>
      <c r="H240" s="553" t="s">
        <v>470</v>
      </c>
      <c r="I240" s="553" t="s">
        <v>775</v>
      </c>
      <c r="J240" s="553" t="s">
        <v>776</v>
      </c>
      <c r="K240" s="553" t="s">
        <v>777</v>
      </c>
      <c r="L240" s="556">
        <v>841.6</v>
      </c>
      <c r="M240" s="556">
        <v>1683.2</v>
      </c>
      <c r="N240" s="553">
        <v>2</v>
      </c>
      <c r="O240" s="557">
        <v>1</v>
      </c>
      <c r="P240" s="556">
        <v>1683.2</v>
      </c>
      <c r="Q240" s="558">
        <v>1</v>
      </c>
      <c r="R240" s="553">
        <v>2</v>
      </c>
      <c r="S240" s="558">
        <v>1</v>
      </c>
      <c r="T240" s="557">
        <v>1</v>
      </c>
      <c r="U240" s="559">
        <v>1</v>
      </c>
    </row>
    <row r="241" spans="1:21" ht="14.4" customHeight="1" x14ac:dyDescent="0.3">
      <c r="A241" s="552">
        <v>29</v>
      </c>
      <c r="B241" s="553" t="s">
        <v>469</v>
      </c>
      <c r="C241" s="553" t="s">
        <v>642</v>
      </c>
      <c r="D241" s="554" t="s">
        <v>1148</v>
      </c>
      <c r="E241" s="555" t="s">
        <v>652</v>
      </c>
      <c r="F241" s="553" t="s">
        <v>641</v>
      </c>
      <c r="G241" s="553" t="s">
        <v>736</v>
      </c>
      <c r="H241" s="553" t="s">
        <v>470</v>
      </c>
      <c r="I241" s="553" t="s">
        <v>1072</v>
      </c>
      <c r="J241" s="553" t="s">
        <v>1053</v>
      </c>
      <c r="K241" s="553" t="s">
        <v>777</v>
      </c>
      <c r="L241" s="556">
        <v>859.41</v>
      </c>
      <c r="M241" s="556">
        <v>4297.05</v>
      </c>
      <c r="N241" s="553">
        <v>5</v>
      </c>
      <c r="O241" s="557">
        <v>3</v>
      </c>
      <c r="P241" s="556">
        <v>2578.23</v>
      </c>
      <c r="Q241" s="558">
        <v>0.6</v>
      </c>
      <c r="R241" s="553">
        <v>3</v>
      </c>
      <c r="S241" s="558">
        <v>0.6</v>
      </c>
      <c r="T241" s="557">
        <v>2</v>
      </c>
      <c r="U241" s="559">
        <v>0.66666666666666663</v>
      </c>
    </row>
    <row r="242" spans="1:21" ht="14.4" customHeight="1" x14ac:dyDescent="0.3">
      <c r="A242" s="552">
        <v>29</v>
      </c>
      <c r="B242" s="553" t="s">
        <v>469</v>
      </c>
      <c r="C242" s="553" t="s">
        <v>642</v>
      </c>
      <c r="D242" s="554" t="s">
        <v>1148</v>
      </c>
      <c r="E242" s="555" t="s">
        <v>652</v>
      </c>
      <c r="F242" s="553" t="s">
        <v>641</v>
      </c>
      <c r="G242" s="553" t="s">
        <v>736</v>
      </c>
      <c r="H242" s="553" t="s">
        <v>470</v>
      </c>
      <c r="I242" s="553" t="s">
        <v>1073</v>
      </c>
      <c r="J242" s="553" t="s">
        <v>1074</v>
      </c>
      <c r="K242" s="553" t="s">
        <v>1075</v>
      </c>
      <c r="L242" s="556">
        <v>1156.58</v>
      </c>
      <c r="M242" s="556">
        <v>1156.58</v>
      </c>
      <c r="N242" s="553">
        <v>1</v>
      </c>
      <c r="O242" s="557">
        <v>1</v>
      </c>
      <c r="P242" s="556">
        <v>1156.58</v>
      </c>
      <c r="Q242" s="558">
        <v>1</v>
      </c>
      <c r="R242" s="553">
        <v>1</v>
      </c>
      <c r="S242" s="558">
        <v>1</v>
      </c>
      <c r="T242" s="557">
        <v>1</v>
      </c>
      <c r="U242" s="559">
        <v>1</v>
      </c>
    </row>
    <row r="243" spans="1:21" ht="14.4" customHeight="1" x14ac:dyDescent="0.3">
      <c r="A243" s="552">
        <v>29</v>
      </c>
      <c r="B243" s="553" t="s">
        <v>469</v>
      </c>
      <c r="C243" s="553" t="s">
        <v>642</v>
      </c>
      <c r="D243" s="554" t="s">
        <v>1148</v>
      </c>
      <c r="E243" s="555" t="s">
        <v>652</v>
      </c>
      <c r="F243" s="553" t="s">
        <v>641</v>
      </c>
      <c r="G243" s="553" t="s">
        <v>736</v>
      </c>
      <c r="H243" s="553" t="s">
        <v>470</v>
      </c>
      <c r="I243" s="553" t="s">
        <v>1076</v>
      </c>
      <c r="J243" s="553" t="s">
        <v>1077</v>
      </c>
      <c r="K243" s="553" t="s">
        <v>1078</v>
      </c>
      <c r="L243" s="556">
        <v>123.19</v>
      </c>
      <c r="M243" s="556">
        <v>123.19</v>
      </c>
      <c r="N243" s="553">
        <v>1</v>
      </c>
      <c r="O243" s="557">
        <v>1</v>
      </c>
      <c r="P243" s="556">
        <v>123.19</v>
      </c>
      <c r="Q243" s="558">
        <v>1</v>
      </c>
      <c r="R243" s="553">
        <v>1</v>
      </c>
      <c r="S243" s="558">
        <v>1</v>
      </c>
      <c r="T243" s="557">
        <v>1</v>
      </c>
      <c r="U243" s="559">
        <v>1</v>
      </c>
    </row>
    <row r="244" spans="1:21" ht="14.4" customHeight="1" x14ac:dyDescent="0.3">
      <c r="A244" s="552">
        <v>29</v>
      </c>
      <c r="B244" s="553" t="s">
        <v>469</v>
      </c>
      <c r="C244" s="553" t="s">
        <v>642</v>
      </c>
      <c r="D244" s="554" t="s">
        <v>1148</v>
      </c>
      <c r="E244" s="555" t="s">
        <v>652</v>
      </c>
      <c r="F244" s="553" t="s">
        <v>641</v>
      </c>
      <c r="G244" s="553" t="s">
        <v>736</v>
      </c>
      <c r="H244" s="553" t="s">
        <v>470</v>
      </c>
      <c r="I244" s="553" t="s">
        <v>1079</v>
      </c>
      <c r="J244" s="553" t="s">
        <v>745</v>
      </c>
      <c r="K244" s="553" t="s">
        <v>1080</v>
      </c>
      <c r="L244" s="556">
        <v>30</v>
      </c>
      <c r="M244" s="556">
        <v>60</v>
      </c>
      <c r="N244" s="553">
        <v>2</v>
      </c>
      <c r="O244" s="557">
        <v>1</v>
      </c>
      <c r="P244" s="556">
        <v>60</v>
      </c>
      <c r="Q244" s="558">
        <v>1</v>
      </c>
      <c r="R244" s="553">
        <v>2</v>
      </c>
      <c r="S244" s="558">
        <v>1</v>
      </c>
      <c r="T244" s="557">
        <v>1</v>
      </c>
      <c r="U244" s="559">
        <v>1</v>
      </c>
    </row>
    <row r="245" spans="1:21" ht="14.4" customHeight="1" x14ac:dyDescent="0.3">
      <c r="A245" s="552">
        <v>29</v>
      </c>
      <c r="B245" s="553" t="s">
        <v>469</v>
      </c>
      <c r="C245" s="553" t="s">
        <v>642</v>
      </c>
      <c r="D245" s="554" t="s">
        <v>1148</v>
      </c>
      <c r="E245" s="555" t="s">
        <v>652</v>
      </c>
      <c r="F245" s="553" t="s">
        <v>641</v>
      </c>
      <c r="G245" s="553" t="s">
        <v>781</v>
      </c>
      <c r="H245" s="553" t="s">
        <v>470</v>
      </c>
      <c r="I245" s="553" t="s">
        <v>782</v>
      </c>
      <c r="J245" s="553" t="s">
        <v>783</v>
      </c>
      <c r="K245" s="553" t="s">
        <v>784</v>
      </c>
      <c r="L245" s="556">
        <v>410</v>
      </c>
      <c r="M245" s="556">
        <v>15580</v>
      </c>
      <c r="N245" s="553">
        <v>38</v>
      </c>
      <c r="O245" s="557">
        <v>38</v>
      </c>
      <c r="P245" s="556">
        <v>15170</v>
      </c>
      <c r="Q245" s="558">
        <v>0.97368421052631582</v>
      </c>
      <c r="R245" s="553">
        <v>37</v>
      </c>
      <c r="S245" s="558">
        <v>0.97368421052631582</v>
      </c>
      <c r="T245" s="557">
        <v>37</v>
      </c>
      <c r="U245" s="559">
        <v>0.97368421052631582</v>
      </c>
    </row>
    <row r="246" spans="1:21" ht="14.4" customHeight="1" x14ac:dyDescent="0.3">
      <c r="A246" s="552">
        <v>29</v>
      </c>
      <c r="B246" s="553" t="s">
        <v>469</v>
      </c>
      <c r="C246" s="553" t="s">
        <v>642</v>
      </c>
      <c r="D246" s="554" t="s">
        <v>1148</v>
      </c>
      <c r="E246" s="555" t="s">
        <v>652</v>
      </c>
      <c r="F246" s="553" t="s">
        <v>641</v>
      </c>
      <c r="G246" s="553" t="s">
        <v>781</v>
      </c>
      <c r="H246" s="553" t="s">
        <v>470</v>
      </c>
      <c r="I246" s="553" t="s">
        <v>785</v>
      </c>
      <c r="J246" s="553" t="s">
        <v>786</v>
      </c>
      <c r="K246" s="553" t="s">
        <v>787</v>
      </c>
      <c r="L246" s="556">
        <v>566</v>
      </c>
      <c r="M246" s="556">
        <v>566</v>
      </c>
      <c r="N246" s="553">
        <v>1</v>
      </c>
      <c r="O246" s="557">
        <v>1</v>
      </c>
      <c r="P246" s="556"/>
      <c r="Q246" s="558">
        <v>0</v>
      </c>
      <c r="R246" s="553"/>
      <c r="S246" s="558">
        <v>0</v>
      </c>
      <c r="T246" s="557"/>
      <c r="U246" s="559">
        <v>0</v>
      </c>
    </row>
    <row r="247" spans="1:21" ht="14.4" customHeight="1" x14ac:dyDescent="0.3">
      <c r="A247" s="552">
        <v>29</v>
      </c>
      <c r="B247" s="553" t="s">
        <v>469</v>
      </c>
      <c r="C247" s="553" t="s">
        <v>642</v>
      </c>
      <c r="D247" s="554" t="s">
        <v>1148</v>
      </c>
      <c r="E247" s="555" t="s">
        <v>652</v>
      </c>
      <c r="F247" s="553" t="s">
        <v>641</v>
      </c>
      <c r="G247" s="553" t="s">
        <v>781</v>
      </c>
      <c r="H247" s="553" t="s">
        <v>470</v>
      </c>
      <c r="I247" s="553" t="s">
        <v>1081</v>
      </c>
      <c r="J247" s="553" t="s">
        <v>783</v>
      </c>
      <c r="K247" s="553" t="s">
        <v>1082</v>
      </c>
      <c r="L247" s="556">
        <v>410</v>
      </c>
      <c r="M247" s="556">
        <v>410</v>
      </c>
      <c r="N247" s="553">
        <v>1</v>
      </c>
      <c r="O247" s="557">
        <v>1</v>
      </c>
      <c r="P247" s="556"/>
      <c r="Q247" s="558">
        <v>0</v>
      </c>
      <c r="R247" s="553"/>
      <c r="S247" s="558">
        <v>0</v>
      </c>
      <c r="T247" s="557"/>
      <c r="U247" s="559">
        <v>0</v>
      </c>
    </row>
    <row r="248" spans="1:21" ht="14.4" customHeight="1" x14ac:dyDescent="0.3">
      <c r="A248" s="552">
        <v>29</v>
      </c>
      <c r="B248" s="553" t="s">
        <v>469</v>
      </c>
      <c r="C248" s="553" t="s">
        <v>642</v>
      </c>
      <c r="D248" s="554" t="s">
        <v>1148</v>
      </c>
      <c r="E248" s="555" t="s">
        <v>652</v>
      </c>
      <c r="F248" s="553" t="s">
        <v>641</v>
      </c>
      <c r="G248" s="553" t="s">
        <v>781</v>
      </c>
      <c r="H248" s="553" t="s">
        <v>470</v>
      </c>
      <c r="I248" s="553" t="s">
        <v>1083</v>
      </c>
      <c r="J248" s="553" t="s">
        <v>786</v>
      </c>
      <c r="K248" s="553" t="s">
        <v>1084</v>
      </c>
      <c r="L248" s="556">
        <v>600</v>
      </c>
      <c r="M248" s="556">
        <v>600</v>
      </c>
      <c r="N248" s="553">
        <v>1</v>
      </c>
      <c r="O248" s="557">
        <v>1</v>
      </c>
      <c r="P248" s="556">
        <v>600</v>
      </c>
      <c r="Q248" s="558">
        <v>1</v>
      </c>
      <c r="R248" s="553">
        <v>1</v>
      </c>
      <c r="S248" s="558">
        <v>1</v>
      </c>
      <c r="T248" s="557">
        <v>1</v>
      </c>
      <c r="U248" s="559">
        <v>1</v>
      </c>
    </row>
    <row r="249" spans="1:21" ht="14.4" customHeight="1" x14ac:dyDescent="0.3">
      <c r="A249" s="552">
        <v>29</v>
      </c>
      <c r="B249" s="553" t="s">
        <v>469</v>
      </c>
      <c r="C249" s="553" t="s">
        <v>642</v>
      </c>
      <c r="D249" s="554" t="s">
        <v>1148</v>
      </c>
      <c r="E249" s="555" t="s">
        <v>652</v>
      </c>
      <c r="F249" s="553" t="s">
        <v>641</v>
      </c>
      <c r="G249" s="553" t="s">
        <v>791</v>
      </c>
      <c r="H249" s="553" t="s">
        <v>470</v>
      </c>
      <c r="I249" s="553" t="s">
        <v>1085</v>
      </c>
      <c r="J249" s="553" t="s">
        <v>1086</v>
      </c>
      <c r="K249" s="553" t="s">
        <v>1087</v>
      </c>
      <c r="L249" s="556">
        <v>350</v>
      </c>
      <c r="M249" s="556">
        <v>350</v>
      </c>
      <c r="N249" s="553">
        <v>1</v>
      </c>
      <c r="O249" s="557">
        <v>1</v>
      </c>
      <c r="P249" s="556">
        <v>350</v>
      </c>
      <c r="Q249" s="558">
        <v>1</v>
      </c>
      <c r="R249" s="553">
        <v>1</v>
      </c>
      <c r="S249" s="558">
        <v>1</v>
      </c>
      <c r="T249" s="557">
        <v>1</v>
      </c>
      <c r="U249" s="559">
        <v>1</v>
      </c>
    </row>
    <row r="250" spans="1:21" ht="14.4" customHeight="1" x14ac:dyDescent="0.3">
      <c r="A250" s="552">
        <v>29</v>
      </c>
      <c r="B250" s="553" t="s">
        <v>469</v>
      </c>
      <c r="C250" s="553" t="s">
        <v>642</v>
      </c>
      <c r="D250" s="554" t="s">
        <v>1148</v>
      </c>
      <c r="E250" s="555" t="s">
        <v>652</v>
      </c>
      <c r="F250" s="553" t="s">
        <v>641</v>
      </c>
      <c r="G250" s="553" t="s">
        <v>791</v>
      </c>
      <c r="H250" s="553" t="s">
        <v>470</v>
      </c>
      <c r="I250" s="553" t="s">
        <v>921</v>
      </c>
      <c r="J250" s="553" t="s">
        <v>922</v>
      </c>
      <c r="K250" s="553" t="s">
        <v>923</v>
      </c>
      <c r="L250" s="556">
        <v>378.48</v>
      </c>
      <c r="M250" s="556">
        <v>378.48</v>
      </c>
      <c r="N250" s="553">
        <v>1</v>
      </c>
      <c r="O250" s="557">
        <v>1</v>
      </c>
      <c r="P250" s="556">
        <v>378.48</v>
      </c>
      <c r="Q250" s="558">
        <v>1</v>
      </c>
      <c r="R250" s="553">
        <v>1</v>
      </c>
      <c r="S250" s="558">
        <v>1</v>
      </c>
      <c r="T250" s="557">
        <v>1</v>
      </c>
      <c r="U250" s="559">
        <v>1</v>
      </c>
    </row>
    <row r="251" spans="1:21" ht="14.4" customHeight="1" x14ac:dyDescent="0.3">
      <c r="A251" s="552">
        <v>29</v>
      </c>
      <c r="B251" s="553" t="s">
        <v>469</v>
      </c>
      <c r="C251" s="553" t="s">
        <v>642</v>
      </c>
      <c r="D251" s="554" t="s">
        <v>1148</v>
      </c>
      <c r="E251" s="555" t="s">
        <v>652</v>
      </c>
      <c r="F251" s="553" t="s">
        <v>641</v>
      </c>
      <c r="G251" s="553" t="s">
        <v>791</v>
      </c>
      <c r="H251" s="553" t="s">
        <v>470</v>
      </c>
      <c r="I251" s="553" t="s">
        <v>1088</v>
      </c>
      <c r="J251" s="553" t="s">
        <v>1089</v>
      </c>
      <c r="K251" s="553" t="s">
        <v>1090</v>
      </c>
      <c r="L251" s="556">
        <v>378.48</v>
      </c>
      <c r="M251" s="556">
        <v>378.48</v>
      </c>
      <c r="N251" s="553">
        <v>1</v>
      </c>
      <c r="O251" s="557">
        <v>1</v>
      </c>
      <c r="P251" s="556">
        <v>378.48</v>
      </c>
      <c r="Q251" s="558">
        <v>1</v>
      </c>
      <c r="R251" s="553">
        <v>1</v>
      </c>
      <c r="S251" s="558">
        <v>1</v>
      </c>
      <c r="T251" s="557">
        <v>1</v>
      </c>
      <c r="U251" s="559">
        <v>1</v>
      </c>
    </row>
    <row r="252" spans="1:21" ht="14.4" customHeight="1" x14ac:dyDescent="0.3">
      <c r="A252" s="552">
        <v>29</v>
      </c>
      <c r="B252" s="553" t="s">
        <v>469</v>
      </c>
      <c r="C252" s="553" t="s">
        <v>642</v>
      </c>
      <c r="D252" s="554" t="s">
        <v>1148</v>
      </c>
      <c r="E252" s="555" t="s">
        <v>652</v>
      </c>
      <c r="F252" s="553" t="s">
        <v>641</v>
      </c>
      <c r="G252" s="553" t="s">
        <v>791</v>
      </c>
      <c r="H252" s="553" t="s">
        <v>470</v>
      </c>
      <c r="I252" s="553" t="s">
        <v>1091</v>
      </c>
      <c r="J252" s="553" t="s">
        <v>1092</v>
      </c>
      <c r="K252" s="553" t="s">
        <v>1093</v>
      </c>
      <c r="L252" s="556">
        <v>250</v>
      </c>
      <c r="M252" s="556">
        <v>250</v>
      </c>
      <c r="N252" s="553">
        <v>1</v>
      </c>
      <c r="O252" s="557">
        <v>1</v>
      </c>
      <c r="P252" s="556">
        <v>250</v>
      </c>
      <c r="Q252" s="558">
        <v>1</v>
      </c>
      <c r="R252" s="553">
        <v>1</v>
      </c>
      <c r="S252" s="558">
        <v>1</v>
      </c>
      <c r="T252" s="557">
        <v>1</v>
      </c>
      <c r="U252" s="559">
        <v>1</v>
      </c>
    </row>
    <row r="253" spans="1:21" ht="14.4" customHeight="1" x14ac:dyDescent="0.3">
      <c r="A253" s="552">
        <v>29</v>
      </c>
      <c r="B253" s="553" t="s">
        <v>469</v>
      </c>
      <c r="C253" s="553" t="s">
        <v>642</v>
      </c>
      <c r="D253" s="554" t="s">
        <v>1148</v>
      </c>
      <c r="E253" s="555" t="s">
        <v>652</v>
      </c>
      <c r="F253" s="553" t="s">
        <v>641</v>
      </c>
      <c r="G253" s="553" t="s">
        <v>791</v>
      </c>
      <c r="H253" s="553" t="s">
        <v>470</v>
      </c>
      <c r="I253" s="553" t="s">
        <v>1094</v>
      </c>
      <c r="J253" s="553" t="s">
        <v>1095</v>
      </c>
      <c r="K253" s="553"/>
      <c r="L253" s="556">
        <v>80.349999999999994</v>
      </c>
      <c r="M253" s="556">
        <v>80.349999999999994</v>
      </c>
      <c r="N253" s="553">
        <v>1</v>
      </c>
      <c r="O253" s="557">
        <v>1</v>
      </c>
      <c r="P253" s="556">
        <v>80.349999999999994</v>
      </c>
      <c r="Q253" s="558">
        <v>1</v>
      </c>
      <c r="R253" s="553">
        <v>1</v>
      </c>
      <c r="S253" s="558">
        <v>1</v>
      </c>
      <c r="T253" s="557">
        <v>1</v>
      </c>
      <c r="U253" s="559">
        <v>1</v>
      </c>
    </row>
    <row r="254" spans="1:21" ht="14.4" customHeight="1" x14ac:dyDescent="0.3">
      <c r="A254" s="552">
        <v>29</v>
      </c>
      <c r="B254" s="553" t="s">
        <v>469</v>
      </c>
      <c r="C254" s="553" t="s">
        <v>642</v>
      </c>
      <c r="D254" s="554" t="s">
        <v>1148</v>
      </c>
      <c r="E254" s="555" t="s">
        <v>652</v>
      </c>
      <c r="F254" s="553" t="s">
        <v>641</v>
      </c>
      <c r="G254" s="553" t="s">
        <v>791</v>
      </c>
      <c r="H254" s="553" t="s">
        <v>470</v>
      </c>
      <c r="I254" s="553" t="s">
        <v>1096</v>
      </c>
      <c r="J254" s="553" t="s">
        <v>1097</v>
      </c>
      <c r="K254" s="553" t="s">
        <v>1098</v>
      </c>
      <c r="L254" s="556">
        <v>350</v>
      </c>
      <c r="M254" s="556">
        <v>350</v>
      </c>
      <c r="N254" s="553">
        <v>1</v>
      </c>
      <c r="O254" s="557">
        <v>1</v>
      </c>
      <c r="P254" s="556"/>
      <c r="Q254" s="558">
        <v>0</v>
      </c>
      <c r="R254" s="553"/>
      <c r="S254" s="558">
        <v>0</v>
      </c>
      <c r="T254" s="557"/>
      <c r="U254" s="559">
        <v>0</v>
      </c>
    </row>
    <row r="255" spans="1:21" ht="14.4" customHeight="1" x14ac:dyDescent="0.3">
      <c r="A255" s="552">
        <v>29</v>
      </c>
      <c r="B255" s="553" t="s">
        <v>469</v>
      </c>
      <c r="C255" s="553" t="s">
        <v>642</v>
      </c>
      <c r="D255" s="554" t="s">
        <v>1148</v>
      </c>
      <c r="E255" s="555" t="s">
        <v>652</v>
      </c>
      <c r="F255" s="553" t="s">
        <v>641</v>
      </c>
      <c r="G255" s="553" t="s">
        <v>791</v>
      </c>
      <c r="H255" s="553" t="s">
        <v>470</v>
      </c>
      <c r="I255" s="553" t="s">
        <v>846</v>
      </c>
      <c r="J255" s="553" t="s">
        <v>847</v>
      </c>
      <c r="K255" s="553" t="s">
        <v>848</v>
      </c>
      <c r="L255" s="556">
        <v>195.56</v>
      </c>
      <c r="M255" s="556">
        <v>391.12</v>
      </c>
      <c r="N255" s="553">
        <v>2</v>
      </c>
      <c r="O255" s="557">
        <v>2</v>
      </c>
      <c r="P255" s="556"/>
      <c r="Q255" s="558">
        <v>0</v>
      </c>
      <c r="R255" s="553"/>
      <c r="S255" s="558">
        <v>0</v>
      </c>
      <c r="T255" s="557"/>
      <c r="U255" s="559">
        <v>0</v>
      </c>
    </row>
    <row r="256" spans="1:21" ht="14.4" customHeight="1" x14ac:dyDescent="0.3">
      <c r="A256" s="552">
        <v>29</v>
      </c>
      <c r="B256" s="553" t="s">
        <v>469</v>
      </c>
      <c r="C256" s="553" t="s">
        <v>642</v>
      </c>
      <c r="D256" s="554" t="s">
        <v>1148</v>
      </c>
      <c r="E256" s="555" t="s">
        <v>652</v>
      </c>
      <c r="F256" s="553" t="s">
        <v>641</v>
      </c>
      <c r="G256" s="553" t="s">
        <v>791</v>
      </c>
      <c r="H256" s="553" t="s">
        <v>470</v>
      </c>
      <c r="I256" s="553" t="s">
        <v>801</v>
      </c>
      <c r="J256" s="553" t="s">
        <v>802</v>
      </c>
      <c r="K256" s="553" t="s">
        <v>803</v>
      </c>
      <c r="L256" s="556">
        <v>250</v>
      </c>
      <c r="M256" s="556">
        <v>750</v>
      </c>
      <c r="N256" s="553">
        <v>3</v>
      </c>
      <c r="O256" s="557">
        <v>3</v>
      </c>
      <c r="P256" s="556">
        <v>250</v>
      </c>
      <c r="Q256" s="558">
        <v>0.33333333333333331</v>
      </c>
      <c r="R256" s="553">
        <v>1</v>
      </c>
      <c r="S256" s="558">
        <v>0.33333333333333331</v>
      </c>
      <c r="T256" s="557">
        <v>1</v>
      </c>
      <c r="U256" s="559">
        <v>0.33333333333333331</v>
      </c>
    </row>
    <row r="257" spans="1:21" ht="14.4" customHeight="1" x14ac:dyDescent="0.3">
      <c r="A257" s="552">
        <v>29</v>
      </c>
      <c r="B257" s="553" t="s">
        <v>469</v>
      </c>
      <c r="C257" s="553" t="s">
        <v>642</v>
      </c>
      <c r="D257" s="554" t="s">
        <v>1148</v>
      </c>
      <c r="E257" s="555" t="s">
        <v>652</v>
      </c>
      <c r="F257" s="553" t="s">
        <v>641</v>
      </c>
      <c r="G257" s="553" t="s">
        <v>791</v>
      </c>
      <c r="H257" s="553" t="s">
        <v>470</v>
      </c>
      <c r="I257" s="553" t="s">
        <v>1099</v>
      </c>
      <c r="J257" s="553" t="s">
        <v>1100</v>
      </c>
      <c r="K257" s="553" t="s">
        <v>1101</v>
      </c>
      <c r="L257" s="556">
        <v>300</v>
      </c>
      <c r="M257" s="556">
        <v>300</v>
      </c>
      <c r="N257" s="553">
        <v>1</v>
      </c>
      <c r="O257" s="557">
        <v>1</v>
      </c>
      <c r="P257" s="556">
        <v>300</v>
      </c>
      <c r="Q257" s="558">
        <v>1</v>
      </c>
      <c r="R257" s="553">
        <v>1</v>
      </c>
      <c r="S257" s="558">
        <v>1</v>
      </c>
      <c r="T257" s="557">
        <v>1</v>
      </c>
      <c r="U257" s="559">
        <v>1</v>
      </c>
    </row>
    <row r="258" spans="1:21" ht="14.4" customHeight="1" x14ac:dyDescent="0.3">
      <c r="A258" s="552">
        <v>29</v>
      </c>
      <c r="B258" s="553" t="s">
        <v>469</v>
      </c>
      <c r="C258" s="553" t="s">
        <v>642</v>
      </c>
      <c r="D258" s="554" t="s">
        <v>1148</v>
      </c>
      <c r="E258" s="555" t="s">
        <v>652</v>
      </c>
      <c r="F258" s="553" t="s">
        <v>641</v>
      </c>
      <c r="G258" s="553" t="s">
        <v>791</v>
      </c>
      <c r="H258" s="553" t="s">
        <v>470</v>
      </c>
      <c r="I258" s="553" t="s">
        <v>849</v>
      </c>
      <c r="J258" s="553" t="s">
        <v>850</v>
      </c>
      <c r="K258" s="553" t="s">
        <v>851</v>
      </c>
      <c r="L258" s="556">
        <v>45.52</v>
      </c>
      <c r="M258" s="556">
        <v>45.52</v>
      </c>
      <c r="N258" s="553">
        <v>1</v>
      </c>
      <c r="O258" s="557">
        <v>1</v>
      </c>
      <c r="P258" s="556">
        <v>45.52</v>
      </c>
      <c r="Q258" s="558">
        <v>1</v>
      </c>
      <c r="R258" s="553">
        <v>1</v>
      </c>
      <c r="S258" s="558">
        <v>1</v>
      </c>
      <c r="T258" s="557">
        <v>1</v>
      </c>
      <c r="U258" s="559">
        <v>1</v>
      </c>
    </row>
    <row r="259" spans="1:21" ht="14.4" customHeight="1" x14ac:dyDescent="0.3">
      <c r="A259" s="552">
        <v>29</v>
      </c>
      <c r="B259" s="553" t="s">
        <v>469</v>
      </c>
      <c r="C259" s="553" t="s">
        <v>642</v>
      </c>
      <c r="D259" s="554" t="s">
        <v>1148</v>
      </c>
      <c r="E259" s="555" t="s">
        <v>652</v>
      </c>
      <c r="F259" s="553" t="s">
        <v>641</v>
      </c>
      <c r="G259" s="553" t="s">
        <v>791</v>
      </c>
      <c r="H259" s="553" t="s">
        <v>470</v>
      </c>
      <c r="I259" s="553" t="s">
        <v>1102</v>
      </c>
      <c r="J259" s="553" t="s">
        <v>1103</v>
      </c>
      <c r="K259" s="553" t="s">
        <v>1104</v>
      </c>
      <c r="L259" s="556">
        <v>250</v>
      </c>
      <c r="M259" s="556">
        <v>250</v>
      </c>
      <c r="N259" s="553">
        <v>1</v>
      </c>
      <c r="O259" s="557">
        <v>1</v>
      </c>
      <c r="P259" s="556">
        <v>250</v>
      </c>
      <c r="Q259" s="558">
        <v>1</v>
      </c>
      <c r="R259" s="553">
        <v>1</v>
      </c>
      <c r="S259" s="558">
        <v>1</v>
      </c>
      <c r="T259" s="557">
        <v>1</v>
      </c>
      <c r="U259" s="559">
        <v>1</v>
      </c>
    </row>
    <row r="260" spans="1:21" ht="14.4" customHeight="1" x14ac:dyDescent="0.3">
      <c r="A260" s="552">
        <v>29</v>
      </c>
      <c r="B260" s="553" t="s">
        <v>469</v>
      </c>
      <c r="C260" s="553" t="s">
        <v>642</v>
      </c>
      <c r="D260" s="554" t="s">
        <v>1148</v>
      </c>
      <c r="E260" s="555" t="s">
        <v>652</v>
      </c>
      <c r="F260" s="553" t="s">
        <v>641</v>
      </c>
      <c r="G260" s="553" t="s">
        <v>813</v>
      </c>
      <c r="H260" s="553" t="s">
        <v>470</v>
      </c>
      <c r="I260" s="553" t="s">
        <v>814</v>
      </c>
      <c r="J260" s="553" t="s">
        <v>815</v>
      </c>
      <c r="K260" s="553" t="s">
        <v>816</v>
      </c>
      <c r="L260" s="556">
        <v>200</v>
      </c>
      <c r="M260" s="556">
        <v>200</v>
      </c>
      <c r="N260" s="553">
        <v>1</v>
      </c>
      <c r="O260" s="557">
        <v>1</v>
      </c>
      <c r="P260" s="556">
        <v>200</v>
      </c>
      <c r="Q260" s="558">
        <v>1</v>
      </c>
      <c r="R260" s="553">
        <v>1</v>
      </c>
      <c r="S260" s="558">
        <v>1</v>
      </c>
      <c r="T260" s="557">
        <v>1</v>
      </c>
      <c r="U260" s="559">
        <v>1</v>
      </c>
    </row>
    <row r="261" spans="1:21" ht="14.4" customHeight="1" x14ac:dyDescent="0.3">
      <c r="A261" s="552">
        <v>29</v>
      </c>
      <c r="B261" s="553" t="s">
        <v>469</v>
      </c>
      <c r="C261" s="553" t="s">
        <v>642</v>
      </c>
      <c r="D261" s="554" t="s">
        <v>1148</v>
      </c>
      <c r="E261" s="555" t="s">
        <v>652</v>
      </c>
      <c r="F261" s="553" t="s">
        <v>641</v>
      </c>
      <c r="G261" s="553" t="s">
        <v>864</v>
      </c>
      <c r="H261" s="553" t="s">
        <v>470</v>
      </c>
      <c r="I261" s="553" t="s">
        <v>865</v>
      </c>
      <c r="J261" s="553" t="s">
        <v>866</v>
      </c>
      <c r="K261" s="553"/>
      <c r="L261" s="556">
        <v>0</v>
      </c>
      <c r="M261" s="556">
        <v>0</v>
      </c>
      <c r="N261" s="553">
        <v>1</v>
      </c>
      <c r="O261" s="557">
        <v>1</v>
      </c>
      <c r="P261" s="556"/>
      <c r="Q261" s="558"/>
      <c r="R261" s="553"/>
      <c r="S261" s="558">
        <v>0</v>
      </c>
      <c r="T261" s="557"/>
      <c r="U261" s="559">
        <v>0</v>
      </c>
    </row>
    <row r="262" spans="1:21" ht="14.4" customHeight="1" x14ac:dyDescent="0.3">
      <c r="A262" s="552">
        <v>29</v>
      </c>
      <c r="B262" s="553" t="s">
        <v>469</v>
      </c>
      <c r="C262" s="553" t="s">
        <v>642</v>
      </c>
      <c r="D262" s="554" t="s">
        <v>1148</v>
      </c>
      <c r="E262" s="555" t="s">
        <v>653</v>
      </c>
      <c r="F262" s="553" t="s">
        <v>639</v>
      </c>
      <c r="G262" s="553" t="s">
        <v>654</v>
      </c>
      <c r="H262" s="553" t="s">
        <v>585</v>
      </c>
      <c r="I262" s="553" t="s">
        <v>655</v>
      </c>
      <c r="J262" s="553" t="s">
        <v>656</v>
      </c>
      <c r="K262" s="553" t="s">
        <v>657</v>
      </c>
      <c r="L262" s="556">
        <v>154.36000000000001</v>
      </c>
      <c r="M262" s="556">
        <v>617.44000000000005</v>
      </c>
      <c r="N262" s="553">
        <v>4</v>
      </c>
      <c r="O262" s="557">
        <v>4</v>
      </c>
      <c r="P262" s="556">
        <v>463.08000000000004</v>
      </c>
      <c r="Q262" s="558">
        <v>0.75</v>
      </c>
      <c r="R262" s="553">
        <v>3</v>
      </c>
      <c r="S262" s="558">
        <v>0.75</v>
      </c>
      <c r="T262" s="557">
        <v>3</v>
      </c>
      <c r="U262" s="559">
        <v>0.75</v>
      </c>
    </row>
    <row r="263" spans="1:21" ht="14.4" customHeight="1" x14ac:dyDescent="0.3">
      <c r="A263" s="552">
        <v>29</v>
      </c>
      <c r="B263" s="553" t="s">
        <v>469</v>
      </c>
      <c r="C263" s="553" t="s">
        <v>642</v>
      </c>
      <c r="D263" s="554" t="s">
        <v>1148</v>
      </c>
      <c r="E263" s="555" t="s">
        <v>653</v>
      </c>
      <c r="F263" s="553" t="s">
        <v>639</v>
      </c>
      <c r="G263" s="553" t="s">
        <v>654</v>
      </c>
      <c r="H263" s="553" t="s">
        <v>585</v>
      </c>
      <c r="I263" s="553" t="s">
        <v>1016</v>
      </c>
      <c r="J263" s="553" t="s">
        <v>1017</v>
      </c>
      <c r="K263" s="553" t="s">
        <v>1015</v>
      </c>
      <c r="L263" s="556">
        <v>145.02000000000001</v>
      </c>
      <c r="M263" s="556">
        <v>145.02000000000001</v>
      </c>
      <c r="N263" s="553">
        <v>1</v>
      </c>
      <c r="O263" s="557">
        <v>1</v>
      </c>
      <c r="P263" s="556"/>
      <c r="Q263" s="558">
        <v>0</v>
      </c>
      <c r="R263" s="553"/>
      <c r="S263" s="558">
        <v>0</v>
      </c>
      <c r="T263" s="557"/>
      <c r="U263" s="559">
        <v>0</v>
      </c>
    </row>
    <row r="264" spans="1:21" ht="14.4" customHeight="1" x14ac:dyDescent="0.3">
      <c r="A264" s="552">
        <v>29</v>
      </c>
      <c r="B264" s="553" t="s">
        <v>469</v>
      </c>
      <c r="C264" s="553" t="s">
        <v>642</v>
      </c>
      <c r="D264" s="554" t="s">
        <v>1148</v>
      </c>
      <c r="E264" s="555" t="s">
        <v>653</v>
      </c>
      <c r="F264" s="553" t="s">
        <v>639</v>
      </c>
      <c r="G264" s="553" t="s">
        <v>658</v>
      </c>
      <c r="H264" s="553" t="s">
        <v>470</v>
      </c>
      <c r="I264" s="553" t="s">
        <v>659</v>
      </c>
      <c r="J264" s="553" t="s">
        <v>660</v>
      </c>
      <c r="K264" s="553" t="s">
        <v>661</v>
      </c>
      <c r="L264" s="556">
        <v>0</v>
      </c>
      <c r="M264" s="556">
        <v>0</v>
      </c>
      <c r="N264" s="553">
        <v>2</v>
      </c>
      <c r="O264" s="557">
        <v>1</v>
      </c>
      <c r="P264" s="556">
        <v>0</v>
      </c>
      <c r="Q264" s="558"/>
      <c r="R264" s="553">
        <v>2</v>
      </c>
      <c r="S264" s="558">
        <v>1</v>
      </c>
      <c r="T264" s="557">
        <v>1</v>
      </c>
      <c r="U264" s="559">
        <v>1</v>
      </c>
    </row>
    <row r="265" spans="1:21" ht="14.4" customHeight="1" x14ac:dyDescent="0.3">
      <c r="A265" s="552">
        <v>29</v>
      </c>
      <c r="B265" s="553" t="s">
        <v>469</v>
      </c>
      <c r="C265" s="553" t="s">
        <v>642</v>
      </c>
      <c r="D265" s="554" t="s">
        <v>1148</v>
      </c>
      <c r="E265" s="555" t="s">
        <v>653</v>
      </c>
      <c r="F265" s="553" t="s">
        <v>639</v>
      </c>
      <c r="G265" s="553" t="s">
        <v>817</v>
      </c>
      <c r="H265" s="553" t="s">
        <v>470</v>
      </c>
      <c r="I265" s="553" t="s">
        <v>1105</v>
      </c>
      <c r="J265" s="553" t="s">
        <v>1106</v>
      </c>
      <c r="K265" s="553" t="s">
        <v>898</v>
      </c>
      <c r="L265" s="556">
        <v>85.27</v>
      </c>
      <c r="M265" s="556">
        <v>170.54</v>
      </c>
      <c r="N265" s="553">
        <v>2</v>
      </c>
      <c r="O265" s="557">
        <v>2</v>
      </c>
      <c r="P265" s="556">
        <v>85.27</v>
      </c>
      <c r="Q265" s="558">
        <v>0.5</v>
      </c>
      <c r="R265" s="553">
        <v>1</v>
      </c>
      <c r="S265" s="558">
        <v>0.5</v>
      </c>
      <c r="T265" s="557">
        <v>1</v>
      </c>
      <c r="U265" s="559">
        <v>0.5</v>
      </c>
    </row>
    <row r="266" spans="1:21" ht="14.4" customHeight="1" x14ac:dyDescent="0.3">
      <c r="A266" s="552">
        <v>29</v>
      </c>
      <c r="B266" s="553" t="s">
        <v>469</v>
      </c>
      <c r="C266" s="553" t="s">
        <v>642</v>
      </c>
      <c r="D266" s="554" t="s">
        <v>1148</v>
      </c>
      <c r="E266" s="555" t="s">
        <v>653</v>
      </c>
      <c r="F266" s="553" t="s">
        <v>639</v>
      </c>
      <c r="G266" s="553" t="s">
        <v>879</v>
      </c>
      <c r="H266" s="553" t="s">
        <v>470</v>
      </c>
      <c r="I266" s="553" t="s">
        <v>880</v>
      </c>
      <c r="J266" s="553" t="s">
        <v>881</v>
      </c>
      <c r="K266" s="553" t="s">
        <v>820</v>
      </c>
      <c r="L266" s="556">
        <v>78.33</v>
      </c>
      <c r="M266" s="556">
        <v>156.66</v>
      </c>
      <c r="N266" s="553">
        <v>2</v>
      </c>
      <c r="O266" s="557">
        <v>0.5</v>
      </c>
      <c r="P266" s="556">
        <v>156.66</v>
      </c>
      <c r="Q266" s="558">
        <v>1</v>
      </c>
      <c r="R266" s="553">
        <v>2</v>
      </c>
      <c r="S266" s="558">
        <v>1</v>
      </c>
      <c r="T266" s="557">
        <v>0.5</v>
      </c>
      <c r="U266" s="559">
        <v>1</v>
      </c>
    </row>
    <row r="267" spans="1:21" ht="14.4" customHeight="1" x14ac:dyDescent="0.3">
      <c r="A267" s="552">
        <v>29</v>
      </c>
      <c r="B267" s="553" t="s">
        <v>469</v>
      </c>
      <c r="C267" s="553" t="s">
        <v>642</v>
      </c>
      <c r="D267" s="554" t="s">
        <v>1148</v>
      </c>
      <c r="E267" s="555" t="s">
        <v>653</v>
      </c>
      <c r="F267" s="553" t="s">
        <v>639</v>
      </c>
      <c r="G267" s="553" t="s">
        <v>1018</v>
      </c>
      <c r="H267" s="553" t="s">
        <v>470</v>
      </c>
      <c r="I267" s="553" t="s">
        <v>1107</v>
      </c>
      <c r="J267" s="553" t="s">
        <v>1108</v>
      </c>
      <c r="K267" s="553" t="s">
        <v>1109</v>
      </c>
      <c r="L267" s="556">
        <v>72.64</v>
      </c>
      <c r="M267" s="556">
        <v>72.64</v>
      </c>
      <c r="N267" s="553">
        <v>1</v>
      </c>
      <c r="O267" s="557">
        <v>0.5</v>
      </c>
      <c r="P267" s="556">
        <v>72.64</v>
      </c>
      <c r="Q267" s="558">
        <v>1</v>
      </c>
      <c r="R267" s="553">
        <v>1</v>
      </c>
      <c r="S267" s="558">
        <v>1</v>
      </c>
      <c r="T267" s="557">
        <v>0.5</v>
      </c>
      <c r="U267" s="559">
        <v>1</v>
      </c>
    </row>
    <row r="268" spans="1:21" ht="14.4" customHeight="1" x14ac:dyDescent="0.3">
      <c r="A268" s="552">
        <v>29</v>
      </c>
      <c r="B268" s="553" t="s">
        <v>469</v>
      </c>
      <c r="C268" s="553" t="s">
        <v>642</v>
      </c>
      <c r="D268" s="554" t="s">
        <v>1148</v>
      </c>
      <c r="E268" s="555" t="s">
        <v>653</v>
      </c>
      <c r="F268" s="553" t="s">
        <v>639</v>
      </c>
      <c r="G268" s="553" t="s">
        <v>821</v>
      </c>
      <c r="H268" s="553" t="s">
        <v>470</v>
      </c>
      <c r="I268" s="553" t="s">
        <v>822</v>
      </c>
      <c r="J268" s="553" t="s">
        <v>823</v>
      </c>
      <c r="K268" s="553" t="s">
        <v>824</v>
      </c>
      <c r="L268" s="556">
        <v>110.28</v>
      </c>
      <c r="M268" s="556">
        <v>110.28</v>
      </c>
      <c r="N268" s="553">
        <v>1</v>
      </c>
      <c r="O268" s="557">
        <v>1</v>
      </c>
      <c r="P268" s="556"/>
      <c r="Q268" s="558">
        <v>0</v>
      </c>
      <c r="R268" s="553"/>
      <c r="S268" s="558">
        <v>0</v>
      </c>
      <c r="T268" s="557"/>
      <c r="U268" s="559">
        <v>0</v>
      </c>
    </row>
    <row r="269" spans="1:21" ht="14.4" customHeight="1" x14ac:dyDescent="0.3">
      <c r="A269" s="552">
        <v>29</v>
      </c>
      <c r="B269" s="553" t="s">
        <v>469</v>
      </c>
      <c r="C269" s="553" t="s">
        <v>642</v>
      </c>
      <c r="D269" s="554" t="s">
        <v>1148</v>
      </c>
      <c r="E269" s="555" t="s">
        <v>653</v>
      </c>
      <c r="F269" s="553" t="s">
        <v>639</v>
      </c>
      <c r="G269" s="553" t="s">
        <v>1110</v>
      </c>
      <c r="H269" s="553" t="s">
        <v>470</v>
      </c>
      <c r="I269" s="553" t="s">
        <v>1111</v>
      </c>
      <c r="J269" s="553" t="s">
        <v>1112</v>
      </c>
      <c r="K269" s="553" t="s">
        <v>1113</v>
      </c>
      <c r="L269" s="556">
        <v>0</v>
      </c>
      <c r="M269" s="556">
        <v>0</v>
      </c>
      <c r="N269" s="553">
        <v>1</v>
      </c>
      <c r="O269" s="557">
        <v>0.5</v>
      </c>
      <c r="P269" s="556"/>
      <c r="Q269" s="558"/>
      <c r="R269" s="553"/>
      <c r="S269" s="558">
        <v>0</v>
      </c>
      <c r="T269" s="557"/>
      <c r="U269" s="559">
        <v>0</v>
      </c>
    </row>
    <row r="270" spans="1:21" ht="14.4" customHeight="1" x14ac:dyDescent="0.3">
      <c r="A270" s="552">
        <v>29</v>
      </c>
      <c r="B270" s="553" t="s">
        <v>469</v>
      </c>
      <c r="C270" s="553" t="s">
        <v>642</v>
      </c>
      <c r="D270" s="554" t="s">
        <v>1148</v>
      </c>
      <c r="E270" s="555" t="s">
        <v>653</v>
      </c>
      <c r="F270" s="553" t="s">
        <v>639</v>
      </c>
      <c r="G270" s="553" t="s">
        <v>669</v>
      </c>
      <c r="H270" s="553" t="s">
        <v>470</v>
      </c>
      <c r="I270" s="553" t="s">
        <v>570</v>
      </c>
      <c r="J270" s="553" t="s">
        <v>571</v>
      </c>
      <c r="K270" s="553" t="s">
        <v>670</v>
      </c>
      <c r="L270" s="556">
        <v>48.09</v>
      </c>
      <c r="M270" s="556">
        <v>144.27000000000001</v>
      </c>
      <c r="N270" s="553">
        <v>3</v>
      </c>
      <c r="O270" s="557">
        <v>3</v>
      </c>
      <c r="P270" s="556"/>
      <c r="Q270" s="558">
        <v>0</v>
      </c>
      <c r="R270" s="553"/>
      <c r="S270" s="558">
        <v>0</v>
      </c>
      <c r="T270" s="557"/>
      <c r="U270" s="559">
        <v>0</v>
      </c>
    </row>
    <row r="271" spans="1:21" ht="14.4" customHeight="1" x14ac:dyDescent="0.3">
      <c r="A271" s="552">
        <v>29</v>
      </c>
      <c r="B271" s="553" t="s">
        <v>469</v>
      </c>
      <c r="C271" s="553" t="s">
        <v>642</v>
      </c>
      <c r="D271" s="554" t="s">
        <v>1148</v>
      </c>
      <c r="E271" s="555" t="s">
        <v>653</v>
      </c>
      <c r="F271" s="553" t="s">
        <v>639</v>
      </c>
      <c r="G271" s="553" t="s">
        <v>683</v>
      </c>
      <c r="H271" s="553" t="s">
        <v>470</v>
      </c>
      <c r="I271" s="553" t="s">
        <v>574</v>
      </c>
      <c r="J271" s="553" t="s">
        <v>575</v>
      </c>
      <c r="K271" s="553" t="s">
        <v>684</v>
      </c>
      <c r="L271" s="556">
        <v>36.97</v>
      </c>
      <c r="M271" s="556">
        <v>332.73</v>
      </c>
      <c r="N271" s="553">
        <v>9</v>
      </c>
      <c r="O271" s="557">
        <v>6.5</v>
      </c>
      <c r="P271" s="556">
        <v>221.82</v>
      </c>
      <c r="Q271" s="558">
        <v>0.66666666666666663</v>
      </c>
      <c r="R271" s="553">
        <v>6</v>
      </c>
      <c r="S271" s="558">
        <v>0.66666666666666663</v>
      </c>
      <c r="T271" s="557">
        <v>3.5</v>
      </c>
      <c r="U271" s="559">
        <v>0.53846153846153844</v>
      </c>
    </row>
    <row r="272" spans="1:21" ht="14.4" customHeight="1" x14ac:dyDescent="0.3">
      <c r="A272" s="552">
        <v>29</v>
      </c>
      <c r="B272" s="553" t="s">
        <v>469</v>
      </c>
      <c r="C272" s="553" t="s">
        <v>642</v>
      </c>
      <c r="D272" s="554" t="s">
        <v>1148</v>
      </c>
      <c r="E272" s="555" t="s">
        <v>653</v>
      </c>
      <c r="F272" s="553" t="s">
        <v>639</v>
      </c>
      <c r="G272" s="553" t="s">
        <v>1114</v>
      </c>
      <c r="H272" s="553" t="s">
        <v>470</v>
      </c>
      <c r="I272" s="553" t="s">
        <v>1115</v>
      </c>
      <c r="J272" s="553" t="s">
        <v>1116</v>
      </c>
      <c r="K272" s="553" t="s">
        <v>1117</v>
      </c>
      <c r="L272" s="556">
        <v>0</v>
      </c>
      <c r="M272" s="556">
        <v>0</v>
      </c>
      <c r="N272" s="553">
        <v>2</v>
      </c>
      <c r="O272" s="557">
        <v>1</v>
      </c>
      <c r="P272" s="556"/>
      <c r="Q272" s="558"/>
      <c r="R272" s="553"/>
      <c r="S272" s="558">
        <v>0</v>
      </c>
      <c r="T272" s="557"/>
      <c r="U272" s="559">
        <v>0</v>
      </c>
    </row>
    <row r="273" spans="1:21" ht="14.4" customHeight="1" x14ac:dyDescent="0.3">
      <c r="A273" s="552">
        <v>29</v>
      </c>
      <c r="B273" s="553" t="s">
        <v>469</v>
      </c>
      <c r="C273" s="553" t="s">
        <v>642</v>
      </c>
      <c r="D273" s="554" t="s">
        <v>1148</v>
      </c>
      <c r="E273" s="555" t="s">
        <v>653</v>
      </c>
      <c r="F273" s="553" t="s">
        <v>639</v>
      </c>
      <c r="G273" s="553" t="s">
        <v>956</v>
      </c>
      <c r="H273" s="553" t="s">
        <v>585</v>
      </c>
      <c r="I273" s="553" t="s">
        <v>957</v>
      </c>
      <c r="J273" s="553" t="s">
        <v>958</v>
      </c>
      <c r="K273" s="553" t="s">
        <v>959</v>
      </c>
      <c r="L273" s="556">
        <v>21.13</v>
      </c>
      <c r="M273" s="556">
        <v>42.26</v>
      </c>
      <c r="N273" s="553">
        <v>2</v>
      </c>
      <c r="O273" s="557">
        <v>1</v>
      </c>
      <c r="P273" s="556">
        <v>42.26</v>
      </c>
      <c r="Q273" s="558">
        <v>1</v>
      </c>
      <c r="R273" s="553">
        <v>2</v>
      </c>
      <c r="S273" s="558">
        <v>1</v>
      </c>
      <c r="T273" s="557">
        <v>1</v>
      </c>
      <c r="U273" s="559">
        <v>1</v>
      </c>
    </row>
    <row r="274" spans="1:21" ht="14.4" customHeight="1" x14ac:dyDescent="0.3">
      <c r="A274" s="552">
        <v>29</v>
      </c>
      <c r="B274" s="553" t="s">
        <v>469</v>
      </c>
      <c r="C274" s="553" t="s">
        <v>642</v>
      </c>
      <c r="D274" s="554" t="s">
        <v>1148</v>
      </c>
      <c r="E274" s="555" t="s">
        <v>653</v>
      </c>
      <c r="F274" s="553" t="s">
        <v>639</v>
      </c>
      <c r="G274" s="553" t="s">
        <v>689</v>
      </c>
      <c r="H274" s="553" t="s">
        <v>470</v>
      </c>
      <c r="I274" s="553" t="s">
        <v>578</v>
      </c>
      <c r="J274" s="553" t="s">
        <v>579</v>
      </c>
      <c r="K274" s="553" t="s">
        <v>580</v>
      </c>
      <c r="L274" s="556">
        <v>115.13</v>
      </c>
      <c r="M274" s="556">
        <v>230.26</v>
      </c>
      <c r="N274" s="553">
        <v>2</v>
      </c>
      <c r="O274" s="557">
        <v>1</v>
      </c>
      <c r="P274" s="556"/>
      <c r="Q274" s="558">
        <v>0</v>
      </c>
      <c r="R274" s="553"/>
      <c r="S274" s="558">
        <v>0</v>
      </c>
      <c r="T274" s="557"/>
      <c r="U274" s="559">
        <v>0</v>
      </c>
    </row>
    <row r="275" spans="1:21" ht="14.4" customHeight="1" x14ac:dyDescent="0.3">
      <c r="A275" s="552">
        <v>29</v>
      </c>
      <c r="B275" s="553" t="s">
        <v>469</v>
      </c>
      <c r="C275" s="553" t="s">
        <v>642</v>
      </c>
      <c r="D275" s="554" t="s">
        <v>1148</v>
      </c>
      <c r="E275" s="555" t="s">
        <v>653</v>
      </c>
      <c r="F275" s="553" t="s">
        <v>639</v>
      </c>
      <c r="G275" s="553" t="s">
        <v>690</v>
      </c>
      <c r="H275" s="553" t="s">
        <v>585</v>
      </c>
      <c r="I275" s="553" t="s">
        <v>1118</v>
      </c>
      <c r="J275" s="553" t="s">
        <v>834</v>
      </c>
      <c r="K275" s="553" t="s">
        <v>1045</v>
      </c>
      <c r="L275" s="556">
        <v>2309.36</v>
      </c>
      <c r="M275" s="556">
        <v>4618.72</v>
      </c>
      <c r="N275" s="553">
        <v>2</v>
      </c>
      <c r="O275" s="557">
        <v>2</v>
      </c>
      <c r="P275" s="556">
        <v>4618.72</v>
      </c>
      <c r="Q275" s="558">
        <v>1</v>
      </c>
      <c r="R275" s="553">
        <v>2</v>
      </c>
      <c r="S275" s="558">
        <v>1</v>
      </c>
      <c r="T275" s="557">
        <v>2</v>
      </c>
      <c r="U275" s="559">
        <v>1</v>
      </c>
    </row>
    <row r="276" spans="1:21" ht="14.4" customHeight="1" x14ac:dyDescent="0.3">
      <c r="A276" s="552">
        <v>29</v>
      </c>
      <c r="B276" s="553" t="s">
        <v>469</v>
      </c>
      <c r="C276" s="553" t="s">
        <v>642</v>
      </c>
      <c r="D276" s="554" t="s">
        <v>1148</v>
      </c>
      <c r="E276" s="555" t="s">
        <v>653</v>
      </c>
      <c r="F276" s="553" t="s">
        <v>639</v>
      </c>
      <c r="G276" s="553" t="s">
        <v>1119</v>
      </c>
      <c r="H276" s="553" t="s">
        <v>470</v>
      </c>
      <c r="I276" s="553" t="s">
        <v>1120</v>
      </c>
      <c r="J276" s="553" t="s">
        <v>1121</v>
      </c>
      <c r="K276" s="553" t="s">
        <v>1122</v>
      </c>
      <c r="L276" s="556">
        <v>0</v>
      </c>
      <c r="M276" s="556">
        <v>0</v>
      </c>
      <c r="N276" s="553">
        <v>2</v>
      </c>
      <c r="O276" s="557">
        <v>1</v>
      </c>
      <c r="P276" s="556"/>
      <c r="Q276" s="558"/>
      <c r="R276" s="553"/>
      <c r="S276" s="558">
        <v>0</v>
      </c>
      <c r="T276" s="557"/>
      <c r="U276" s="559">
        <v>0</v>
      </c>
    </row>
    <row r="277" spans="1:21" ht="14.4" customHeight="1" x14ac:dyDescent="0.3">
      <c r="A277" s="552">
        <v>29</v>
      </c>
      <c r="B277" s="553" t="s">
        <v>469</v>
      </c>
      <c r="C277" s="553" t="s">
        <v>642</v>
      </c>
      <c r="D277" s="554" t="s">
        <v>1148</v>
      </c>
      <c r="E277" s="555" t="s">
        <v>653</v>
      </c>
      <c r="F277" s="553" t="s">
        <v>639</v>
      </c>
      <c r="G277" s="553" t="s">
        <v>912</v>
      </c>
      <c r="H277" s="553" t="s">
        <v>585</v>
      </c>
      <c r="I277" s="553" t="s">
        <v>913</v>
      </c>
      <c r="J277" s="553" t="s">
        <v>914</v>
      </c>
      <c r="K277" s="553" t="s">
        <v>915</v>
      </c>
      <c r="L277" s="556">
        <v>28.81</v>
      </c>
      <c r="M277" s="556">
        <v>28.81</v>
      </c>
      <c r="N277" s="553">
        <v>1</v>
      </c>
      <c r="O277" s="557">
        <v>1</v>
      </c>
      <c r="P277" s="556">
        <v>28.81</v>
      </c>
      <c r="Q277" s="558">
        <v>1</v>
      </c>
      <c r="R277" s="553">
        <v>1</v>
      </c>
      <c r="S277" s="558">
        <v>1</v>
      </c>
      <c r="T277" s="557">
        <v>1</v>
      </c>
      <c r="U277" s="559">
        <v>1</v>
      </c>
    </row>
    <row r="278" spans="1:21" ht="14.4" customHeight="1" x14ac:dyDescent="0.3">
      <c r="A278" s="552">
        <v>29</v>
      </c>
      <c r="B278" s="553" t="s">
        <v>469</v>
      </c>
      <c r="C278" s="553" t="s">
        <v>642</v>
      </c>
      <c r="D278" s="554" t="s">
        <v>1148</v>
      </c>
      <c r="E278" s="555" t="s">
        <v>653</v>
      </c>
      <c r="F278" s="553" t="s">
        <v>639</v>
      </c>
      <c r="G278" s="553" t="s">
        <v>912</v>
      </c>
      <c r="H278" s="553" t="s">
        <v>585</v>
      </c>
      <c r="I278" s="553" t="s">
        <v>1123</v>
      </c>
      <c r="J278" s="553" t="s">
        <v>914</v>
      </c>
      <c r="K278" s="553" t="s">
        <v>1124</v>
      </c>
      <c r="L278" s="556">
        <v>102.93</v>
      </c>
      <c r="M278" s="556">
        <v>102.93</v>
      </c>
      <c r="N278" s="553">
        <v>1</v>
      </c>
      <c r="O278" s="557">
        <v>0.5</v>
      </c>
      <c r="P278" s="556"/>
      <c r="Q278" s="558">
        <v>0</v>
      </c>
      <c r="R278" s="553"/>
      <c r="S278" s="558">
        <v>0</v>
      </c>
      <c r="T278" s="557"/>
      <c r="U278" s="559">
        <v>0</v>
      </c>
    </row>
    <row r="279" spans="1:21" ht="14.4" customHeight="1" x14ac:dyDescent="0.3">
      <c r="A279" s="552">
        <v>29</v>
      </c>
      <c r="B279" s="553" t="s">
        <v>469</v>
      </c>
      <c r="C279" s="553" t="s">
        <v>642</v>
      </c>
      <c r="D279" s="554" t="s">
        <v>1148</v>
      </c>
      <c r="E279" s="555" t="s">
        <v>653</v>
      </c>
      <c r="F279" s="553" t="s">
        <v>639</v>
      </c>
      <c r="G279" s="553" t="s">
        <v>1125</v>
      </c>
      <c r="H279" s="553" t="s">
        <v>470</v>
      </c>
      <c r="I279" s="553" t="s">
        <v>1126</v>
      </c>
      <c r="J279" s="553" t="s">
        <v>1127</v>
      </c>
      <c r="K279" s="553" t="s">
        <v>977</v>
      </c>
      <c r="L279" s="556">
        <v>78.33</v>
      </c>
      <c r="M279" s="556">
        <v>78.33</v>
      </c>
      <c r="N279" s="553">
        <v>1</v>
      </c>
      <c r="O279" s="557">
        <v>0.5</v>
      </c>
      <c r="P279" s="556">
        <v>78.33</v>
      </c>
      <c r="Q279" s="558">
        <v>1</v>
      </c>
      <c r="R279" s="553">
        <v>1</v>
      </c>
      <c r="S279" s="558">
        <v>1</v>
      </c>
      <c r="T279" s="557">
        <v>0.5</v>
      </c>
      <c r="U279" s="559">
        <v>1</v>
      </c>
    </row>
    <row r="280" spans="1:21" ht="14.4" customHeight="1" x14ac:dyDescent="0.3">
      <c r="A280" s="552">
        <v>29</v>
      </c>
      <c r="B280" s="553" t="s">
        <v>469</v>
      </c>
      <c r="C280" s="553" t="s">
        <v>642</v>
      </c>
      <c r="D280" s="554" t="s">
        <v>1148</v>
      </c>
      <c r="E280" s="555" t="s">
        <v>653</v>
      </c>
      <c r="F280" s="553" t="s">
        <v>639</v>
      </c>
      <c r="G280" s="553" t="s">
        <v>706</v>
      </c>
      <c r="H280" s="553" t="s">
        <v>470</v>
      </c>
      <c r="I280" s="553" t="s">
        <v>1128</v>
      </c>
      <c r="J280" s="553" t="s">
        <v>708</v>
      </c>
      <c r="K280" s="553" t="s">
        <v>1129</v>
      </c>
      <c r="L280" s="556">
        <v>161.66</v>
      </c>
      <c r="M280" s="556">
        <v>161.66</v>
      </c>
      <c r="N280" s="553">
        <v>1</v>
      </c>
      <c r="O280" s="557">
        <v>1</v>
      </c>
      <c r="P280" s="556"/>
      <c r="Q280" s="558">
        <v>0</v>
      </c>
      <c r="R280" s="553"/>
      <c r="S280" s="558">
        <v>0</v>
      </c>
      <c r="T280" s="557"/>
      <c r="U280" s="559">
        <v>0</v>
      </c>
    </row>
    <row r="281" spans="1:21" ht="14.4" customHeight="1" x14ac:dyDescent="0.3">
      <c r="A281" s="552">
        <v>29</v>
      </c>
      <c r="B281" s="553" t="s">
        <v>469</v>
      </c>
      <c r="C281" s="553" t="s">
        <v>642</v>
      </c>
      <c r="D281" s="554" t="s">
        <v>1148</v>
      </c>
      <c r="E281" s="555" t="s">
        <v>653</v>
      </c>
      <c r="F281" s="553" t="s">
        <v>639</v>
      </c>
      <c r="G281" s="553" t="s">
        <v>719</v>
      </c>
      <c r="H281" s="553" t="s">
        <v>470</v>
      </c>
      <c r="I281" s="553" t="s">
        <v>620</v>
      </c>
      <c r="J281" s="553" t="s">
        <v>583</v>
      </c>
      <c r="K281" s="553" t="s">
        <v>720</v>
      </c>
      <c r="L281" s="556">
        <v>96.42</v>
      </c>
      <c r="M281" s="556">
        <v>96.42</v>
      </c>
      <c r="N281" s="553">
        <v>1</v>
      </c>
      <c r="O281" s="557">
        <v>1</v>
      </c>
      <c r="P281" s="556"/>
      <c r="Q281" s="558">
        <v>0</v>
      </c>
      <c r="R281" s="553"/>
      <c r="S281" s="558">
        <v>0</v>
      </c>
      <c r="T281" s="557"/>
      <c r="U281" s="559">
        <v>0</v>
      </c>
    </row>
    <row r="282" spans="1:21" ht="14.4" customHeight="1" x14ac:dyDescent="0.3">
      <c r="A282" s="552">
        <v>29</v>
      </c>
      <c r="B282" s="553" t="s">
        <v>469</v>
      </c>
      <c r="C282" s="553" t="s">
        <v>642</v>
      </c>
      <c r="D282" s="554" t="s">
        <v>1148</v>
      </c>
      <c r="E282" s="555" t="s">
        <v>653</v>
      </c>
      <c r="F282" s="553" t="s">
        <v>639</v>
      </c>
      <c r="G282" s="553" t="s">
        <v>719</v>
      </c>
      <c r="H282" s="553" t="s">
        <v>470</v>
      </c>
      <c r="I282" s="553" t="s">
        <v>582</v>
      </c>
      <c r="J282" s="553" t="s">
        <v>583</v>
      </c>
      <c r="K282" s="553" t="s">
        <v>721</v>
      </c>
      <c r="L282" s="556">
        <v>289.27</v>
      </c>
      <c r="M282" s="556">
        <v>2314.16</v>
      </c>
      <c r="N282" s="553">
        <v>8</v>
      </c>
      <c r="O282" s="557">
        <v>5</v>
      </c>
      <c r="P282" s="556">
        <v>867.81</v>
      </c>
      <c r="Q282" s="558">
        <v>0.375</v>
      </c>
      <c r="R282" s="553">
        <v>3</v>
      </c>
      <c r="S282" s="558">
        <v>0.375</v>
      </c>
      <c r="T282" s="557">
        <v>3</v>
      </c>
      <c r="U282" s="559">
        <v>0.6</v>
      </c>
    </row>
    <row r="283" spans="1:21" ht="14.4" customHeight="1" x14ac:dyDescent="0.3">
      <c r="A283" s="552">
        <v>29</v>
      </c>
      <c r="B283" s="553" t="s">
        <v>469</v>
      </c>
      <c r="C283" s="553" t="s">
        <v>642</v>
      </c>
      <c r="D283" s="554" t="s">
        <v>1148</v>
      </c>
      <c r="E283" s="555" t="s">
        <v>653</v>
      </c>
      <c r="F283" s="553" t="s">
        <v>639</v>
      </c>
      <c r="G283" s="553" t="s">
        <v>1130</v>
      </c>
      <c r="H283" s="553" t="s">
        <v>470</v>
      </c>
      <c r="I283" s="553" t="s">
        <v>1131</v>
      </c>
      <c r="J283" s="553" t="s">
        <v>1132</v>
      </c>
      <c r="K283" s="553" t="s">
        <v>1133</v>
      </c>
      <c r="L283" s="556">
        <v>186.27</v>
      </c>
      <c r="M283" s="556">
        <v>186.27</v>
      </c>
      <c r="N283" s="553">
        <v>1</v>
      </c>
      <c r="O283" s="557">
        <v>1</v>
      </c>
      <c r="P283" s="556">
        <v>186.27</v>
      </c>
      <c r="Q283" s="558">
        <v>1</v>
      </c>
      <c r="R283" s="553">
        <v>1</v>
      </c>
      <c r="S283" s="558">
        <v>1</v>
      </c>
      <c r="T283" s="557">
        <v>1</v>
      </c>
      <c r="U283" s="559">
        <v>1</v>
      </c>
    </row>
    <row r="284" spans="1:21" ht="14.4" customHeight="1" x14ac:dyDescent="0.3">
      <c r="A284" s="552">
        <v>29</v>
      </c>
      <c r="B284" s="553" t="s">
        <v>469</v>
      </c>
      <c r="C284" s="553" t="s">
        <v>642</v>
      </c>
      <c r="D284" s="554" t="s">
        <v>1148</v>
      </c>
      <c r="E284" s="555" t="s">
        <v>653</v>
      </c>
      <c r="F284" s="553" t="s">
        <v>639</v>
      </c>
      <c r="G284" s="553" t="s">
        <v>726</v>
      </c>
      <c r="H284" s="553" t="s">
        <v>470</v>
      </c>
      <c r="I284" s="553" t="s">
        <v>1134</v>
      </c>
      <c r="J284" s="553" t="s">
        <v>917</v>
      </c>
      <c r="K284" s="553" t="s">
        <v>1135</v>
      </c>
      <c r="L284" s="556">
        <v>0</v>
      </c>
      <c r="M284" s="556">
        <v>0</v>
      </c>
      <c r="N284" s="553">
        <v>1</v>
      </c>
      <c r="O284" s="557">
        <v>1</v>
      </c>
      <c r="P284" s="556">
        <v>0</v>
      </c>
      <c r="Q284" s="558"/>
      <c r="R284" s="553">
        <v>1</v>
      </c>
      <c r="S284" s="558">
        <v>1</v>
      </c>
      <c r="T284" s="557">
        <v>1</v>
      </c>
      <c r="U284" s="559">
        <v>1</v>
      </c>
    </row>
    <row r="285" spans="1:21" ht="14.4" customHeight="1" x14ac:dyDescent="0.3">
      <c r="A285" s="552">
        <v>29</v>
      </c>
      <c r="B285" s="553" t="s">
        <v>469</v>
      </c>
      <c r="C285" s="553" t="s">
        <v>642</v>
      </c>
      <c r="D285" s="554" t="s">
        <v>1148</v>
      </c>
      <c r="E285" s="555" t="s">
        <v>653</v>
      </c>
      <c r="F285" s="553" t="s">
        <v>639</v>
      </c>
      <c r="G285" s="553" t="s">
        <v>726</v>
      </c>
      <c r="H285" s="553" t="s">
        <v>470</v>
      </c>
      <c r="I285" s="553" t="s">
        <v>964</v>
      </c>
      <c r="J285" s="553" t="s">
        <v>728</v>
      </c>
      <c r="K285" s="553" t="s">
        <v>965</v>
      </c>
      <c r="L285" s="556">
        <v>25.07</v>
      </c>
      <c r="M285" s="556">
        <v>25.07</v>
      </c>
      <c r="N285" s="553">
        <v>1</v>
      </c>
      <c r="O285" s="557">
        <v>1</v>
      </c>
      <c r="P285" s="556">
        <v>25.07</v>
      </c>
      <c r="Q285" s="558">
        <v>1</v>
      </c>
      <c r="R285" s="553">
        <v>1</v>
      </c>
      <c r="S285" s="558">
        <v>1</v>
      </c>
      <c r="T285" s="557">
        <v>1</v>
      </c>
      <c r="U285" s="559">
        <v>1</v>
      </c>
    </row>
    <row r="286" spans="1:21" ht="14.4" customHeight="1" x14ac:dyDescent="0.3">
      <c r="A286" s="552">
        <v>29</v>
      </c>
      <c r="B286" s="553" t="s">
        <v>469</v>
      </c>
      <c r="C286" s="553" t="s">
        <v>642</v>
      </c>
      <c r="D286" s="554" t="s">
        <v>1148</v>
      </c>
      <c r="E286" s="555" t="s">
        <v>653</v>
      </c>
      <c r="F286" s="553" t="s">
        <v>641</v>
      </c>
      <c r="G286" s="553" t="s">
        <v>736</v>
      </c>
      <c r="H286" s="553" t="s">
        <v>470</v>
      </c>
      <c r="I286" s="553" t="s">
        <v>740</v>
      </c>
      <c r="J286" s="553" t="s">
        <v>738</v>
      </c>
      <c r="K286" s="553" t="s">
        <v>741</v>
      </c>
      <c r="L286" s="556">
        <v>175.15</v>
      </c>
      <c r="M286" s="556">
        <v>350.3</v>
      </c>
      <c r="N286" s="553">
        <v>2</v>
      </c>
      <c r="O286" s="557">
        <v>1</v>
      </c>
      <c r="P286" s="556">
        <v>350.3</v>
      </c>
      <c r="Q286" s="558">
        <v>1</v>
      </c>
      <c r="R286" s="553">
        <v>2</v>
      </c>
      <c r="S286" s="558">
        <v>1</v>
      </c>
      <c r="T286" s="557">
        <v>1</v>
      </c>
      <c r="U286" s="559">
        <v>1</v>
      </c>
    </row>
    <row r="287" spans="1:21" ht="14.4" customHeight="1" x14ac:dyDescent="0.3">
      <c r="A287" s="552">
        <v>29</v>
      </c>
      <c r="B287" s="553" t="s">
        <v>469</v>
      </c>
      <c r="C287" s="553" t="s">
        <v>642</v>
      </c>
      <c r="D287" s="554" t="s">
        <v>1148</v>
      </c>
      <c r="E287" s="555" t="s">
        <v>653</v>
      </c>
      <c r="F287" s="553" t="s">
        <v>641</v>
      </c>
      <c r="G287" s="553" t="s">
        <v>736</v>
      </c>
      <c r="H287" s="553" t="s">
        <v>470</v>
      </c>
      <c r="I287" s="553" t="s">
        <v>1136</v>
      </c>
      <c r="J287" s="553" t="s">
        <v>1137</v>
      </c>
      <c r="K287" s="553" t="s">
        <v>1138</v>
      </c>
      <c r="L287" s="556">
        <v>603.33000000000004</v>
      </c>
      <c r="M287" s="556">
        <v>1206.6600000000001</v>
      </c>
      <c r="N287" s="553">
        <v>2</v>
      </c>
      <c r="O287" s="557">
        <v>1</v>
      </c>
      <c r="P287" s="556"/>
      <c r="Q287" s="558">
        <v>0</v>
      </c>
      <c r="R287" s="553"/>
      <c r="S287" s="558">
        <v>0</v>
      </c>
      <c r="T287" s="557"/>
      <c r="U287" s="559">
        <v>0</v>
      </c>
    </row>
    <row r="288" spans="1:21" ht="14.4" customHeight="1" x14ac:dyDescent="0.3">
      <c r="A288" s="552">
        <v>29</v>
      </c>
      <c r="B288" s="553" t="s">
        <v>469</v>
      </c>
      <c r="C288" s="553" t="s">
        <v>642</v>
      </c>
      <c r="D288" s="554" t="s">
        <v>1148</v>
      </c>
      <c r="E288" s="555" t="s">
        <v>653</v>
      </c>
      <c r="F288" s="553" t="s">
        <v>641</v>
      </c>
      <c r="G288" s="553" t="s">
        <v>781</v>
      </c>
      <c r="H288" s="553" t="s">
        <v>470</v>
      </c>
      <c r="I288" s="553" t="s">
        <v>782</v>
      </c>
      <c r="J288" s="553" t="s">
        <v>783</v>
      </c>
      <c r="K288" s="553" t="s">
        <v>784</v>
      </c>
      <c r="L288" s="556">
        <v>410</v>
      </c>
      <c r="M288" s="556">
        <v>1640</v>
      </c>
      <c r="N288" s="553">
        <v>4</v>
      </c>
      <c r="O288" s="557">
        <v>4</v>
      </c>
      <c r="P288" s="556">
        <v>1640</v>
      </c>
      <c r="Q288" s="558">
        <v>1</v>
      </c>
      <c r="R288" s="553">
        <v>4</v>
      </c>
      <c r="S288" s="558">
        <v>1</v>
      </c>
      <c r="T288" s="557">
        <v>4</v>
      </c>
      <c r="U288" s="559">
        <v>1</v>
      </c>
    </row>
    <row r="289" spans="1:21" ht="14.4" customHeight="1" x14ac:dyDescent="0.3">
      <c r="A289" s="552">
        <v>29</v>
      </c>
      <c r="B289" s="553" t="s">
        <v>469</v>
      </c>
      <c r="C289" s="553" t="s">
        <v>642</v>
      </c>
      <c r="D289" s="554" t="s">
        <v>1148</v>
      </c>
      <c r="E289" s="555" t="s">
        <v>653</v>
      </c>
      <c r="F289" s="553" t="s">
        <v>641</v>
      </c>
      <c r="G289" s="553" t="s">
        <v>781</v>
      </c>
      <c r="H289" s="553" t="s">
        <v>470</v>
      </c>
      <c r="I289" s="553" t="s">
        <v>785</v>
      </c>
      <c r="J289" s="553" t="s">
        <v>786</v>
      </c>
      <c r="K289" s="553" t="s">
        <v>787</v>
      </c>
      <c r="L289" s="556">
        <v>566</v>
      </c>
      <c r="M289" s="556">
        <v>566</v>
      </c>
      <c r="N289" s="553">
        <v>1</v>
      </c>
      <c r="O289" s="557">
        <v>1</v>
      </c>
      <c r="P289" s="556"/>
      <c r="Q289" s="558">
        <v>0</v>
      </c>
      <c r="R289" s="553"/>
      <c r="S289" s="558">
        <v>0</v>
      </c>
      <c r="T289" s="557"/>
      <c r="U289" s="559">
        <v>0</v>
      </c>
    </row>
    <row r="290" spans="1:21" ht="14.4" customHeight="1" x14ac:dyDescent="0.3">
      <c r="A290" s="552">
        <v>29</v>
      </c>
      <c r="B290" s="553" t="s">
        <v>469</v>
      </c>
      <c r="C290" s="553" t="s">
        <v>642</v>
      </c>
      <c r="D290" s="554" t="s">
        <v>1148</v>
      </c>
      <c r="E290" s="555" t="s">
        <v>653</v>
      </c>
      <c r="F290" s="553" t="s">
        <v>641</v>
      </c>
      <c r="G290" s="553" t="s">
        <v>791</v>
      </c>
      <c r="H290" s="553" t="s">
        <v>470</v>
      </c>
      <c r="I290" s="553" t="s">
        <v>795</v>
      </c>
      <c r="J290" s="553" t="s">
        <v>796</v>
      </c>
      <c r="K290" s="553" t="s">
        <v>797</v>
      </c>
      <c r="L290" s="556">
        <v>338.94</v>
      </c>
      <c r="M290" s="556">
        <v>338.94</v>
      </c>
      <c r="N290" s="553">
        <v>1</v>
      </c>
      <c r="O290" s="557">
        <v>1</v>
      </c>
      <c r="P290" s="556">
        <v>338.94</v>
      </c>
      <c r="Q290" s="558">
        <v>1</v>
      </c>
      <c r="R290" s="553">
        <v>1</v>
      </c>
      <c r="S290" s="558">
        <v>1</v>
      </c>
      <c r="T290" s="557">
        <v>1</v>
      </c>
      <c r="U290" s="559">
        <v>1</v>
      </c>
    </row>
    <row r="291" spans="1:21" ht="14.4" customHeight="1" x14ac:dyDescent="0.3">
      <c r="A291" s="552">
        <v>29</v>
      </c>
      <c r="B291" s="553" t="s">
        <v>469</v>
      </c>
      <c r="C291" s="553" t="s">
        <v>642</v>
      </c>
      <c r="D291" s="554" t="s">
        <v>1148</v>
      </c>
      <c r="E291" s="555" t="s">
        <v>653</v>
      </c>
      <c r="F291" s="553" t="s">
        <v>641</v>
      </c>
      <c r="G291" s="553" t="s">
        <v>791</v>
      </c>
      <c r="H291" s="553" t="s">
        <v>470</v>
      </c>
      <c r="I291" s="553" t="s">
        <v>843</v>
      </c>
      <c r="J291" s="553" t="s">
        <v>844</v>
      </c>
      <c r="K291" s="553" t="s">
        <v>845</v>
      </c>
      <c r="L291" s="556">
        <v>409.87</v>
      </c>
      <c r="M291" s="556">
        <v>819.74</v>
      </c>
      <c r="N291" s="553">
        <v>2</v>
      </c>
      <c r="O291" s="557">
        <v>2</v>
      </c>
      <c r="P291" s="556">
        <v>819.74</v>
      </c>
      <c r="Q291" s="558">
        <v>1</v>
      </c>
      <c r="R291" s="553">
        <v>2</v>
      </c>
      <c r="S291" s="558">
        <v>1</v>
      </c>
      <c r="T291" s="557">
        <v>2</v>
      </c>
      <c r="U291" s="559">
        <v>1</v>
      </c>
    </row>
    <row r="292" spans="1:21" ht="14.4" customHeight="1" x14ac:dyDescent="0.3">
      <c r="A292" s="552">
        <v>29</v>
      </c>
      <c r="B292" s="553" t="s">
        <v>469</v>
      </c>
      <c r="C292" s="553" t="s">
        <v>642</v>
      </c>
      <c r="D292" s="554" t="s">
        <v>1148</v>
      </c>
      <c r="E292" s="555" t="s">
        <v>653</v>
      </c>
      <c r="F292" s="553" t="s">
        <v>641</v>
      </c>
      <c r="G292" s="553" t="s">
        <v>791</v>
      </c>
      <c r="H292" s="553" t="s">
        <v>470</v>
      </c>
      <c r="I292" s="553" t="s">
        <v>1139</v>
      </c>
      <c r="J292" s="553" t="s">
        <v>1140</v>
      </c>
      <c r="K292" s="553" t="s">
        <v>1141</v>
      </c>
      <c r="L292" s="556">
        <v>1600</v>
      </c>
      <c r="M292" s="556">
        <v>1600</v>
      </c>
      <c r="N292" s="553">
        <v>1</v>
      </c>
      <c r="O292" s="557">
        <v>1</v>
      </c>
      <c r="P292" s="556">
        <v>1600</v>
      </c>
      <c r="Q292" s="558">
        <v>1</v>
      </c>
      <c r="R292" s="553">
        <v>1</v>
      </c>
      <c r="S292" s="558">
        <v>1</v>
      </c>
      <c r="T292" s="557">
        <v>1</v>
      </c>
      <c r="U292" s="559">
        <v>1</v>
      </c>
    </row>
    <row r="293" spans="1:21" ht="14.4" customHeight="1" x14ac:dyDescent="0.3">
      <c r="A293" s="552">
        <v>29</v>
      </c>
      <c r="B293" s="553" t="s">
        <v>469</v>
      </c>
      <c r="C293" s="553" t="s">
        <v>642</v>
      </c>
      <c r="D293" s="554" t="s">
        <v>1148</v>
      </c>
      <c r="E293" s="555" t="s">
        <v>653</v>
      </c>
      <c r="F293" s="553" t="s">
        <v>641</v>
      </c>
      <c r="G293" s="553" t="s">
        <v>791</v>
      </c>
      <c r="H293" s="553" t="s">
        <v>470</v>
      </c>
      <c r="I293" s="553" t="s">
        <v>849</v>
      </c>
      <c r="J293" s="553" t="s">
        <v>850</v>
      </c>
      <c r="K293" s="553" t="s">
        <v>851</v>
      </c>
      <c r="L293" s="556">
        <v>45.52</v>
      </c>
      <c r="M293" s="556">
        <v>45.52</v>
      </c>
      <c r="N293" s="553">
        <v>1</v>
      </c>
      <c r="O293" s="557">
        <v>1</v>
      </c>
      <c r="P293" s="556">
        <v>45.52</v>
      </c>
      <c r="Q293" s="558">
        <v>1</v>
      </c>
      <c r="R293" s="553">
        <v>1</v>
      </c>
      <c r="S293" s="558">
        <v>1</v>
      </c>
      <c r="T293" s="557">
        <v>1</v>
      </c>
      <c r="U293" s="559">
        <v>1</v>
      </c>
    </row>
    <row r="294" spans="1:21" ht="14.4" customHeight="1" x14ac:dyDescent="0.3">
      <c r="A294" s="552">
        <v>29</v>
      </c>
      <c r="B294" s="553" t="s">
        <v>469</v>
      </c>
      <c r="C294" s="553" t="s">
        <v>642</v>
      </c>
      <c r="D294" s="554" t="s">
        <v>1148</v>
      </c>
      <c r="E294" s="555" t="s">
        <v>653</v>
      </c>
      <c r="F294" s="553" t="s">
        <v>641</v>
      </c>
      <c r="G294" s="553" t="s">
        <v>791</v>
      </c>
      <c r="H294" s="553" t="s">
        <v>470</v>
      </c>
      <c r="I294" s="553" t="s">
        <v>852</v>
      </c>
      <c r="J294" s="553" t="s">
        <v>853</v>
      </c>
      <c r="K294" s="553" t="s">
        <v>854</v>
      </c>
      <c r="L294" s="556">
        <v>999.78</v>
      </c>
      <c r="M294" s="556">
        <v>999.78</v>
      </c>
      <c r="N294" s="553">
        <v>1</v>
      </c>
      <c r="O294" s="557">
        <v>1</v>
      </c>
      <c r="P294" s="556"/>
      <c r="Q294" s="558">
        <v>0</v>
      </c>
      <c r="R294" s="553"/>
      <c r="S294" s="558">
        <v>0</v>
      </c>
      <c r="T294" s="557"/>
      <c r="U294" s="559">
        <v>0</v>
      </c>
    </row>
    <row r="295" spans="1:21" ht="14.4" customHeight="1" x14ac:dyDescent="0.3">
      <c r="A295" s="552">
        <v>29</v>
      </c>
      <c r="B295" s="553" t="s">
        <v>469</v>
      </c>
      <c r="C295" s="553" t="s">
        <v>642</v>
      </c>
      <c r="D295" s="554" t="s">
        <v>1148</v>
      </c>
      <c r="E295" s="555" t="s">
        <v>653</v>
      </c>
      <c r="F295" s="553" t="s">
        <v>641</v>
      </c>
      <c r="G295" s="553" t="s">
        <v>791</v>
      </c>
      <c r="H295" s="553" t="s">
        <v>470</v>
      </c>
      <c r="I295" s="553" t="s">
        <v>1142</v>
      </c>
      <c r="J295" s="553" t="s">
        <v>1143</v>
      </c>
      <c r="K295" s="553" t="s">
        <v>1144</v>
      </c>
      <c r="L295" s="556">
        <v>383</v>
      </c>
      <c r="M295" s="556">
        <v>383</v>
      </c>
      <c r="N295" s="553">
        <v>1</v>
      </c>
      <c r="O295" s="557">
        <v>1</v>
      </c>
      <c r="P295" s="556"/>
      <c r="Q295" s="558">
        <v>0</v>
      </c>
      <c r="R295" s="553"/>
      <c r="S295" s="558">
        <v>0</v>
      </c>
      <c r="T295" s="557"/>
      <c r="U295" s="559">
        <v>0</v>
      </c>
    </row>
    <row r="296" spans="1:21" ht="14.4" customHeight="1" thickBot="1" x14ac:dyDescent="0.35">
      <c r="A296" s="560">
        <v>29</v>
      </c>
      <c r="B296" s="561" t="s">
        <v>469</v>
      </c>
      <c r="C296" s="561" t="s">
        <v>642</v>
      </c>
      <c r="D296" s="562" t="s">
        <v>1148</v>
      </c>
      <c r="E296" s="563" t="s">
        <v>653</v>
      </c>
      <c r="F296" s="561" t="s">
        <v>641</v>
      </c>
      <c r="G296" s="561" t="s">
        <v>791</v>
      </c>
      <c r="H296" s="561" t="s">
        <v>470</v>
      </c>
      <c r="I296" s="561" t="s">
        <v>1145</v>
      </c>
      <c r="J296" s="561" t="s">
        <v>1146</v>
      </c>
      <c r="K296" s="561" t="s">
        <v>1147</v>
      </c>
      <c r="L296" s="564">
        <v>318.76</v>
      </c>
      <c r="M296" s="564">
        <v>318.76</v>
      </c>
      <c r="N296" s="561">
        <v>1</v>
      </c>
      <c r="O296" s="565">
        <v>1</v>
      </c>
      <c r="P296" s="564"/>
      <c r="Q296" s="566">
        <v>0</v>
      </c>
      <c r="R296" s="561"/>
      <c r="S296" s="566">
        <v>0</v>
      </c>
      <c r="T296" s="565"/>
      <c r="U296" s="56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1150</v>
      </c>
      <c r="B1" s="368"/>
      <c r="C1" s="368"/>
      <c r="D1" s="368"/>
      <c r="E1" s="368"/>
      <c r="F1" s="368"/>
    </row>
    <row r="2" spans="1:6" ht="14.4" customHeight="1" thickBot="1" x14ac:dyDescent="0.35">
      <c r="A2" s="240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68" t="s">
        <v>171</v>
      </c>
      <c r="B4" s="483" t="s">
        <v>14</v>
      </c>
      <c r="C4" s="484" t="s">
        <v>2</v>
      </c>
      <c r="D4" s="483" t="s">
        <v>14</v>
      </c>
      <c r="E4" s="484" t="s">
        <v>2</v>
      </c>
      <c r="F4" s="485" t="s">
        <v>14</v>
      </c>
    </row>
    <row r="5" spans="1:6" ht="14.4" customHeight="1" x14ac:dyDescent="0.3">
      <c r="A5" s="577" t="s">
        <v>652</v>
      </c>
      <c r="B5" s="119">
        <v>107.86</v>
      </c>
      <c r="C5" s="551">
        <v>1.782515286729466E-2</v>
      </c>
      <c r="D5" s="119">
        <v>5943.1400000000012</v>
      </c>
      <c r="E5" s="551">
        <v>0.98217484713270542</v>
      </c>
      <c r="F5" s="569">
        <v>6051.0000000000009</v>
      </c>
    </row>
    <row r="6" spans="1:6" ht="14.4" customHeight="1" x14ac:dyDescent="0.3">
      <c r="A6" s="578" t="s">
        <v>651</v>
      </c>
      <c r="B6" s="570"/>
      <c r="C6" s="558">
        <v>0</v>
      </c>
      <c r="D6" s="570">
        <v>462.34000000000003</v>
      </c>
      <c r="E6" s="558">
        <v>1</v>
      </c>
      <c r="F6" s="571">
        <v>462.34000000000003</v>
      </c>
    </row>
    <row r="7" spans="1:6" ht="14.4" customHeight="1" x14ac:dyDescent="0.3">
      <c r="A7" s="578" t="s">
        <v>647</v>
      </c>
      <c r="B7" s="570"/>
      <c r="C7" s="558">
        <v>0</v>
      </c>
      <c r="D7" s="570">
        <v>5539.130000000001</v>
      </c>
      <c r="E7" s="558">
        <v>1</v>
      </c>
      <c r="F7" s="571">
        <v>5539.130000000001</v>
      </c>
    </row>
    <row r="8" spans="1:6" ht="14.4" customHeight="1" x14ac:dyDescent="0.3">
      <c r="A8" s="578" t="s">
        <v>648</v>
      </c>
      <c r="B8" s="570"/>
      <c r="C8" s="558">
        <v>0</v>
      </c>
      <c r="D8" s="570">
        <v>2172.37</v>
      </c>
      <c r="E8" s="558">
        <v>1</v>
      </c>
      <c r="F8" s="571">
        <v>2172.37</v>
      </c>
    </row>
    <row r="9" spans="1:6" ht="14.4" customHeight="1" x14ac:dyDescent="0.3">
      <c r="A9" s="578" t="s">
        <v>653</v>
      </c>
      <c r="B9" s="570">
        <v>0</v>
      </c>
      <c r="C9" s="558">
        <v>0</v>
      </c>
      <c r="D9" s="570">
        <v>5555.18</v>
      </c>
      <c r="E9" s="558">
        <v>1</v>
      </c>
      <c r="F9" s="571">
        <v>5555.18</v>
      </c>
    </row>
    <row r="10" spans="1:6" ht="14.4" customHeight="1" x14ac:dyDescent="0.3">
      <c r="A10" s="578" t="s">
        <v>649</v>
      </c>
      <c r="B10" s="570"/>
      <c r="C10" s="558">
        <v>0</v>
      </c>
      <c r="D10" s="570">
        <v>1801.6999999999998</v>
      </c>
      <c r="E10" s="558">
        <v>1</v>
      </c>
      <c r="F10" s="571">
        <v>1801.6999999999998</v>
      </c>
    </row>
    <row r="11" spans="1:6" ht="14.4" customHeight="1" thickBot="1" x14ac:dyDescent="0.35">
      <c r="A11" s="579" t="s">
        <v>650</v>
      </c>
      <c r="B11" s="574"/>
      <c r="C11" s="575">
        <v>0</v>
      </c>
      <c r="D11" s="574">
        <v>196.62</v>
      </c>
      <c r="E11" s="575">
        <v>1</v>
      </c>
      <c r="F11" s="576">
        <v>196.62</v>
      </c>
    </row>
    <row r="12" spans="1:6" ht="14.4" customHeight="1" thickBot="1" x14ac:dyDescent="0.35">
      <c r="A12" s="492" t="s">
        <v>3</v>
      </c>
      <c r="B12" s="493">
        <v>107.86</v>
      </c>
      <c r="C12" s="494">
        <v>4.9526272433987155E-3</v>
      </c>
      <c r="D12" s="493">
        <v>21670.480000000003</v>
      </c>
      <c r="E12" s="494">
        <v>0.99504737275660127</v>
      </c>
      <c r="F12" s="495">
        <v>21778.340000000004</v>
      </c>
    </row>
    <row r="13" spans="1:6" ht="14.4" customHeight="1" thickBot="1" x14ac:dyDescent="0.35"/>
    <row r="14" spans="1:6" ht="14.4" customHeight="1" x14ac:dyDescent="0.3">
      <c r="A14" s="577" t="s">
        <v>1151</v>
      </c>
      <c r="B14" s="119">
        <v>107.86</v>
      </c>
      <c r="C14" s="551">
        <v>1.8985692961951163E-2</v>
      </c>
      <c r="D14" s="119">
        <v>5573.2600000000011</v>
      </c>
      <c r="E14" s="551">
        <v>0.98101430703804893</v>
      </c>
      <c r="F14" s="569">
        <v>5681.1200000000008</v>
      </c>
    </row>
    <row r="15" spans="1:6" ht="14.4" customHeight="1" x14ac:dyDescent="0.3">
      <c r="A15" s="578" t="s">
        <v>1152</v>
      </c>
      <c r="B15" s="570"/>
      <c r="C15" s="558">
        <v>0</v>
      </c>
      <c r="D15" s="570">
        <v>143.64000000000001</v>
      </c>
      <c r="E15" s="558">
        <v>1</v>
      </c>
      <c r="F15" s="571">
        <v>143.64000000000001</v>
      </c>
    </row>
    <row r="16" spans="1:6" ht="14.4" customHeight="1" x14ac:dyDescent="0.3">
      <c r="A16" s="578" t="s">
        <v>1153</v>
      </c>
      <c r="B16" s="570">
        <v>0</v>
      </c>
      <c r="C16" s="558"/>
      <c r="D16" s="570"/>
      <c r="E16" s="558"/>
      <c r="F16" s="571">
        <v>0</v>
      </c>
    </row>
    <row r="17" spans="1:6" ht="14.4" customHeight="1" x14ac:dyDescent="0.3">
      <c r="A17" s="578" t="s">
        <v>1154</v>
      </c>
      <c r="B17" s="570"/>
      <c r="C17" s="558">
        <v>0</v>
      </c>
      <c r="D17" s="570">
        <v>200.45999999999998</v>
      </c>
      <c r="E17" s="558">
        <v>1</v>
      </c>
      <c r="F17" s="571">
        <v>200.45999999999998</v>
      </c>
    </row>
    <row r="18" spans="1:6" ht="14.4" customHeight="1" x14ac:dyDescent="0.3">
      <c r="A18" s="578" t="s">
        <v>1155</v>
      </c>
      <c r="B18" s="570"/>
      <c r="C18" s="558">
        <v>0</v>
      </c>
      <c r="D18" s="570">
        <v>15.61</v>
      </c>
      <c r="E18" s="558">
        <v>1</v>
      </c>
      <c r="F18" s="571">
        <v>15.61</v>
      </c>
    </row>
    <row r="19" spans="1:6" ht="14.4" customHeight="1" x14ac:dyDescent="0.3">
      <c r="A19" s="578" t="s">
        <v>1156</v>
      </c>
      <c r="B19" s="570"/>
      <c r="C19" s="558">
        <v>0</v>
      </c>
      <c r="D19" s="570">
        <v>682.08</v>
      </c>
      <c r="E19" s="558">
        <v>1</v>
      </c>
      <c r="F19" s="571">
        <v>682.08</v>
      </c>
    </row>
    <row r="20" spans="1:6" ht="14.4" customHeight="1" x14ac:dyDescent="0.3">
      <c r="A20" s="578" t="s">
        <v>1157</v>
      </c>
      <c r="B20" s="570"/>
      <c r="C20" s="558">
        <v>0</v>
      </c>
      <c r="D20" s="570">
        <v>291.82</v>
      </c>
      <c r="E20" s="558">
        <v>1</v>
      </c>
      <c r="F20" s="571">
        <v>291.82</v>
      </c>
    </row>
    <row r="21" spans="1:6" ht="14.4" customHeight="1" x14ac:dyDescent="0.3">
      <c r="A21" s="578" t="s">
        <v>1158</v>
      </c>
      <c r="B21" s="570"/>
      <c r="C21" s="558">
        <v>0</v>
      </c>
      <c r="D21" s="570">
        <v>883.86</v>
      </c>
      <c r="E21" s="558">
        <v>1</v>
      </c>
      <c r="F21" s="571">
        <v>883.86</v>
      </c>
    </row>
    <row r="22" spans="1:6" ht="14.4" customHeight="1" x14ac:dyDescent="0.3">
      <c r="A22" s="578" t="s">
        <v>1159</v>
      </c>
      <c r="B22" s="570"/>
      <c r="C22" s="558">
        <v>0</v>
      </c>
      <c r="D22" s="570">
        <v>366.53</v>
      </c>
      <c r="E22" s="558">
        <v>1</v>
      </c>
      <c r="F22" s="571">
        <v>366.53</v>
      </c>
    </row>
    <row r="23" spans="1:6" ht="14.4" customHeight="1" x14ac:dyDescent="0.3">
      <c r="A23" s="578" t="s">
        <v>1160</v>
      </c>
      <c r="B23" s="570"/>
      <c r="C23" s="558">
        <v>0</v>
      </c>
      <c r="D23" s="570">
        <v>193.68</v>
      </c>
      <c r="E23" s="558">
        <v>1</v>
      </c>
      <c r="F23" s="571">
        <v>193.68</v>
      </c>
    </row>
    <row r="24" spans="1:6" ht="14.4" customHeight="1" x14ac:dyDescent="0.3">
      <c r="A24" s="578" t="s">
        <v>1161</v>
      </c>
      <c r="B24" s="570"/>
      <c r="C24" s="558">
        <v>0</v>
      </c>
      <c r="D24" s="570">
        <v>84.52</v>
      </c>
      <c r="E24" s="558">
        <v>1</v>
      </c>
      <c r="F24" s="571">
        <v>84.52</v>
      </c>
    </row>
    <row r="25" spans="1:6" ht="14.4" customHeight="1" x14ac:dyDescent="0.3">
      <c r="A25" s="578" t="s">
        <v>1162</v>
      </c>
      <c r="B25" s="570"/>
      <c r="C25" s="558">
        <v>0</v>
      </c>
      <c r="D25" s="570">
        <v>13027.619999999999</v>
      </c>
      <c r="E25" s="558">
        <v>1</v>
      </c>
      <c r="F25" s="571">
        <v>13027.619999999999</v>
      </c>
    </row>
    <row r="26" spans="1:6" ht="14.4" customHeight="1" thickBot="1" x14ac:dyDescent="0.35">
      <c r="A26" s="579" t="s">
        <v>1163</v>
      </c>
      <c r="B26" s="574"/>
      <c r="C26" s="575">
        <v>0</v>
      </c>
      <c r="D26" s="574">
        <v>207.4</v>
      </c>
      <c r="E26" s="575">
        <v>1</v>
      </c>
      <c r="F26" s="576">
        <v>207.4</v>
      </c>
    </row>
    <row r="27" spans="1:6" ht="14.4" customHeight="1" thickBot="1" x14ac:dyDescent="0.35">
      <c r="A27" s="492" t="s">
        <v>3</v>
      </c>
      <c r="B27" s="493">
        <v>107.86</v>
      </c>
      <c r="C27" s="494">
        <v>4.9526272433987155E-3</v>
      </c>
      <c r="D27" s="493">
        <v>21670.480000000003</v>
      </c>
      <c r="E27" s="494">
        <v>0.99504737275660127</v>
      </c>
      <c r="F27" s="495">
        <v>21778.340000000004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{6B442148-7B14-490A-839A-897EA152FC6B}</x14:id>
        </ext>
      </extLst>
    </cfRule>
  </conditionalFormatting>
  <conditionalFormatting sqref="F14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{09024114-5127-4C53-A48C-69A198696139}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442148-7B14-490A-839A-897EA152FC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09024114-5127-4C53-A48C-69A1986961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2" customWidth="1"/>
    <col min="7" max="7" width="10" style="212" customWidth="1"/>
    <col min="8" max="8" width="6.77734375" style="215" customWidth="1"/>
    <col min="9" max="9" width="6.6640625" style="212" customWidth="1"/>
    <col min="10" max="10" width="10" style="212" customWidth="1"/>
    <col min="11" max="11" width="6.77734375" style="215" customWidth="1"/>
    <col min="12" max="12" width="6.6640625" style="212" customWidth="1"/>
    <col min="13" max="13" width="10" style="212" customWidth="1"/>
    <col min="14" max="16384" width="8.88671875" style="133"/>
  </cols>
  <sheetData>
    <row r="1" spans="1:13" ht="18.600000000000001" customHeight="1" thickBot="1" x14ac:dyDescent="0.4">
      <c r="A1" s="368" t="s">
        <v>1177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40" t="s">
        <v>286</v>
      </c>
      <c r="B2" s="211"/>
      <c r="C2" s="211"/>
      <c r="D2" s="211"/>
      <c r="E2" s="211"/>
      <c r="F2" s="219"/>
      <c r="G2" s="219"/>
      <c r="H2" s="220"/>
      <c r="I2" s="219"/>
      <c r="J2" s="219"/>
      <c r="K2" s="220"/>
      <c r="L2" s="219"/>
    </row>
    <row r="3" spans="1:13" ht="14.4" customHeight="1" thickBot="1" x14ac:dyDescent="0.35">
      <c r="E3" s="79" t="s">
        <v>132</v>
      </c>
      <c r="F3" s="43">
        <f>SUBTOTAL(9,F6:F1048576)</f>
        <v>3</v>
      </c>
      <c r="G3" s="43">
        <f>SUBTOTAL(9,G6:G1048576)</f>
        <v>107.86</v>
      </c>
      <c r="H3" s="44">
        <f>IF(M3=0,0,G3/M3)</f>
        <v>4.9526272433987138E-3</v>
      </c>
      <c r="I3" s="43">
        <f>SUBTOTAL(9,I6:I1048576)</f>
        <v>85</v>
      </c>
      <c r="J3" s="43">
        <f>SUBTOTAL(9,J6:J1048576)</f>
        <v>21670.48000000001</v>
      </c>
      <c r="K3" s="44">
        <f>IF(M3=0,0,J3/M3)</f>
        <v>0.99504737275660127</v>
      </c>
      <c r="L3" s="43">
        <f>SUBTOTAL(9,L6:L1048576)</f>
        <v>88</v>
      </c>
      <c r="M3" s="45">
        <f>SUBTOTAL(9,M6:M1048576)</f>
        <v>21778.340000000011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68" t="s">
        <v>140</v>
      </c>
      <c r="B5" s="580" t="s">
        <v>136</v>
      </c>
      <c r="C5" s="580" t="s">
        <v>71</v>
      </c>
      <c r="D5" s="580" t="s">
        <v>137</v>
      </c>
      <c r="E5" s="580" t="s">
        <v>138</v>
      </c>
      <c r="F5" s="499" t="s">
        <v>28</v>
      </c>
      <c r="G5" s="499" t="s">
        <v>14</v>
      </c>
      <c r="H5" s="484" t="s">
        <v>139</v>
      </c>
      <c r="I5" s="483" t="s">
        <v>28</v>
      </c>
      <c r="J5" s="499" t="s">
        <v>14</v>
      </c>
      <c r="K5" s="484" t="s">
        <v>139</v>
      </c>
      <c r="L5" s="483" t="s">
        <v>28</v>
      </c>
      <c r="M5" s="500" t="s">
        <v>14</v>
      </c>
    </row>
    <row r="6" spans="1:13" ht="14.4" customHeight="1" x14ac:dyDescent="0.3">
      <c r="A6" s="545" t="s">
        <v>647</v>
      </c>
      <c r="B6" s="546" t="s">
        <v>1164</v>
      </c>
      <c r="C6" s="546" t="s">
        <v>691</v>
      </c>
      <c r="D6" s="546" t="s">
        <v>692</v>
      </c>
      <c r="E6" s="546" t="s">
        <v>693</v>
      </c>
      <c r="F6" s="119"/>
      <c r="G6" s="119"/>
      <c r="H6" s="551">
        <v>0</v>
      </c>
      <c r="I6" s="119">
        <v>1</v>
      </c>
      <c r="J6" s="119">
        <v>407.55</v>
      </c>
      <c r="K6" s="551">
        <v>1</v>
      </c>
      <c r="L6" s="119">
        <v>1</v>
      </c>
      <c r="M6" s="569">
        <v>407.55</v>
      </c>
    </row>
    <row r="7" spans="1:13" ht="14.4" customHeight="1" x14ac:dyDescent="0.3">
      <c r="A7" s="552" t="s">
        <v>647</v>
      </c>
      <c r="B7" s="553" t="s">
        <v>1164</v>
      </c>
      <c r="C7" s="553" t="s">
        <v>694</v>
      </c>
      <c r="D7" s="553" t="s">
        <v>692</v>
      </c>
      <c r="E7" s="553" t="s">
        <v>695</v>
      </c>
      <c r="F7" s="570"/>
      <c r="G7" s="570"/>
      <c r="H7" s="558">
        <v>0</v>
      </c>
      <c r="I7" s="570">
        <v>6</v>
      </c>
      <c r="J7" s="570">
        <v>3260.3399999999997</v>
      </c>
      <c r="K7" s="558">
        <v>1</v>
      </c>
      <c r="L7" s="570">
        <v>6</v>
      </c>
      <c r="M7" s="571">
        <v>3260.3399999999997</v>
      </c>
    </row>
    <row r="8" spans="1:13" ht="14.4" customHeight="1" x14ac:dyDescent="0.3">
      <c r="A8" s="552" t="s">
        <v>647</v>
      </c>
      <c r="B8" s="553" t="s">
        <v>1165</v>
      </c>
      <c r="C8" s="553" t="s">
        <v>723</v>
      </c>
      <c r="D8" s="553" t="s">
        <v>724</v>
      </c>
      <c r="E8" s="553" t="s">
        <v>725</v>
      </c>
      <c r="F8" s="570"/>
      <c r="G8" s="570"/>
      <c r="H8" s="558">
        <v>0</v>
      </c>
      <c r="I8" s="570">
        <v>1</v>
      </c>
      <c r="J8" s="570">
        <v>366.53</v>
      </c>
      <c r="K8" s="558">
        <v>1</v>
      </c>
      <c r="L8" s="570">
        <v>1</v>
      </c>
      <c r="M8" s="571">
        <v>366.53</v>
      </c>
    </row>
    <row r="9" spans="1:13" ht="14.4" customHeight="1" x14ac:dyDescent="0.3">
      <c r="A9" s="552" t="s">
        <v>647</v>
      </c>
      <c r="B9" s="553" t="s">
        <v>1166</v>
      </c>
      <c r="C9" s="553" t="s">
        <v>655</v>
      </c>
      <c r="D9" s="553" t="s">
        <v>656</v>
      </c>
      <c r="E9" s="553" t="s">
        <v>657</v>
      </c>
      <c r="F9" s="570"/>
      <c r="G9" s="570"/>
      <c r="H9" s="558">
        <v>0</v>
      </c>
      <c r="I9" s="570">
        <v>6</v>
      </c>
      <c r="J9" s="570">
        <v>917.52</v>
      </c>
      <c r="K9" s="558">
        <v>1</v>
      </c>
      <c r="L9" s="570">
        <v>6</v>
      </c>
      <c r="M9" s="571">
        <v>917.52</v>
      </c>
    </row>
    <row r="10" spans="1:13" ht="14.4" customHeight="1" x14ac:dyDescent="0.3">
      <c r="A10" s="552" t="s">
        <v>647</v>
      </c>
      <c r="B10" s="553" t="s">
        <v>1167</v>
      </c>
      <c r="C10" s="553" t="s">
        <v>680</v>
      </c>
      <c r="D10" s="553" t="s">
        <v>681</v>
      </c>
      <c r="E10" s="553" t="s">
        <v>682</v>
      </c>
      <c r="F10" s="570"/>
      <c r="G10" s="570"/>
      <c r="H10" s="558">
        <v>0</v>
      </c>
      <c r="I10" s="570">
        <v>3</v>
      </c>
      <c r="J10" s="570">
        <v>441.93</v>
      </c>
      <c r="K10" s="558">
        <v>1</v>
      </c>
      <c r="L10" s="570">
        <v>3</v>
      </c>
      <c r="M10" s="571">
        <v>441.93</v>
      </c>
    </row>
    <row r="11" spans="1:13" ht="14.4" customHeight="1" x14ac:dyDescent="0.3">
      <c r="A11" s="552" t="s">
        <v>647</v>
      </c>
      <c r="B11" s="553" t="s">
        <v>1168</v>
      </c>
      <c r="C11" s="553" t="s">
        <v>701</v>
      </c>
      <c r="D11" s="553" t="s">
        <v>702</v>
      </c>
      <c r="E11" s="553" t="s">
        <v>703</v>
      </c>
      <c r="F11" s="570"/>
      <c r="G11" s="570"/>
      <c r="H11" s="558">
        <v>0</v>
      </c>
      <c r="I11" s="570">
        <v>3</v>
      </c>
      <c r="J11" s="570">
        <v>145.26</v>
      </c>
      <c r="K11" s="558">
        <v>1</v>
      </c>
      <c r="L11" s="570">
        <v>3</v>
      </c>
      <c r="M11" s="571">
        <v>145.26</v>
      </c>
    </row>
    <row r="12" spans="1:13" ht="14.4" customHeight="1" x14ac:dyDescent="0.3">
      <c r="A12" s="552" t="s">
        <v>647</v>
      </c>
      <c r="B12" s="553" t="s">
        <v>1168</v>
      </c>
      <c r="C12" s="553" t="s">
        <v>704</v>
      </c>
      <c r="D12" s="553" t="s">
        <v>702</v>
      </c>
      <c r="E12" s="553" t="s">
        <v>705</v>
      </c>
      <c r="F12" s="570"/>
      <c r="G12" s="570"/>
      <c r="H12" s="558"/>
      <c r="I12" s="570">
        <v>1</v>
      </c>
      <c r="J12" s="570">
        <v>0</v>
      </c>
      <c r="K12" s="558"/>
      <c r="L12" s="570">
        <v>1</v>
      </c>
      <c r="M12" s="571">
        <v>0</v>
      </c>
    </row>
    <row r="13" spans="1:13" ht="14.4" customHeight="1" x14ac:dyDescent="0.3">
      <c r="A13" s="552" t="s">
        <v>648</v>
      </c>
      <c r="B13" s="553" t="s">
        <v>1164</v>
      </c>
      <c r="C13" s="553" t="s">
        <v>833</v>
      </c>
      <c r="D13" s="553" t="s">
        <v>834</v>
      </c>
      <c r="E13" s="553" t="s">
        <v>835</v>
      </c>
      <c r="F13" s="570"/>
      <c r="G13" s="570"/>
      <c r="H13" s="558">
        <v>0</v>
      </c>
      <c r="I13" s="570">
        <v>1</v>
      </c>
      <c r="J13" s="570">
        <v>1847.49</v>
      </c>
      <c r="K13" s="558">
        <v>1</v>
      </c>
      <c r="L13" s="570">
        <v>1</v>
      </c>
      <c r="M13" s="571">
        <v>1847.49</v>
      </c>
    </row>
    <row r="14" spans="1:13" ht="14.4" customHeight="1" x14ac:dyDescent="0.3">
      <c r="A14" s="552" t="s">
        <v>648</v>
      </c>
      <c r="B14" s="553" t="s">
        <v>1166</v>
      </c>
      <c r="C14" s="553" t="s">
        <v>655</v>
      </c>
      <c r="D14" s="553" t="s">
        <v>656</v>
      </c>
      <c r="E14" s="553" t="s">
        <v>657</v>
      </c>
      <c r="F14" s="570"/>
      <c r="G14" s="570"/>
      <c r="H14" s="558">
        <v>0</v>
      </c>
      <c r="I14" s="570">
        <v>1</v>
      </c>
      <c r="J14" s="570">
        <v>154.36000000000001</v>
      </c>
      <c r="K14" s="558">
        <v>1</v>
      </c>
      <c r="L14" s="570">
        <v>1</v>
      </c>
      <c r="M14" s="571">
        <v>154.36000000000001</v>
      </c>
    </row>
    <row r="15" spans="1:13" ht="14.4" customHeight="1" x14ac:dyDescent="0.3">
      <c r="A15" s="552" t="s">
        <v>648</v>
      </c>
      <c r="B15" s="553" t="s">
        <v>1169</v>
      </c>
      <c r="C15" s="553" t="s">
        <v>818</v>
      </c>
      <c r="D15" s="553" t="s">
        <v>819</v>
      </c>
      <c r="E15" s="553" t="s">
        <v>820</v>
      </c>
      <c r="F15" s="570"/>
      <c r="G15" s="570"/>
      <c r="H15" s="558">
        <v>0</v>
      </c>
      <c r="I15" s="570">
        <v>1</v>
      </c>
      <c r="J15" s="570">
        <v>170.52</v>
      </c>
      <c r="K15" s="558">
        <v>1</v>
      </c>
      <c r="L15" s="570">
        <v>1</v>
      </c>
      <c r="M15" s="571">
        <v>170.52</v>
      </c>
    </row>
    <row r="16" spans="1:13" ht="14.4" customHeight="1" x14ac:dyDescent="0.3">
      <c r="A16" s="552" t="s">
        <v>653</v>
      </c>
      <c r="B16" s="553" t="s">
        <v>1170</v>
      </c>
      <c r="C16" s="553" t="s">
        <v>913</v>
      </c>
      <c r="D16" s="553" t="s">
        <v>914</v>
      </c>
      <c r="E16" s="553" t="s">
        <v>915</v>
      </c>
      <c r="F16" s="570"/>
      <c r="G16" s="570"/>
      <c r="H16" s="558">
        <v>0</v>
      </c>
      <c r="I16" s="570">
        <v>1</v>
      </c>
      <c r="J16" s="570">
        <v>28.81</v>
      </c>
      <c r="K16" s="558">
        <v>1</v>
      </c>
      <c r="L16" s="570">
        <v>1</v>
      </c>
      <c r="M16" s="571">
        <v>28.81</v>
      </c>
    </row>
    <row r="17" spans="1:13" ht="14.4" customHeight="1" x14ac:dyDescent="0.3">
      <c r="A17" s="552" t="s">
        <v>653</v>
      </c>
      <c r="B17" s="553" t="s">
        <v>1170</v>
      </c>
      <c r="C17" s="553" t="s">
        <v>1123</v>
      </c>
      <c r="D17" s="553" t="s">
        <v>914</v>
      </c>
      <c r="E17" s="553" t="s">
        <v>1124</v>
      </c>
      <c r="F17" s="570"/>
      <c r="G17" s="570"/>
      <c r="H17" s="558">
        <v>0</v>
      </c>
      <c r="I17" s="570">
        <v>1</v>
      </c>
      <c r="J17" s="570">
        <v>102.93</v>
      </c>
      <c r="K17" s="558">
        <v>1</v>
      </c>
      <c r="L17" s="570">
        <v>1</v>
      </c>
      <c r="M17" s="571">
        <v>102.93</v>
      </c>
    </row>
    <row r="18" spans="1:13" ht="14.4" customHeight="1" x14ac:dyDescent="0.3">
      <c r="A18" s="552" t="s">
        <v>653</v>
      </c>
      <c r="B18" s="553" t="s">
        <v>1164</v>
      </c>
      <c r="C18" s="553" t="s">
        <v>1118</v>
      </c>
      <c r="D18" s="553" t="s">
        <v>834</v>
      </c>
      <c r="E18" s="553" t="s">
        <v>1045</v>
      </c>
      <c r="F18" s="570"/>
      <c r="G18" s="570"/>
      <c r="H18" s="558">
        <v>0</v>
      </c>
      <c r="I18" s="570">
        <v>2</v>
      </c>
      <c r="J18" s="570">
        <v>4618.72</v>
      </c>
      <c r="K18" s="558">
        <v>1</v>
      </c>
      <c r="L18" s="570">
        <v>2</v>
      </c>
      <c r="M18" s="571">
        <v>4618.72</v>
      </c>
    </row>
    <row r="19" spans="1:13" ht="14.4" customHeight="1" x14ac:dyDescent="0.3">
      <c r="A19" s="552" t="s">
        <v>653</v>
      </c>
      <c r="B19" s="553" t="s">
        <v>1171</v>
      </c>
      <c r="C19" s="553" t="s">
        <v>957</v>
      </c>
      <c r="D19" s="553" t="s">
        <v>958</v>
      </c>
      <c r="E19" s="553" t="s">
        <v>959</v>
      </c>
      <c r="F19" s="570"/>
      <c r="G19" s="570"/>
      <c r="H19" s="558">
        <v>0</v>
      </c>
      <c r="I19" s="570">
        <v>2</v>
      </c>
      <c r="J19" s="570">
        <v>42.26</v>
      </c>
      <c r="K19" s="558">
        <v>1</v>
      </c>
      <c r="L19" s="570">
        <v>2</v>
      </c>
      <c r="M19" s="571">
        <v>42.26</v>
      </c>
    </row>
    <row r="20" spans="1:13" ht="14.4" customHeight="1" x14ac:dyDescent="0.3">
      <c r="A20" s="552" t="s">
        <v>653</v>
      </c>
      <c r="B20" s="553" t="s">
        <v>1166</v>
      </c>
      <c r="C20" s="553" t="s">
        <v>655</v>
      </c>
      <c r="D20" s="553" t="s">
        <v>656</v>
      </c>
      <c r="E20" s="553" t="s">
        <v>657</v>
      </c>
      <c r="F20" s="570"/>
      <c r="G20" s="570"/>
      <c r="H20" s="558">
        <v>0</v>
      </c>
      <c r="I20" s="570">
        <v>4</v>
      </c>
      <c r="J20" s="570">
        <v>617.44000000000005</v>
      </c>
      <c r="K20" s="558">
        <v>1</v>
      </c>
      <c r="L20" s="570">
        <v>4</v>
      </c>
      <c r="M20" s="571">
        <v>617.44000000000005</v>
      </c>
    </row>
    <row r="21" spans="1:13" ht="14.4" customHeight="1" x14ac:dyDescent="0.3">
      <c r="A21" s="552" t="s">
        <v>653</v>
      </c>
      <c r="B21" s="553" t="s">
        <v>1166</v>
      </c>
      <c r="C21" s="553" t="s">
        <v>1016</v>
      </c>
      <c r="D21" s="553" t="s">
        <v>1017</v>
      </c>
      <c r="E21" s="553" t="s">
        <v>1015</v>
      </c>
      <c r="F21" s="570"/>
      <c r="G21" s="570"/>
      <c r="H21" s="558">
        <v>0</v>
      </c>
      <c r="I21" s="570">
        <v>1</v>
      </c>
      <c r="J21" s="570">
        <v>145.02000000000001</v>
      </c>
      <c r="K21" s="558">
        <v>1</v>
      </c>
      <c r="L21" s="570">
        <v>1</v>
      </c>
      <c r="M21" s="571">
        <v>145.02000000000001</v>
      </c>
    </row>
    <row r="22" spans="1:13" ht="14.4" customHeight="1" x14ac:dyDescent="0.3">
      <c r="A22" s="552" t="s">
        <v>653</v>
      </c>
      <c r="B22" s="553" t="s">
        <v>1172</v>
      </c>
      <c r="C22" s="553" t="s">
        <v>1115</v>
      </c>
      <c r="D22" s="553" t="s">
        <v>1116</v>
      </c>
      <c r="E22" s="553" t="s">
        <v>1117</v>
      </c>
      <c r="F22" s="570">
        <v>2</v>
      </c>
      <c r="G22" s="570">
        <v>0</v>
      </c>
      <c r="H22" s="558"/>
      <c r="I22" s="570"/>
      <c r="J22" s="570"/>
      <c r="K22" s="558"/>
      <c r="L22" s="570">
        <v>2</v>
      </c>
      <c r="M22" s="571">
        <v>0</v>
      </c>
    </row>
    <row r="23" spans="1:13" ht="14.4" customHeight="1" x14ac:dyDescent="0.3">
      <c r="A23" s="552" t="s">
        <v>649</v>
      </c>
      <c r="B23" s="553" t="s">
        <v>1170</v>
      </c>
      <c r="C23" s="553" t="s">
        <v>913</v>
      </c>
      <c r="D23" s="553" t="s">
        <v>914</v>
      </c>
      <c r="E23" s="553" t="s">
        <v>915</v>
      </c>
      <c r="F23" s="570"/>
      <c r="G23" s="570"/>
      <c r="H23" s="558">
        <v>0</v>
      </c>
      <c r="I23" s="570">
        <v>2</v>
      </c>
      <c r="J23" s="570">
        <v>75.66</v>
      </c>
      <c r="K23" s="558">
        <v>1</v>
      </c>
      <c r="L23" s="570">
        <v>2</v>
      </c>
      <c r="M23" s="571">
        <v>75.66</v>
      </c>
    </row>
    <row r="24" spans="1:13" ht="14.4" customHeight="1" x14ac:dyDescent="0.3">
      <c r="A24" s="552" t="s">
        <v>649</v>
      </c>
      <c r="B24" s="553" t="s">
        <v>1166</v>
      </c>
      <c r="C24" s="553" t="s">
        <v>655</v>
      </c>
      <c r="D24" s="553" t="s">
        <v>656</v>
      </c>
      <c r="E24" s="553" t="s">
        <v>657</v>
      </c>
      <c r="F24" s="570"/>
      <c r="G24" s="570"/>
      <c r="H24" s="558">
        <v>0</v>
      </c>
      <c r="I24" s="570">
        <v>8</v>
      </c>
      <c r="J24" s="570">
        <v>1230.56</v>
      </c>
      <c r="K24" s="558">
        <v>1</v>
      </c>
      <c r="L24" s="570">
        <v>8</v>
      </c>
      <c r="M24" s="571">
        <v>1230.56</v>
      </c>
    </row>
    <row r="25" spans="1:13" ht="14.4" customHeight="1" x14ac:dyDescent="0.3">
      <c r="A25" s="552" t="s">
        <v>649</v>
      </c>
      <c r="B25" s="553" t="s">
        <v>1166</v>
      </c>
      <c r="C25" s="553" t="s">
        <v>867</v>
      </c>
      <c r="D25" s="553" t="s">
        <v>868</v>
      </c>
      <c r="E25" s="553" t="s">
        <v>869</v>
      </c>
      <c r="F25" s="570"/>
      <c r="G25" s="570"/>
      <c r="H25" s="558">
        <v>0</v>
      </c>
      <c r="I25" s="570">
        <v>1</v>
      </c>
      <c r="J25" s="570">
        <v>66.08</v>
      </c>
      <c r="K25" s="558">
        <v>1</v>
      </c>
      <c r="L25" s="570">
        <v>1</v>
      </c>
      <c r="M25" s="571">
        <v>66.08</v>
      </c>
    </row>
    <row r="26" spans="1:13" ht="14.4" customHeight="1" x14ac:dyDescent="0.3">
      <c r="A26" s="552" t="s">
        <v>649</v>
      </c>
      <c r="B26" s="553" t="s">
        <v>1169</v>
      </c>
      <c r="C26" s="553" t="s">
        <v>818</v>
      </c>
      <c r="D26" s="553" t="s">
        <v>819</v>
      </c>
      <c r="E26" s="553" t="s">
        <v>820</v>
      </c>
      <c r="F26" s="570"/>
      <c r="G26" s="570"/>
      <c r="H26" s="558">
        <v>0</v>
      </c>
      <c r="I26" s="570">
        <v>1</v>
      </c>
      <c r="J26" s="570">
        <v>170.52</v>
      </c>
      <c r="K26" s="558">
        <v>1</v>
      </c>
      <c r="L26" s="570">
        <v>1</v>
      </c>
      <c r="M26" s="571">
        <v>170.52</v>
      </c>
    </row>
    <row r="27" spans="1:13" ht="14.4" customHeight="1" x14ac:dyDescent="0.3">
      <c r="A27" s="552" t="s">
        <v>649</v>
      </c>
      <c r="B27" s="553" t="s">
        <v>1173</v>
      </c>
      <c r="C27" s="553" t="s">
        <v>896</v>
      </c>
      <c r="D27" s="553" t="s">
        <v>897</v>
      </c>
      <c r="E27" s="553" t="s">
        <v>898</v>
      </c>
      <c r="F27" s="570"/>
      <c r="G27" s="570"/>
      <c r="H27" s="558">
        <v>0</v>
      </c>
      <c r="I27" s="570">
        <v>1</v>
      </c>
      <c r="J27" s="570">
        <v>59.85</v>
      </c>
      <c r="K27" s="558">
        <v>1</v>
      </c>
      <c r="L27" s="570">
        <v>1</v>
      </c>
      <c r="M27" s="571">
        <v>59.85</v>
      </c>
    </row>
    <row r="28" spans="1:13" ht="14.4" customHeight="1" x14ac:dyDescent="0.3">
      <c r="A28" s="552" t="s">
        <v>649</v>
      </c>
      <c r="B28" s="553" t="s">
        <v>1173</v>
      </c>
      <c r="C28" s="553" t="s">
        <v>899</v>
      </c>
      <c r="D28" s="553" t="s">
        <v>897</v>
      </c>
      <c r="E28" s="553" t="s">
        <v>900</v>
      </c>
      <c r="F28" s="570"/>
      <c r="G28" s="570"/>
      <c r="H28" s="558">
        <v>0</v>
      </c>
      <c r="I28" s="570">
        <v>1</v>
      </c>
      <c r="J28" s="570">
        <v>83.79</v>
      </c>
      <c r="K28" s="558">
        <v>1</v>
      </c>
      <c r="L28" s="570">
        <v>1</v>
      </c>
      <c r="M28" s="571">
        <v>83.79</v>
      </c>
    </row>
    <row r="29" spans="1:13" ht="14.4" customHeight="1" x14ac:dyDescent="0.3">
      <c r="A29" s="552" t="s">
        <v>649</v>
      </c>
      <c r="B29" s="553" t="s">
        <v>1174</v>
      </c>
      <c r="C29" s="553" t="s">
        <v>880</v>
      </c>
      <c r="D29" s="553" t="s">
        <v>881</v>
      </c>
      <c r="E29" s="553" t="s">
        <v>820</v>
      </c>
      <c r="F29" s="570"/>
      <c r="G29" s="570"/>
      <c r="H29" s="558">
        <v>0</v>
      </c>
      <c r="I29" s="570">
        <v>1</v>
      </c>
      <c r="J29" s="570">
        <v>66.819999999999993</v>
      </c>
      <c r="K29" s="558">
        <v>1</v>
      </c>
      <c r="L29" s="570">
        <v>1</v>
      </c>
      <c r="M29" s="571">
        <v>66.819999999999993</v>
      </c>
    </row>
    <row r="30" spans="1:13" ht="14.4" customHeight="1" x14ac:dyDescent="0.3">
      <c r="A30" s="552" t="s">
        <v>649</v>
      </c>
      <c r="B30" s="553" t="s">
        <v>1168</v>
      </c>
      <c r="C30" s="553" t="s">
        <v>701</v>
      </c>
      <c r="D30" s="553" t="s">
        <v>702</v>
      </c>
      <c r="E30" s="553" t="s">
        <v>703</v>
      </c>
      <c r="F30" s="570"/>
      <c r="G30" s="570"/>
      <c r="H30" s="558">
        <v>0</v>
      </c>
      <c r="I30" s="570">
        <v>1</v>
      </c>
      <c r="J30" s="570">
        <v>48.42</v>
      </c>
      <c r="K30" s="558">
        <v>1</v>
      </c>
      <c r="L30" s="570">
        <v>1</v>
      </c>
      <c r="M30" s="571">
        <v>48.42</v>
      </c>
    </row>
    <row r="31" spans="1:13" ht="14.4" customHeight="1" x14ac:dyDescent="0.3">
      <c r="A31" s="552" t="s">
        <v>649</v>
      </c>
      <c r="B31" s="553" t="s">
        <v>1168</v>
      </c>
      <c r="C31" s="553" t="s">
        <v>704</v>
      </c>
      <c r="D31" s="553" t="s">
        <v>702</v>
      </c>
      <c r="E31" s="553" t="s">
        <v>705</v>
      </c>
      <c r="F31" s="570"/>
      <c r="G31" s="570"/>
      <c r="H31" s="558"/>
      <c r="I31" s="570">
        <v>1</v>
      </c>
      <c r="J31" s="570">
        <v>0</v>
      </c>
      <c r="K31" s="558"/>
      <c r="L31" s="570">
        <v>1</v>
      </c>
      <c r="M31" s="571">
        <v>0</v>
      </c>
    </row>
    <row r="32" spans="1:13" ht="14.4" customHeight="1" x14ac:dyDescent="0.3">
      <c r="A32" s="552" t="s">
        <v>650</v>
      </c>
      <c r="B32" s="553" t="s">
        <v>1171</v>
      </c>
      <c r="C32" s="553" t="s">
        <v>957</v>
      </c>
      <c r="D32" s="553" t="s">
        <v>958</v>
      </c>
      <c r="E32" s="553" t="s">
        <v>959</v>
      </c>
      <c r="F32" s="570"/>
      <c r="G32" s="570"/>
      <c r="H32" s="558">
        <v>0</v>
      </c>
      <c r="I32" s="570">
        <v>2</v>
      </c>
      <c r="J32" s="570">
        <v>42.26</v>
      </c>
      <c r="K32" s="558">
        <v>1</v>
      </c>
      <c r="L32" s="570">
        <v>2</v>
      </c>
      <c r="M32" s="571">
        <v>42.26</v>
      </c>
    </row>
    <row r="33" spans="1:13" ht="14.4" customHeight="1" x14ac:dyDescent="0.3">
      <c r="A33" s="552" t="s">
        <v>650</v>
      </c>
      <c r="B33" s="553" t="s">
        <v>1166</v>
      </c>
      <c r="C33" s="553" t="s">
        <v>655</v>
      </c>
      <c r="D33" s="553" t="s">
        <v>656</v>
      </c>
      <c r="E33" s="553" t="s">
        <v>657</v>
      </c>
      <c r="F33" s="570"/>
      <c r="G33" s="570"/>
      <c r="H33" s="558">
        <v>0</v>
      </c>
      <c r="I33" s="570">
        <v>1</v>
      </c>
      <c r="J33" s="570">
        <v>154.36000000000001</v>
      </c>
      <c r="K33" s="558">
        <v>1</v>
      </c>
      <c r="L33" s="570">
        <v>1</v>
      </c>
      <c r="M33" s="571">
        <v>154.36000000000001</v>
      </c>
    </row>
    <row r="34" spans="1:13" ht="14.4" customHeight="1" x14ac:dyDescent="0.3">
      <c r="A34" s="552" t="s">
        <v>652</v>
      </c>
      <c r="B34" s="553" t="s">
        <v>1164</v>
      </c>
      <c r="C34" s="553" t="s">
        <v>1039</v>
      </c>
      <c r="D34" s="553" t="s">
        <v>692</v>
      </c>
      <c r="E34" s="553" t="s">
        <v>1040</v>
      </c>
      <c r="F34" s="570"/>
      <c r="G34" s="570"/>
      <c r="H34" s="558"/>
      <c r="I34" s="570">
        <v>3</v>
      </c>
      <c r="J34" s="570">
        <v>0</v>
      </c>
      <c r="K34" s="558"/>
      <c r="L34" s="570">
        <v>3</v>
      </c>
      <c r="M34" s="571">
        <v>0</v>
      </c>
    </row>
    <row r="35" spans="1:13" ht="14.4" customHeight="1" x14ac:dyDescent="0.3">
      <c r="A35" s="552" t="s">
        <v>652</v>
      </c>
      <c r="B35" s="553" t="s">
        <v>1164</v>
      </c>
      <c r="C35" s="553" t="s">
        <v>1041</v>
      </c>
      <c r="D35" s="553" t="s">
        <v>692</v>
      </c>
      <c r="E35" s="553" t="s">
        <v>1042</v>
      </c>
      <c r="F35" s="570"/>
      <c r="G35" s="570"/>
      <c r="H35" s="558">
        <v>0</v>
      </c>
      <c r="I35" s="570">
        <v>1</v>
      </c>
      <c r="J35" s="570">
        <v>815.1</v>
      </c>
      <c r="K35" s="558">
        <v>1</v>
      </c>
      <c r="L35" s="570">
        <v>1</v>
      </c>
      <c r="M35" s="571">
        <v>815.1</v>
      </c>
    </row>
    <row r="36" spans="1:13" ht="14.4" customHeight="1" x14ac:dyDescent="0.3">
      <c r="A36" s="552" t="s">
        <v>652</v>
      </c>
      <c r="B36" s="553" t="s">
        <v>1164</v>
      </c>
      <c r="C36" s="553" t="s">
        <v>1043</v>
      </c>
      <c r="D36" s="553" t="s">
        <v>692</v>
      </c>
      <c r="E36" s="553" t="s">
        <v>835</v>
      </c>
      <c r="F36" s="570"/>
      <c r="G36" s="570"/>
      <c r="H36" s="558">
        <v>0</v>
      </c>
      <c r="I36" s="570">
        <v>1</v>
      </c>
      <c r="J36" s="570">
        <v>923.74</v>
      </c>
      <c r="K36" s="558">
        <v>1</v>
      </c>
      <c r="L36" s="570">
        <v>1</v>
      </c>
      <c r="M36" s="571">
        <v>923.74</v>
      </c>
    </row>
    <row r="37" spans="1:13" ht="14.4" customHeight="1" x14ac:dyDescent="0.3">
      <c r="A37" s="552" t="s">
        <v>652</v>
      </c>
      <c r="B37" s="553" t="s">
        <v>1164</v>
      </c>
      <c r="C37" s="553" t="s">
        <v>1044</v>
      </c>
      <c r="D37" s="553" t="s">
        <v>692</v>
      </c>
      <c r="E37" s="553" t="s">
        <v>1045</v>
      </c>
      <c r="F37" s="570"/>
      <c r="G37" s="570"/>
      <c r="H37" s="558">
        <v>0</v>
      </c>
      <c r="I37" s="570">
        <v>1</v>
      </c>
      <c r="J37" s="570">
        <v>1154.68</v>
      </c>
      <c r="K37" s="558">
        <v>1</v>
      </c>
      <c r="L37" s="570">
        <v>1</v>
      </c>
      <c r="M37" s="571">
        <v>1154.68</v>
      </c>
    </row>
    <row r="38" spans="1:13" ht="14.4" customHeight="1" x14ac:dyDescent="0.3">
      <c r="A38" s="552" t="s">
        <v>652</v>
      </c>
      <c r="B38" s="553" t="s">
        <v>1175</v>
      </c>
      <c r="C38" s="553" t="s">
        <v>1047</v>
      </c>
      <c r="D38" s="553" t="s">
        <v>1048</v>
      </c>
      <c r="E38" s="553" t="s">
        <v>1049</v>
      </c>
      <c r="F38" s="570"/>
      <c r="G38" s="570"/>
      <c r="H38" s="558">
        <v>0</v>
      </c>
      <c r="I38" s="570">
        <v>1</v>
      </c>
      <c r="J38" s="570">
        <v>15.61</v>
      </c>
      <c r="K38" s="558">
        <v>1</v>
      </c>
      <c r="L38" s="570">
        <v>1</v>
      </c>
      <c r="M38" s="571">
        <v>15.61</v>
      </c>
    </row>
    <row r="39" spans="1:13" ht="14.4" customHeight="1" x14ac:dyDescent="0.3">
      <c r="A39" s="552" t="s">
        <v>652</v>
      </c>
      <c r="B39" s="553" t="s">
        <v>1166</v>
      </c>
      <c r="C39" s="553" t="s">
        <v>655</v>
      </c>
      <c r="D39" s="553" t="s">
        <v>656</v>
      </c>
      <c r="E39" s="553" t="s">
        <v>657</v>
      </c>
      <c r="F39" s="570"/>
      <c r="G39" s="570"/>
      <c r="H39" s="558">
        <v>0</v>
      </c>
      <c r="I39" s="570">
        <v>12</v>
      </c>
      <c r="J39" s="570">
        <v>1839.3600000000001</v>
      </c>
      <c r="K39" s="558">
        <v>1</v>
      </c>
      <c r="L39" s="570">
        <v>12</v>
      </c>
      <c r="M39" s="571">
        <v>1839.3600000000001</v>
      </c>
    </row>
    <row r="40" spans="1:13" ht="14.4" customHeight="1" x14ac:dyDescent="0.3">
      <c r="A40" s="552" t="s">
        <v>652</v>
      </c>
      <c r="B40" s="553" t="s">
        <v>1166</v>
      </c>
      <c r="C40" s="553" t="s">
        <v>1013</v>
      </c>
      <c r="D40" s="553" t="s">
        <v>1014</v>
      </c>
      <c r="E40" s="553" t="s">
        <v>1015</v>
      </c>
      <c r="F40" s="570">
        <v>1</v>
      </c>
      <c r="G40" s="570">
        <v>107.86</v>
      </c>
      <c r="H40" s="558">
        <v>1</v>
      </c>
      <c r="I40" s="570"/>
      <c r="J40" s="570"/>
      <c r="K40" s="558">
        <v>0</v>
      </c>
      <c r="L40" s="570">
        <v>1</v>
      </c>
      <c r="M40" s="571">
        <v>107.86</v>
      </c>
    </row>
    <row r="41" spans="1:13" ht="14.4" customHeight="1" x14ac:dyDescent="0.3">
      <c r="A41" s="552" t="s">
        <v>652</v>
      </c>
      <c r="B41" s="553" t="s">
        <v>1166</v>
      </c>
      <c r="C41" s="553" t="s">
        <v>1016</v>
      </c>
      <c r="D41" s="553" t="s">
        <v>1017</v>
      </c>
      <c r="E41" s="553" t="s">
        <v>1015</v>
      </c>
      <c r="F41" s="570"/>
      <c r="G41" s="570"/>
      <c r="H41" s="558">
        <v>0</v>
      </c>
      <c r="I41" s="570">
        <v>3</v>
      </c>
      <c r="J41" s="570">
        <v>448.56000000000006</v>
      </c>
      <c r="K41" s="558">
        <v>1</v>
      </c>
      <c r="L41" s="570">
        <v>3</v>
      </c>
      <c r="M41" s="571">
        <v>448.56000000000006</v>
      </c>
    </row>
    <row r="42" spans="1:13" ht="14.4" customHeight="1" x14ac:dyDescent="0.3">
      <c r="A42" s="552" t="s">
        <v>652</v>
      </c>
      <c r="B42" s="553" t="s">
        <v>1169</v>
      </c>
      <c r="C42" s="553" t="s">
        <v>818</v>
      </c>
      <c r="D42" s="553" t="s">
        <v>819</v>
      </c>
      <c r="E42" s="553" t="s">
        <v>820</v>
      </c>
      <c r="F42" s="570"/>
      <c r="G42" s="570"/>
      <c r="H42" s="558">
        <v>0</v>
      </c>
      <c r="I42" s="570">
        <v>1</v>
      </c>
      <c r="J42" s="570">
        <v>170.52</v>
      </c>
      <c r="K42" s="558">
        <v>1</v>
      </c>
      <c r="L42" s="570">
        <v>1</v>
      </c>
      <c r="M42" s="571">
        <v>170.52</v>
      </c>
    </row>
    <row r="43" spans="1:13" ht="14.4" customHeight="1" x14ac:dyDescent="0.3">
      <c r="A43" s="552" t="s">
        <v>652</v>
      </c>
      <c r="B43" s="553" t="s">
        <v>1167</v>
      </c>
      <c r="C43" s="553" t="s">
        <v>680</v>
      </c>
      <c r="D43" s="553" t="s">
        <v>681</v>
      </c>
      <c r="E43" s="553" t="s">
        <v>682</v>
      </c>
      <c r="F43" s="570"/>
      <c r="G43" s="570"/>
      <c r="H43" s="558">
        <v>0</v>
      </c>
      <c r="I43" s="570">
        <v>3</v>
      </c>
      <c r="J43" s="570">
        <v>441.93</v>
      </c>
      <c r="K43" s="558">
        <v>1</v>
      </c>
      <c r="L43" s="570">
        <v>3</v>
      </c>
      <c r="M43" s="571">
        <v>441.93</v>
      </c>
    </row>
    <row r="44" spans="1:13" ht="14.4" customHeight="1" x14ac:dyDescent="0.3">
      <c r="A44" s="552" t="s">
        <v>652</v>
      </c>
      <c r="B44" s="553" t="s">
        <v>1174</v>
      </c>
      <c r="C44" s="553" t="s">
        <v>880</v>
      </c>
      <c r="D44" s="553" t="s">
        <v>881</v>
      </c>
      <c r="E44" s="553" t="s">
        <v>820</v>
      </c>
      <c r="F44" s="570"/>
      <c r="G44" s="570"/>
      <c r="H44" s="558">
        <v>0</v>
      </c>
      <c r="I44" s="570">
        <v>2</v>
      </c>
      <c r="J44" s="570">
        <v>133.63999999999999</v>
      </c>
      <c r="K44" s="558">
        <v>1</v>
      </c>
      <c r="L44" s="570">
        <v>2</v>
      </c>
      <c r="M44" s="571">
        <v>133.63999999999999</v>
      </c>
    </row>
    <row r="45" spans="1:13" ht="14.4" customHeight="1" x14ac:dyDescent="0.3">
      <c r="A45" s="552" t="s">
        <v>651</v>
      </c>
      <c r="B45" s="553" t="s">
        <v>1176</v>
      </c>
      <c r="C45" s="553" t="s">
        <v>983</v>
      </c>
      <c r="D45" s="553" t="s">
        <v>984</v>
      </c>
      <c r="E45" s="553" t="s">
        <v>985</v>
      </c>
      <c r="F45" s="570"/>
      <c r="G45" s="570"/>
      <c r="H45" s="558">
        <v>0</v>
      </c>
      <c r="I45" s="570">
        <v>1</v>
      </c>
      <c r="J45" s="570">
        <v>291.82</v>
      </c>
      <c r="K45" s="558">
        <v>1</v>
      </c>
      <c r="L45" s="570">
        <v>1</v>
      </c>
      <c r="M45" s="571">
        <v>291.82</v>
      </c>
    </row>
    <row r="46" spans="1:13" ht="14.4" customHeight="1" thickBot="1" x14ac:dyDescent="0.35">
      <c r="A46" s="560" t="s">
        <v>651</v>
      </c>
      <c r="B46" s="561" t="s">
        <v>1169</v>
      </c>
      <c r="C46" s="561" t="s">
        <v>818</v>
      </c>
      <c r="D46" s="561" t="s">
        <v>819</v>
      </c>
      <c r="E46" s="561" t="s">
        <v>820</v>
      </c>
      <c r="F46" s="572"/>
      <c r="G46" s="572"/>
      <c r="H46" s="566">
        <v>0</v>
      </c>
      <c r="I46" s="572">
        <v>1</v>
      </c>
      <c r="J46" s="572">
        <v>170.52</v>
      </c>
      <c r="K46" s="566">
        <v>1</v>
      </c>
      <c r="L46" s="572">
        <v>1</v>
      </c>
      <c r="M46" s="573">
        <v>170.52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40" t="s">
        <v>286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2013</v>
      </c>
      <c r="D3" s="299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248</v>
      </c>
      <c r="C4" s="357" t="s">
        <v>73</v>
      </c>
      <c r="D4" s="35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52" t="s">
        <v>468</v>
      </c>
      <c r="B5" s="453" t="s">
        <v>469</v>
      </c>
      <c r="C5" s="454" t="s">
        <v>470</v>
      </c>
      <c r="D5" s="454" t="s">
        <v>470</v>
      </c>
      <c r="E5" s="454"/>
      <c r="F5" s="454" t="s">
        <v>470</v>
      </c>
      <c r="G5" s="454" t="s">
        <v>470</v>
      </c>
      <c r="H5" s="454" t="s">
        <v>470</v>
      </c>
      <c r="I5" s="455" t="s">
        <v>470</v>
      </c>
      <c r="J5" s="456" t="s">
        <v>69</v>
      </c>
    </row>
    <row r="6" spans="1:10" ht="14.4" customHeight="1" x14ac:dyDescent="0.3">
      <c r="A6" s="452" t="s">
        <v>468</v>
      </c>
      <c r="B6" s="453" t="s">
        <v>298</v>
      </c>
      <c r="C6" s="454">
        <v>60.691500000000005</v>
      </c>
      <c r="D6" s="454">
        <v>5.66357</v>
      </c>
      <c r="E6" s="454"/>
      <c r="F6" s="454">
        <v>10.25656</v>
      </c>
      <c r="G6" s="454">
        <v>21.333332661385001</v>
      </c>
      <c r="H6" s="454">
        <v>-11.076772661385</v>
      </c>
      <c r="I6" s="455">
        <v>0.48077626514328797</v>
      </c>
      <c r="J6" s="456" t="s">
        <v>1</v>
      </c>
    </row>
    <row r="7" spans="1:10" ht="14.4" customHeight="1" x14ac:dyDescent="0.3">
      <c r="A7" s="452" t="s">
        <v>468</v>
      </c>
      <c r="B7" s="453" t="s">
        <v>299</v>
      </c>
      <c r="C7" s="454">
        <v>206.96145999999899</v>
      </c>
      <c r="D7" s="454">
        <v>126.95652</v>
      </c>
      <c r="E7" s="454"/>
      <c r="F7" s="454">
        <v>0</v>
      </c>
      <c r="G7" s="454">
        <v>49.999998425121333</v>
      </c>
      <c r="H7" s="454">
        <v>-49.999998425121333</v>
      </c>
      <c r="I7" s="455">
        <v>0</v>
      </c>
      <c r="J7" s="456" t="s">
        <v>1</v>
      </c>
    </row>
    <row r="8" spans="1:10" ht="14.4" customHeight="1" x14ac:dyDescent="0.3">
      <c r="A8" s="452" t="s">
        <v>468</v>
      </c>
      <c r="B8" s="453" t="s">
        <v>300</v>
      </c>
      <c r="C8" s="454" t="s">
        <v>470</v>
      </c>
      <c r="D8" s="454">
        <v>120.41524</v>
      </c>
      <c r="E8" s="454"/>
      <c r="F8" s="454">
        <v>110.09156000000002</v>
      </c>
      <c r="G8" s="454">
        <v>199.99999370048465</v>
      </c>
      <c r="H8" s="454">
        <v>-89.908433700484636</v>
      </c>
      <c r="I8" s="455">
        <v>0.55045781733808741</v>
      </c>
      <c r="J8" s="456" t="s">
        <v>1</v>
      </c>
    </row>
    <row r="9" spans="1:10" ht="14.4" customHeight="1" x14ac:dyDescent="0.3">
      <c r="A9" s="452" t="s">
        <v>468</v>
      </c>
      <c r="B9" s="453" t="s">
        <v>301</v>
      </c>
      <c r="C9" s="454" t="s">
        <v>470</v>
      </c>
      <c r="D9" s="454" t="s">
        <v>470</v>
      </c>
      <c r="E9" s="454"/>
      <c r="F9" s="454">
        <v>0</v>
      </c>
      <c r="G9" s="454">
        <v>15</v>
      </c>
      <c r="H9" s="454">
        <v>-15</v>
      </c>
      <c r="I9" s="455">
        <v>0</v>
      </c>
      <c r="J9" s="456" t="s">
        <v>1</v>
      </c>
    </row>
    <row r="10" spans="1:10" ht="14.4" customHeight="1" x14ac:dyDescent="0.3">
      <c r="A10" s="452" t="s">
        <v>468</v>
      </c>
      <c r="B10" s="453" t="s">
        <v>302</v>
      </c>
      <c r="C10" s="454">
        <v>31.939979999999998</v>
      </c>
      <c r="D10" s="454">
        <v>29.753369999999997</v>
      </c>
      <c r="E10" s="454"/>
      <c r="F10" s="454">
        <v>59.166930000000001</v>
      </c>
      <c r="G10" s="454">
        <v>118.30993801435233</v>
      </c>
      <c r="H10" s="454">
        <v>-59.143008014352326</v>
      </c>
      <c r="I10" s="455">
        <v>0.50010109880052833</v>
      </c>
      <c r="J10" s="456" t="s">
        <v>1</v>
      </c>
    </row>
    <row r="11" spans="1:10" ht="14.4" customHeight="1" x14ac:dyDescent="0.3">
      <c r="A11" s="452" t="s">
        <v>468</v>
      </c>
      <c r="B11" s="453" t="s">
        <v>303</v>
      </c>
      <c r="C11" s="454">
        <v>18.939809999999</v>
      </c>
      <c r="D11" s="454">
        <v>64.241560000000007</v>
      </c>
      <c r="E11" s="454"/>
      <c r="F11" s="454">
        <v>30.358120000000003</v>
      </c>
      <c r="G11" s="454">
        <v>74.941618853649999</v>
      </c>
      <c r="H11" s="454">
        <v>-44.583498853649999</v>
      </c>
      <c r="I11" s="455">
        <v>0.40509026178477625</v>
      </c>
      <c r="J11" s="456" t="s">
        <v>1</v>
      </c>
    </row>
    <row r="12" spans="1:10" ht="14.4" customHeight="1" x14ac:dyDescent="0.3">
      <c r="A12" s="452" t="s">
        <v>468</v>
      </c>
      <c r="B12" s="453" t="s">
        <v>304</v>
      </c>
      <c r="C12" s="454">
        <v>0</v>
      </c>
      <c r="D12" s="454">
        <v>0</v>
      </c>
      <c r="E12" s="454"/>
      <c r="F12" s="454">
        <v>0</v>
      </c>
      <c r="G12" s="454">
        <v>8.169999742633334E-2</v>
      </c>
      <c r="H12" s="454">
        <v>-8.169999742633334E-2</v>
      </c>
      <c r="I12" s="455">
        <v>0</v>
      </c>
      <c r="J12" s="456" t="s">
        <v>1</v>
      </c>
    </row>
    <row r="13" spans="1:10" ht="14.4" customHeight="1" x14ac:dyDescent="0.3">
      <c r="A13" s="452" t="s">
        <v>468</v>
      </c>
      <c r="B13" s="453" t="s">
        <v>305</v>
      </c>
      <c r="C13" s="454">
        <v>130.48061999999902</v>
      </c>
      <c r="D13" s="454">
        <v>148.60295000000002</v>
      </c>
      <c r="E13" s="454"/>
      <c r="F13" s="454">
        <v>173.3288</v>
      </c>
      <c r="G13" s="454">
        <v>179.90567788185967</v>
      </c>
      <c r="H13" s="454">
        <v>-6.5768778818596729</v>
      </c>
      <c r="I13" s="455">
        <v>0.96344263305475786</v>
      </c>
      <c r="J13" s="456" t="s">
        <v>1</v>
      </c>
    </row>
    <row r="14" spans="1:10" ht="14.4" customHeight="1" x14ac:dyDescent="0.3">
      <c r="A14" s="452" t="s">
        <v>468</v>
      </c>
      <c r="B14" s="453" t="s">
        <v>306</v>
      </c>
      <c r="C14" s="454">
        <v>5.7000000000000002E-2</v>
      </c>
      <c r="D14" s="454">
        <v>0.36399999999999999</v>
      </c>
      <c r="E14" s="454"/>
      <c r="F14" s="454">
        <v>1.5315300000000001</v>
      </c>
      <c r="G14" s="454">
        <v>5.3333331653459997</v>
      </c>
      <c r="H14" s="454">
        <v>-3.8018031653459996</v>
      </c>
      <c r="I14" s="455">
        <v>0.28716188404491738</v>
      </c>
      <c r="J14" s="456" t="s">
        <v>1</v>
      </c>
    </row>
    <row r="15" spans="1:10" ht="14.4" customHeight="1" x14ac:dyDescent="0.3">
      <c r="A15" s="452" t="s">
        <v>468</v>
      </c>
      <c r="B15" s="453" t="s">
        <v>307</v>
      </c>
      <c r="C15" s="454">
        <v>3.6376499999989997</v>
      </c>
      <c r="D15" s="454">
        <v>15.64615</v>
      </c>
      <c r="E15" s="454"/>
      <c r="F15" s="454">
        <v>8.1454000000000004</v>
      </c>
      <c r="G15" s="454">
        <v>29.962811637917333</v>
      </c>
      <c r="H15" s="454">
        <v>-21.817411637917331</v>
      </c>
      <c r="I15" s="455">
        <v>0.27185032227390038</v>
      </c>
      <c r="J15" s="456" t="s">
        <v>1</v>
      </c>
    </row>
    <row r="16" spans="1:10" ht="14.4" customHeight="1" x14ac:dyDescent="0.3">
      <c r="A16" s="452" t="s">
        <v>468</v>
      </c>
      <c r="B16" s="453" t="s">
        <v>1178</v>
      </c>
      <c r="C16" s="454">
        <v>0</v>
      </c>
      <c r="D16" s="454" t="s">
        <v>470</v>
      </c>
      <c r="E16" s="454"/>
      <c r="F16" s="454" t="s">
        <v>470</v>
      </c>
      <c r="G16" s="454" t="s">
        <v>470</v>
      </c>
      <c r="H16" s="454" t="s">
        <v>470</v>
      </c>
      <c r="I16" s="455" t="s">
        <v>470</v>
      </c>
      <c r="J16" s="456" t="s">
        <v>1</v>
      </c>
    </row>
    <row r="17" spans="1:10" ht="14.4" customHeight="1" x14ac:dyDescent="0.3">
      <c r="A17" s="452" t="s">
        <v>468</v>
      </c>
      <c r="B17" s="453" t="s">
        <v>308</v>
      </c>
      <c r="C17" s="454">
        <v>8.2357499999999995</v>
      </c>
      <c r="D17" s="454">
        <v>2.9982099999999998</v>
      </c>
      <c r="E17" s="454"/>
      <c r="F17" s="454">
        <v>12.27826</v>
      </c>
      <c r="G17" s="454">
        <v>13.999651624903668</v>
      </c>
      <c r="H17" s="454">
        <v>-1.7213916249036689</v>
      </c>
      <c r="I17" s="455">
        <v>0.87704039564516567</v>
      </c>
      <c r="J17" s="456" t="s">
        <v>1</v>
      </c>
    </row>
    <row r="18" spans="1:10" ht="14.4" customHeight="1" x14ac:dyDescent="0.3">
      <c r="A18" s="452" t="s">
        <v>468</v>
      </c>
      <c r="B18" s="453" t="s">
        <v>472</v>
      </c>
      <c r="C18" s="454">
        <v>460.94376999999599</v>
      </c>
      <c r="D18" s="454">
        <v>514.64157</v>
      </c>
      <c r="E18" s="454"/>
      <c r="F18" s="454">
        <v>405.15716000000003</v>
      </c>
      <c r="G18" s="454">
        <v>708.86805596244619</v>
      </c>
      <c r="H18" s="454">
        <v>-303.71089596244616</v>
      </c>
      <c r="I18" s="455">
        <v>0.5715551104216553</v>
      </c>
      <c r="J18" s="456" t="s">
        <v>473</v>
      </c>
    </row>
    <row r="20" spans="1:10" ht="14.4" customHeight="1" x14ac:dyDescent="0.3">
      <c r="A20" s="452" t="s">
        <v>468</v>
      </c>
      <c r="B20" s="453" t="s">
        <v>469</v>
      </c>
      <c r="C20" s="454" t="s">
        <v>470</v>
      </c>
      <c r="D20" s="454" t="s">
        <v>470</v>
      </c>
      <c r="E20" s="454"/>
      <c r="F20" s="454" t="s">
        <v>470</v>
      </c>
      <c r="G20" s="454" t="s">
        <v>470</v>
      </c>
      <c r="H20" s="454" t="s">
        <v>470</v>
      </c>
      <c r="I20" s="455" t="s">
        <v>470</v>
      </c>
      <c r="J20" s="456" t="s">
        <v>69</v>
      </c>
    </row>
    <row r="21" spans="1:10" ht="14.4" customHeight="1" x14ac:dyDescent="0.3">
      <c r="A21" s="452" t="s">
        <v>474</v>
      </c>
      <c r="B21" s="453" t="s">
        <v>475</v>
      </c>
      <c r="C21" s="454" t="s">
        <v>470</v>
      </c>
      <c r="D21" s="454" t="s">
        <v>470</v>
      </c>
      <c r="E21" s="454"/>
      <c r="F21" s="454" t="s">
        <v>470</v>
      </c>
      <c r="G21" s="454" t="s">
        <v>470</v>
      </c>
      <c r="H21" s="454" t="s">
        <v>470</v>
      </c>
      <c r="I21" s="455" t="s">
        <v>470</v>
      </c>
      <c r="J21" s="456" t="s">
        <v>0</v>
      </c>
    </row>
    <row r="22" spans="1:10" ht="14.4" customHeight="1" x14ac:dyDescent="0.3">
      <c r="A22" s="452" t="s">
        <v>474</v>
      </c>
      <c r="B22" s="453" t="s">
        <v>302</v>
      </c>
      <c r="C22" s="454">
        <v>19.285769999999999</v>
      </c>
      <c r="D22" s="454">
        <v>15.332879999999999</v>
      </c>
      <c r="E22" s="454"/>
      <c r="F22" s="454">
        <v>49.713560000000001</v>
      </c>
      <c r="G22" s="454">
        <v>69.753193004279993</v>
      </c>
      <c r="H22" s="454">
        <v>-20.039633004279992</v>
      </c>
      <c r="I22" s="455">
        <v>0.71270658530211828</v>
      </c>
      <c r="J22" s="456" t="s">
        <v>1</v>
      </c>
    </row>
    <row r="23" spans="1:10" ht="14.4" customHeight="1" x14ac:dyDescent="0.3">
      <c r="A23" s="452" t="s">
        <v>474</v>
      </c>
      <c r="B23" s="453" t="s">
        <v>303</v>
      </c>
      <c r="C23" s="454">
        <v>0.36859999999999998</v>
      </c>
      <c r="D23" s="454">
        <v>5.5287399999999991</v>
      </c>
      <c r="E23" s="454"/>
      <c r="F23" s="454">
        <v>9.8675500000000014</v>
      </c>
      <c r="G23" s="454">
        <v>39.999998740096999</v>
      </c>
      <c r="H23" s="454">
        <v>-30.132448740096997</v>
      </c>
      <c r="I23" s="455">
        <v>0.24668875777009769</v>
      </c>
      <c r="J23" s="456" t="s">
        <v>1</v>
      </c>
    </row>
    <row r="24" spans="1:10" ht="14.4" customHeight="1" x14ac:dyDescent="0.3">
      <c r="A24" s="452" t="s">
        <v>474</v>
      </c>
      <c r="B24" s="453" t="s">
        <v>304</v>
      </c>
      <c r="C24" s="454">
        <v>0</v>
      </c>
      <c r="D24" s="454">
        <v>0</v>
      </c>
      <c r="E24" s="454"/>
      <c r="F24" s="454">
        <v>0</v>
      </c>
      <c r="G24" s="454">
        <v>8.169999742633334E-2</v>
      </c>
      <c r="H24" s="454">
        <v>-8.169999742633334E-2</v>
      </c>
      <c r="I24" s="455">
        <v>0</v>
      </c>
      <c r="J24" s="456" t="s">
        <v>1</v>
      </c>
    </row>
    <row r="25" spans="1:10" ht="14.4" customHeight="1" x14ac:dyDescent="0.3">
      <c r="A25" s="452" t="s">
        <v>474</v>
      </c>
      <c r="B25" s="453" t="s">
        <v>306</v>
      </c>
      <c r="C25" s="454">
        <v>0</v>
      </c>
      <c r="D25" s="454">
        <v>0.30399999999999999</v>
      </c>
      <c r="E25" s="454"/>
      <c r="F25" s="454">
        <v>0.217</v>
      </c>
      <c r="G25" s="454">
        <v>1.9999999370046666</v>
      </c>
      <c r="H25" s="454">
        <v>-1.7829999370046665</v>
      </c>
      <c r="I25" s="455">
        <v>0.10850000341749694</v>
      </c>
      <c r="J25" s="456" t="s">
        <v>1</v>
      </c>
    </row>
    <row r="26" spans="1:10" ht="14.4" customHeight="1" x14ac:dyDescent="0.3">
      <c r="A26" s="452" t="s">
        <v>474</v>
      </c>
      <c r="B26" s="453" t="s">
        <v>307</v>
      </c>
      <c r="C26" s="454">
        <v>0</v>
      </c>
      <c r="D26" s="454">
        <v>5.7149000000000001</v>
      </c>
      <c r="E26" s="454"/>
      <c r="F26" s="454">
        <v>5.2000999999999999</v>
      </c>
      <c r="G26" s="454">
        <v>5.9628123938593331</v>
      </c>
      <c r="H26" s="454">
        <v>-0.7627123938593332</v>
      </c>
      <c r="I26" s="455">
        <v>0.87208848048870447</v>
      </c>
      <c r="J26" s="456" t="s">
        <v>1</v>
      </c>
    </row>
    <row r="27" spans="1:10" ht="14.4" customHeight="1" x14ac:dyDescent="0.3">
      <c r="A27" s="452" t="s">
        <v>474</v>
      </c>
      <c r="B27" s="453" t="s">
        <v>476</v>
      </c>
      <c r="C27" s="454">
        <v>19.65437</v>
      </c>
      <c r="D27" s="454">
        <v>26.880519999999997</v>
      </c>
      <c r="E27" s="454"/>
      <c r="F27" s="454">
        <v>64.99821</v>
      </c>
      <c r="G27" s="454">
        <v>117.79770407266733</v>
      </c>
      <c r="H27" s="454">
        <v>-52.799494072667329</v>
      </c>
      <c r="I27" s="455">
        <v>0.55177824144945775</v>
      </c>
      <c r="J27" s="456" t="s">
        <v>477</v>
      </c>
    </row>
    <row r="28" spans="1:10" ht="14.4" customHeight="1" x14ac:dyDescent="0.3">
      <c r="A28" s="452" t="s">
        <v>470</v>
      </c>
      <c r="B28" s="453" t="s">
        <v>470</v>
      </c>
      <c r="C28" s="454" t="s">
        <v>470</v>
      </c>
      <c r="D28" s="454" t="s">
        <v>470</v>
      </c>
      <c r="E28" s="454"/>
      <c r="F28" s="454" t="s">
        <v>470</v>
      </c>
      <c r="G28" s="454" t="s">
        <v>470</v>
      </c>
      <c r="H28" s="454" t="s">
        <v>470</v>
      </c>
      <c r="I28" s="455" t="s">
        <v>470</v>
      </c>
      <c r="J28" s="456" t="s">
        <v>478</v>
      </c>
    </row>
    <row r="29" spans="1:10" ht="14.4" customHeight="1" x14ac:dyDescent="0.3">
      <c r="A29" s="452" t="s">
        <v>479</v>
      </c>
      <c r="B29" s="453" t="s">
        <v>480</v>
      </c>
      <c r="C29" s="454" t="s">
        <v>470</v>
      </c>
      <c r="D29" s="454" t="s">
        <v>470</v>
      </c>
      <c r="E29" s="454"/>
      <c r="F29" s="454" t="s">
        <v>470</v>
      </c>
      <c r="G29" s="454" t="s">
        <v>470</v>
      </c>
      <c r="H29" s="454" t="s">
        <v>470</v>
      </c>
      <c r="I29" s="455" t="s">
        <v>470</v>
      </c>
      <c r="J29" s="456" t="s">
        <v>0</v>
      </c>
    </row>
    <row r="30" spans="1:10" ht="14.4" customHeight="1" x14ac:dyDescent="0.3">
      <c r="A30" s="452" t="s">
        <v>479</v>
      </c>
      <c r="B30" s="453" t="s">
        <v>298</v>
      </c>
      <c r="C30" s="454">
        <v>60.219100000000005</v>
      </c>
      <c r="D30" s="454" t="s">
        <v>470</v>
      </c>
      <c r="E30" s="454"/>
      <c r="F30" s="454" t="s">
        <v>470</v>
      </c>
      <c r="G30" s="454" t="s">
        <v>470</v>
      </c>
      <c r="H30" s="454" t="s">
        <v>470</v>
      </c>
      <c r="I30" s="455" t="s">
        <v>470</v>
      </c>
      <c r="J30" s="456" t="s">
        <v>1</v>
      </c>
    </row>
    <row r="31" spans="1:10" ht="14.4" customHeight="1" x14ac:dyDescent="0.3">
      <c r="A31" s="452" t="s">
        <v>479</v>
      </c>
      <c r="B31" s="453" t="s">
        <v>299</v>
      </c>
      <c r="C31" s="454">
        <v>206.96145999999899</v>
      </c>
      <c r="D31" s="454">
        <v>126.95652</v>
      </c>
      <c r="E31" s="454"/>
      <c r="F31" s="454">
        <v>0</v>
      </c>
      <c r="G31" s="454">
        <v>49.999998425121333</v>
      </c>
      <c r="H31" s="454">
        <v>-49.999998425121333</v>
      </c>
      <c r="I31" s="455">
        <v>0</v>
      </c>
      <c r="J31" s="456" t="s">
        <v>1</v>
      </c>
    </row>
    <row r="32" spans="1:10" ht="14.4" customHeight="1" x14ac:dyDescent="0.3">
      <c r="A32" s="452" t="s">
        <v>479</v>
      </c>
      <c r="B32" s="453" t="s">
        <v>300</v>
      </c>
      <c r="C32" s="454" t="s">
        <v>470</v>
      </c>
      <c r="D32" s="454">
        <v>120.41524</v>
      </c>
      <c r="E32" s="454"/>
      <c r="F32" s="454">
        <v>110.09156000000002</v>
      </c>
      <c r="G32" s="454">
        <v>199.99999370048465</v>
      </c>
      <c r="H32" s="454">
        <v>-89.908433700484636</v>
      </c>
      <c r="I32" s="455">
        <v>0.55045781733808741</v>
      </c>
      <c r="J32" s="456" t="s">
        <v>1</v>
      </c>
    </row>
    <row r="33" spans="1:10" ht="14.4" customHeight="1" x14ac:dyDescent="0.3">
      <c r="A33" s="452" t="s">
        <v>479</v>
      </c>
      <c r="B33" s="453" t="s">
        <v>301</v>
      </c>
      <c r="C33" s="454" t="s">
        <v>470</v>
      </c>
      <c r="D33" s="454" t="s">
        <v>470</v>
      </c>
      <c r="E33" s="454"/>
      <c r="F33" s="454">
        <v>0</v>
      </c>
      <c r="G33" s="454">
        <v>15</v>
      </c>
      <c r="H33" s="454">
        <v>-15</v>
      </c>
      <c r="I33" s="455">
        <v>0</v>
      </c>
      <c r="J33" s="456" t="s">
        <v>1</v>
      </c>
    </row>
    <row r="34" spans="1:10" ht="14.4" customHeight="1" x14ac:dyDescent="0.3">
      <c r="A34" s="452" t="s">
        <v>479</v>
      </c>
      <c r="B34" s="453" t="s">
        <v>302</v>
      </c>
      <c r="C34" s="454">
        <v>3.9573100000000001</v>
      </c>
      <c r="D34" s="454">
        <v>1.83317</v>
      </c>
      <c r="E34" s="454"/>
      <c r="F34" s="454">
        <v>8.4600799999999996</v>
      </c>
      <c r="G34" s="454">
        <v>39</v>
      </c>
      <c r="H34" s="454">
        <v>-30.539920000000002</v>
      </c>
      <c r="I34" s="455">
        <v>0.21692512820512819</v>
      </c>
      <c r="J34" s="456" t="s">
        <v>1</v>
      </c>
    </row>
    <row r="35" spans="1:10" ht="14.4" customHeight="1" x14ac:dyDescent="0.3">
      <c r="A35" s="452" t="s">
        <v>479</v>
      </c>
      <c r="B35" s="453" t="s">
        <v>303</v>
      </c>
      <c r="C35" s="454">
        <v>4.2143999999999995</v>
      </c>
      <c r="D35" s="454">
        <v>49.969360000000002</v>
      </c>
      <c r="E35" s="454"/>
      <c r="F35" s="454">
        <v>9.6728900000000007</v>
      </c>
      <c r="G35" s="454">
        <v>23.960466005217331</v>
      </c>
      <c r="H35" s="454">
        <v>-14.28757600521733</v>
      </c>
      <c r="I35" s="455">
        <v>0.4037020814993228</v>
      </c>
      <c r="J35" s="456" t="s">
        <v>1</v>
      </c>
    </row>
    <row r="36" spans="1:10" ht="14.4" customHeight="1" x14ac:dyDescent="0.3">
      <c r="A36" s="452" t="s">
        <v>479</v>
      </c>
      <c r="B36" s="453" t="s">
        <v>305</v>
      </c>
      <c r="C36" s="454">
        <v>21.685999999998998</v>
      </c>
      <c r="D36" s="454">
        <v>41.542140000000003</v>
      </c>
      <c r="E36" s="454"/>
      <c r="F36" s="454">
        <v>70.412540000000007</v>
      </c>
      <c r="G36" s="454">
        <v>62.999998015652665</v>
      </c>
      <c r="H36" s="454">
        <v>7.4125419843473423</v>
      </c>
      <c r="I36" s="455">
        <v>1.1176594002829279</v>
      </c>
      <c r="J36" s="456" t="s">
        <v>1</v>
      </c>
    </row>
    <row r="37" spans="1:10" ht="14.4" customHeight="1" x14ac:dyDescent="0.3">
      <c r="A37" s="452" t="s">
        <v>479</v>
      </c>
      <c r="B37" s="453" t="s">
        <v>306</v>
      </c>
      <c r="C37" s="454">
        <v>5.7000000000000002E-2</v>
      </c>
      <c r="D37" s="454">
        <v>0.06</v>
      </c>
      <c r="E37" s="454"/>
      <c r="F37" s="454">
        <v>1.31453</v>
      </c>
      <c r="G37" s="454">
        <v>3.3333332283413331</v>
      </c>
      <c r="H37" s="454">
        <v>-2.0188032283413331</v>
      </c>
      <c r="I37" s="455">
        <v>0.39435901242136245</v>
      </c>
      <c r="J37" s="456" t="s">
        <v>1</v>
      </c>
    </row>
    <row r="38" spans="1:10" ht="14.4" customHeight="1" x14ac:dyDescent="0.3">
      <c r="A38" s="452" t="s">
        <v>479</v>
      </c>
      <c r="B38" s="453" t="s">
        <v>307</v>
      </c>
      <c r="C38" s="454">
        <v>3.6376499999989997</v>
      </c>
      <c r="D38" s="454">
        <v>9.9312500000000004</v>
      </c>
      <c r="E38" s="454"/>
      <c r="F38" s="454">
        <v>2.9453</v>
      </c>
      <c r="G38" s="454">
        <v>23.999999244057999</v>
      </c>
      <c r="H38" s="454">
        <v>-21.054699244058</v>
      </c>
      <c r="I38" s="455">
        <v>0.12272083719874313</v>
      </c>
      <c r="J38" s="456" t="s">
        <v>1</v>
      </c>
    </row>
    <row r="39" spans="1:10" ht="14.4" customHeight="1" x14ac:dyDescent="0.3">
      <c r="A39" s="452" t="s">
        <v>479</v>
      </c>
      <c r="B39" s="453" t="s">
        <v>481</v>
      </c>
      <c r="C39" s="454">
        <v>300.73291999999702</v>
      </c>
      <c r="D39" s="454">
        <v>350.70767999999998</v>
      </c>
      <c r="E39" s="454"/>
      <c r="F39" s="454">
        <v>202.89690000000002</v>
      </c>
      <c r="G39" s="454">
        <v>418.29378861887534</v>
      </c>
      <c r="H39" s="454">
        <v>-215.39688861887532</v>
      </c>
      <c r="I39" s="455">
        <v>0.48505836213807069</v>
      </c>
      <c r="J39" s="456" t="s">
        <v>477</v>
      </c>
    </row>
    <row r="40" spans="1:10" ht="14.4" customHeight="1" x14ac:dyDescent="0.3">
      <c r="A40" s="452" t="s">
        <v>470</v>
      </c>
      <c r="B40" s="453" t="s">
        <v>470</v>
      </c>
      <c r="C40" s="454" t="s">
        <v>470</v>
      </c>
      <c r="D40" s="454" t="s">
        <v>470</v>
      </c>
      <c r="E40" s="454"/>
      <c r="F40" s="454" t="s">
        <v>470</v>
      </c>
      <c r="G40" s="454" t="s">
        <v>470</v>
      </c>
      <c r="H40" s="454" t="s">
        <v>470</v>
      </c>
      <c r="I40" s="455" t="s">
        <v>470</v>
      </c>
      <c r="J40" s="456" t="s">
        <v>478</v>
      </c>
    </row>
    <row r="41" spans="1:10" ht="14.4" customHeight="1" x14ac:dyDescent="0.3">
      <c r="A41" s="452" t="s">
        <v>482</v>
      </c>
      <c r="B41" s="453" t="s">
        <v>483</v>
      </c>
      <c r="C41" s="454" t="s">
        <v>470</v>
      </c>
      <c r="D41" s="454" t="s">
        <v>470</v>
      </c>
      <c r="E41" s="454"/>
      <c r="F41" s="454" t="s">
        <v>470</v>
      </c>
      <c r="G41" s="454" t="s">
        <v>470</v>
      </c>
      <c r="H41" s="454" t="s">
        <v>470</v>
      </c>
      <c r="I41" s="455" t="s">
        <v>470</v>
      </c>
      <c r="J41" s="456" t="s">
        <v>0</v>
      </c>
    </row>
    <row r="42" spans="1:10" ht="14.4" customHeight="1" x14ac:dyDescent="0.3">
      <c r="A42" s="452" t="s">
        <v>482</v>
      </c>
      <c r="B42" s="453" t="s">
        <v>298</v>
      </c>
      <c r="C42" s="454">
        <v>0.47239999999999999</v>
      </c>
      <c r="D42" s="454">
        <v>5.66357</v>
      </c>
      <c r="E42" s="454"/>
      <c r="F42" s="454">
        <v>10.25656</v>
      </c>
      <c r="G42" s="454">
        <v>21.333332661385001</v>
      </c>
      <c r="H42" s="454">
        <v>-11.076772661385</v>
      </c>
      <c r="I42" s="455">
        <v>0.48077626514328797</v>
      </c>
      <c r="J42" s="456" t="s">
        <v>1</v>
      </c>
    </row>
    <row r="43" spans="1:10" ht="14.4" customHeight="1" x14ac:dyDescent="0.3">
      <c r="A43" s="452" t="s">
        <v>482</v>
      </c>
      <c r="B43" s="453" t="s">
        <v>302</v>
      </c>
      <c r="C43" s="454">
        <v>8.6968999999999994</v>
      </c>
      <c r="D43" s="454">
        <v>12.587319999999998</v>
      </c>
      <c r="E43" s="454"/>
      <c r="F43" s="454">
        <v>0.99329000000000001</v>
      </c>
      <c r="G43" s="454">
        <v>9.5567450100723335</v>
      </c>
      <c r="H43" s="454">
        <v>-8.5634550100723335</v>
      </c>
      <c r="I43" s="455">
        <v>0.10393601576196936</v>
      </c>
      <c r="J43" s="456" t="s">
        <v>1</v>
      </c>
    </row>
    <row r="44" spans="1:10" ht="14.4" customHeight="1" x14ac:dyDescent="0.3">
      <c r="A44" s="452" t="s">
        <v>482</v>
      </c>
      <c r="B44" s="453" t="s">
        <v>303</v>
      </c>
      <c r="C44" s="454">
        <v>14.356809999998999</v>
      </c>
      <c r="D44" s="454">
        <v>8.7434600000000007</v>
      </c>
      <c r="E44" s="454"/>
      <c r="F44" s="454">
        <v>10.817679999999999</v>
      </c>
      <c r="G44" s="454">
        <v>10.981154108335666</v>
      </c>
      <c r="H44" s="454">
        <v>-0.16347410833566656</v>
      </c>
      <c r="I44" s="455">
        <v>0.98511321244352856</v>
      </c>
      <c r="J44" s="456" t="s">
        <v>1</v>
      </c>
    </row>
    <row r="45" spans="1:10" ht="14.4" customHeight="1" x14ac:dyDescent="0.3">
      <c r="A45" s="452" t="s">
        <v>482</v>
      </c>
      <c r="B45" s="453" t="s">
        <v>305</v>
      </c>
      <c r="C45" s="454">
        <v>108.79462000000001</v>
      </c>
      <c r="D45" s="454">
        <v>107.06081</v>
      </c>
      <c r="E45" s="454"/>
      <c r="F45" s="454">
        <v>102.91625999999999</v>
      </c>
      <c r="G45" s="454">
        <v>116.905679866207</v>
      </c>
      <c r="H45" s="454">
        <v>-13.989419866207001</v>
      </c>
      <c r="I45" s="455">
        <v>0.88033584097695483</v>
      </c>
      <c r="J45" s="456" t="s">
        <v>1</v>
      </c>
    </row>
    <row r="46" spans="1:10" ht="14.4" customHeight="1" x14ac:dyDescent="0.3">
      <c r="A46" s="452" t="s">
        <v>482</v>
      </c>
      <c r="B46" s="453" t="s">
        <v>307</v>
      </c>
      <c r="C46" s="454">
        <v>0</v>
      </c>
      <c r="D46" s="454" t="s">
        <v>470</v>
      </c>
      <c r="E46" s="454"/>
      <c r="F46" s="454" t="s">
        <v>470</v>
      </c>
      <c r="G46" s="454" t="s">
        <v>470</v>
      </c>
      <c r="H46" s="454" t="s">
        <v>470</v>
      </c>
      <c r="I46" s="455" t="s">
        <v>470</v>
      </c>
      <c r="J46" s="456" t="s">
        <v>1</v>
      </c>
    </row>
    <row r="47" spans="1:10" ht="14.4" customHeight="1" x14ac:dyDescent="0.3">
      <c r="A47" s="452" t="s">
        <v>482</v>
      </c>
      <c r="B47" s="453" t="s">
        <v>1178</v>
      </c>
      <c r="C47" s="454">
        <v>0</v>
      </c>
      <c r="D47" s="454" t="s">
        <v>470</v>
      </c>
      <c r="E47" s="454"/>
      <c r="F47" s="454" t="s">
        <v>470</v>
      </c>
      <c r="G47" s="454" t="s">
        <v>470</v>
      </c>
      <c r="H47" s="454" t="s">
        <v>470</v>
      </c>
      <c r="I47" s="455" t="s">
        <v>470</v>
      </c>
      <c r="J47" s="456" t="s">
        <v>1</v>
      </c>
    </row>
    <row r="48" spans="1:10" ht="14.4" customHeight="1" x14ac:dyDescent="0.3">
      <c r="A48" s="452" t="s">
        <v>482</v>
      </c>
      <c r="B48" s="453" t="s">
        <v>308</v>
      </c>
      <c r="C48" s="454">
        <v>8.2357499999999995</v>
      </c>
      <c r="D48" s="454">
        <v>2.9982099999999998</v>
      </c>
      <c r="E48" s="454"/>
      <c r="F48" s="454">
        <v>12.27826</v>
      </c>
      <c r="G48" s="454">
        <v>13.999651624903668</v>
      </c>
      <c r="H48" s="454">
        <v>-1.7213916249036689</v>
      </c>
      <c r="I48" s="455">
        <v>0.87704039564516567</v>
      </c>
      <c r="J48" s="456" t="s">
        <v>1</v>
      </c>
    </row>
    <row r="49" spans="1:10" ht="14.4" customHeight="1" x14ac:dyDescent="0.3">
      <c r="A49" s="452" t="s">
        <v>482</v>
      </c>
      <c r="B49" s="453" t="s">
        <v>484</v>
      </c>
      <c r="C49" s="454">
        <v>140.556479999999</v>
      </c>
      <c r="D49" s="454">
        <v>137.05337</v>
      </c>
      <c r="E49" s="454"/>
      <c r="F49" s="454">
        <v>137.26204999999999</v>
      </c>
      <c r="G49" s="454">
        <v>172.77656327090367</v>
      </c>
      <c r="H49" s="454">
        <v>-35.514513270903677</v>
      </c>
      <c r="I49" s="455">
        <v>0.7944483175347169</v>
      </c>
      <c r="J49" s="456" t="s">
        <v>477</v>
      </c>
    </row>
    <row r="50" spans="1:10" ht="14.4" customHeight="1" x14ac:dyDescent="0.3">
      <c r="A50" s="452" t="s">
        <v>470</v>
      </c>
      <c r="B50" s="453" t="s">
        <v>470</v>
      </c>
      <c r="C50" s="454" t="s">
        <v>470</v>
      </c>
      <c r="D50" s="454" t="s">
        <v>470</v>
      </c>
      <c r="E50" s="454"/>
      <c r="F50" s="454" t="s">
        <v>470</v>
      </c>
      <c r="G50" s="454" t="s">
        <v>470</v>
      </c>
      <c r="H50" s="454" t="s">
        <v>470</v>
      </c>
      <c r="I50" s="455" t="s">
        <v>470</v>
      </c>
      <c r="J50" s="456" t="s">
        <v>478</v>
      </c>
    </row>
    <row r="51" spans="1:10" ht="14.4" customHeight="1" x14ac:dyDescent="0.3">
      <c r="A51" s="452" t="s">
        <v>1179</v>
      </c>
      <c r="B51" s="453" t="s">
        <v>1180</v>
      </c>
      <c r="C51" s="454" t="s">
        <v>470</v>
      </c>
      <c r="D51" s="454" t="s">
        <v>470</v>
      </c>
      <c r="E51" s="454"/>
      <c r="F51" s="454" t="s">
        <v>470</v>
      </c>
      <c r="G51" s="454" t="s">
        <v>470</v>
      </c>
      <c r="H51" s="454" t="s">
        <v>470</v>
      </c>
      <c r="I51" s="455" t="s">
        <v>470</v>
      </c>
      <c r="J51" s="456" t="s">
        <v>0</v>
      </c>
    </row>
    <row r="52" spans="1:10" ht="14.4" customHeight="1" x14ac:dyDescent="0.3">
      <c r="A52" s="452" t="s">
        <v>1179</v>
      </c>
      <c r="B52" s="453" t="s">
        <v>307</v>
      </c>
      <c r="C52" s="454">
        <v>0</v>
      </c>
      <c r="D52" s="454" t="s">
        <v>470</v>
      </c>
      <c r="E52" s="454"/>
      <c r="F52" s="454" t="s">
        <v>470</v>
      </c>
      <c r="G52" s="454" t="s">
        <v>470</v>
      </c>
      <c r="H52" s="454" t="s">
        <v>470</v>
      </c>
      <c r="I52" s="455" t="s">
        <v>470</v>
      </c>
      <c r="J52" s="456" t="s">
        <v>1</v>
      </c>
    </row>
    <row r="53" spans="1:10" ht="14.4" customHeight="1" x14ac:dyDescent="0.3">
      <c r="A53" s="452" t="s">
        <v>1179</v>
      </c>
      <c r="B53" s="453" t="s">
        <v>1181</v>
      </c>
      <c r="C53" s="454">
        <v>0</v>
      </c>
      <c r="D53" s="454" t="s">
        <v>470</v>
      </c>
      <c r="E53" s="454"/>
      <c r="F53" s="454" t="s">
        <v>470</v>
      </c>
      <c r="G53" s="454" t="s">
        <v>470</v>
      </c>
      <c r="H53" s="454" t="s">
        <v>470</v>
      </c>
      <c r="I53" s="455" t="s">
        <v>470</v>
      </c>
      <c r="J53" s="456" t="s">
        <v>477</v>
      </c>
    </row>
    <row r="54" spans="1:10" ht="14.4" customHeight="1" x14ac:dyDescent="0.3">
      <c r="A54" s="452" t="s">
        <v>470</v>
      </c>
      <c r="B54" s="453" t="s">
        <v>470</v>
      </c>
      <c r="C54" s="454" t="s">
        <v>470</v>
      </c>
      <c r="D54" s="454" t="s">
        <v>470</v>
      </c>
      <c r="E54" s="454"/>
      <c r="F54" s="454" t="s">
        <v>470</v>
      </c>
      <c r="G54" s="454" t="s">
        <v>470</v>
      </c>
      <c r="H54" s="454" t="s">
        <v>470</v>
      </c>
      <c r="I54" s="455" t="s">
        <v>470</v>
      </c>
      <c r="J54" s="456" t="s">
        <v>478</v>
      </c>
    </row>
    <row r="55" spans="1:10" ht="14.4" customHeight="1" x14ac:dyDescent="0.3">
      <c r="A55" s="452" t="s">
        <v>468</v>
      </c>
      <c r="B55" s="453" t="s">
        <v>472</v>
      </c>
      <c r="C55" s="454">
        <v>460.94376999999594</v>
      </c>
      <c r="D55" s="454">
        <v>514.64157</v>
      </c>
      <c r="E55" s="454"/>
      <c r="F55" s="454">
        <v>405.15715999999992</v>
      </c>
      <c r="G55" s="454">
        <v>708.86805596244631</v>
      </c>
      <c r="H55" s="454">
        <v>-303.71089596244639</v>
      </c>
      <c r="I55" s="455">
        <v>0.57155511042165497</v>
      </c>
      <c r="J55" s="456" t="s">
        <v>473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12.44140625" style="214" hidden="1" customWidth="1" outlineLevel="1"/>
    <col min="8" max="8" width="25.77734375" style="214" customWidth="1" collapsed="1"/>
    <col min="9" max="9" width="7.77734375" style="212" customWidth="1"/>
    <col min="10" max="10" width="10" style="212" customWidth="1"/>
    <col min="11" max="11" width="11.109375" style="212" customWidth="1"/>
    <col min="12" max="16384" width="8.88671875" style="133"/>
  </cols>
  <sheetData>
    <row r="1" spans="1:11" ht="18.600000000000001" customHeight="1" thickBot="1" x14ac:dyDescent="0.4">
      <c r="A1" s="366" t="s">
        <v>1452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40" t="s">
        <v>286</v>
      </c>
      <c r="B2" s="62"/>
      <c r="C2" s="216"/>
      <c r="D2" s="216"/>
      <c r="E2" s="216"/>
      <c r="F2" s="216"/>
      <c r="G2" s="216"/>
      <c r="H2" s="216"/>
      <c r="I2" s="217"/>
      <c r="J2" s="217"/>
      <c r="K2" s="217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12.213793862293501</v>
      </c>
      <c r="J3" s="99">
        <f>SUBTOTAL(9,J5:J1048576)</f>
        <v>33172</v>
      </c>
      <c r="K3" s="100">
        <f>SUBTOTAL(9,K5:K1048576)</f>
        <v>405155.97000000003</v>
      </c>
    </row>
    <row r="4" spans="1:11" s="213" customFormat="1" ht="14.4" customHeight="1" thickBot="1" x14ac:dyDescent="0.3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71</v>
      </c>
      <c r="H4" s="459" t="s">
        <v>11</v>
      </c>
      <c r="I4" s="460" t="s">
        <v>147</v>
      </c>
      <c r="J4" s="460" t="s">
        <v>13</v>
      </c>
      <c r="K4" s="461" t="s">
        <v>164</v>
      </c>
    </row>
    <row r="5" spans="1:11" ht="14.4" customHeight="1" x14ac:dyDescent="0.3">
      <c r="A5" s="545" t="s">
        <v>468</v>
      </c>
      <c r="B5" s="546" t="s">
        <v>469</v>
      </c>
      <c r="C5" s="549" t="s">
        <v>479</v>
      </c>
      <c r="D5" s="583" t="s">
        <v>626</v>
      </c>
      <c r="E5" s="549" t="s">
        <v>1436</v>
      </c>
      <c r="F5" s="583" t="s">
        <v>1437</v>
      </c>
      <c r="G5" s="549" t="s">
        <v>1182</v>
      </c>
      <c r="H5" s="549" t="s">
        <v>1183</v>
      </c>
      <c r="I5" s="119">
        <v>0.4</v>
      </c>
      <c r="J5" s="119">
        <v>500</v>
      </c>
      <c r="K5" s="569">
        <v>200</v>
      </c>
    </row>
    <row r="6" spans="1:11" ht="14.4" customHeight="1" x14ac:dyDescent="0.3">
      <c r="A6" s="552" t="s">
        <v>468</v>
      </c>
      <c r="B6" s="553" t="s">
        <v>469</v>
      </c>
      <c r="C6" s="556" t="s">
        <v>479</v>
      </c>
      <c r="D6" s="584" t="s">
        <v>626</v>
      </c>
      <c r="E6" s="556" t="s">
        <v>1436</v>
      </c>
      <c r="F6" s="584" t="s">
        <v>1437</v>
      </c>
      <c r="G6" s="556" t="s">
        <v>1184</v>
      </c>
      <c r="H6" s="556" t="s">
        <v>1185</v>
      </c>
      <c r="I6" s="570">
        <v>27.22</v>
      </c>
      <c r="J6" s="570">
        <v>3</v>
      </c>
      <c r="K6" s="571">
        <v>81.66</v>
      </c>
    </row>
    <row r="7" spans="1:11" ht="14.4" customHeight="1" x14ac:dyDescent="0.3">
      <c r="A7" s="552" t="s">
        <v>468</v>
      </c>
      <c r="B7" s="553" t="s">
        <v>469</v>
      </c>
      <c r="C7" s="556" t="s">
        <v>479</v>
      </c>
      <c r="D7" s="584" t="s">
        <v>626</v>
      </c>
      <c r="E7" s="556" t="s">
        <v>1436</v>
      </c>
      <c r="F7" s="584" t="s">
        <v>1437</v>
      </c>
      <c r="G7" s="556" t="s">
        <v>1186</v>
      </c>
      <c r="H7" s="556" t="s">
        <v>1187</v>
      </c>
      <c r="I7" s="570">
        <v>0.43333333333333335</v>
      </c>
      <c r="J7" s="570">
        <v>10000</v>
      </c>
      <c r="K7" s="571">
        <v>4321.91</v>
      </c>
    </row>
    <row r="8" spans="1:11" ht="14.4" customHeight="1" x14ac:dyDescent="0.3">
      <c r="A8" s="552" t="s">
        <v>468</v>
      </c>
      <c r="B8" s="553" t="s">
        <v>469</v>
      </c>
      <c r="C8" s="556" t="s">
        <v>479</v>
      </c>
      <c r="D8" s="584" t="s">
        <v>626</v>
      </c>
      <c r="E8" s="556" t="s">
        <v>1436</v>
      </c>
      <c r="F8" s="584" t="s">
        <v>1437</v>
      </c>
      <c r="G8" s="556" t="s">
        <v>1188</v>
      </c>
      <c r="H8" s="556" t="s">
        <v>1189</v>
      </c>
      <c r="I8" s="570">
        <v>61.22</v>
      </c>
      <c r="J8" s="570">
        <v>3</v>
      </c>
      <c r="K8" s="571">
        <v>183.66</v>
      </c>
    </row>
    <row r="9" spans="1:11" ht="14.4" customHeight="1" x14ac:dyDescent="0.3">
      <c r="A9" s="552" t="s">
        <v>468</v>
      </c>
      <c r="B9" s="553" t="s">
        <v>469</v>
      </c>
      <c r="C9" s="556" t="s">
        <v>479</v>
      </c>
      <c r="D9" s="584" t="s">
        <v>626</v>
      </c>
      <c r="E9" s="556" t="s">
        <v>1436</v>
      </c>
      <c r="F9" s="584" t="s">
        <v>1437</v>
      </c>
      <c r="G9" s="556" t="s">
        <v>1190</v>
      </c>
      <c r="H9" s="556" t="s">
        <v>1191</v>
      </c>
      <c r="I9" s="570">
        <v>26.16333333333333</v>
      </c>
      <c r="J9" s="570">
        <v>7</v>
      </c>
      <c r="K9" s="571">
        <v>183.14000000000001</v>
      </c>
    </row>
    <row r="10" spans="1:11" ht="14.4" customHeight="1" x14ac:dyDescent="0.3">
      <c r="A10" s="552" t="s">
        <v>468</v>
      </c>
      <c r="B10" s="553" t="s">
        <v>469</v>
      </c>
      <c r="C10" s="556" t="s">
        <v>479</v>
      </c>
      <c r="D10" s="584" t="s">
        <v>626</v>
      </c>
      <c r="E10" s="556" t="s">
        <v>1436</v>
      </c>
      <c r="F10" s="584" t="s">
        <v>1437</v>
      </c>
      <c r="G10" s="556" t="s">
        <v>1192</v>
      </c>
      <c r="H10" s="556" t="s">
        <v>1193</v>
      </c>
      <c r="I10" s="570">
        <v>0.85</v>
      </c>
      <c r="J10" s="570">
        <v>402</v>
      </c>
      <c r="K10" s="571">
        <v>341.7</v>
      </c>
    </row>
    <row r="11" spans="1:11" ht="14.4" customHeight="1" x14ac:dyDescent="0.3">
      <c r="A11" s="552" t="s">
        <v>468</v>
      </c>
      <c r="B11" s="553" t="s">
        <v>469</v>
      </c>
      <c r="C11" s="556" t="s">
        <v>479</v>
      </c>
      <c r="D11" s="584" t="s">
        <v>626</v>
      </c>
      <c r="E11" s="556" t="s">
        <v>1436</v>
      </c>
      <c r="F11" s="584" t="s">
        <v>1437</v>
      </c>
      <c r="G11" s="556" t="s">
        <v>1194</v>
      </c>
      <c r="H11" s="556" t="s">
        <v>1195</v>
      </c>
      <c r="I11" s="570">
        <v>1.5200000000000002</v>
      </c>
      <c r="J11" s="570">
        <v>402</v>
      </c>
      <c r="K11" s="571">
        <v>611.04</v>
      </c>
    </row>
    <row r="12" spans="1:11" ht="14.4" customHeight="1" x14ac:dyDescent="0.3">
      <c r="A12" s="552" t="s">
        <v>468</v>
      </c>
      <c r="B12" s="553" t="s">
        <v>469</v>
      </c>
      <c r="C12" s="556" t="s">
        <v>479</v>
      </c>
      <c r="D12" s="584" t="s">
        <v>626</v>
      </c>
      <c r="E12" s="556" t="s">
        <v>1436</v>
      </c>
      <c r="F12" s="584" t="s">
        <v>1437</v>
      </c>
      <c r="G12" s="556" t="s">
        <v>1196</v>
      </c>
      <c r="H12" s="556" t="s">
        <v>1197</v>
      </c>
      <c r="I12" s="570">
        <v>3.37</v>
      </c>
      <c r="J12" s="570">
        <v>100</v>
      </c>
      <c r="K12" s="571">
        <v>337</v>
      </c>
    </row>
    <row r="13" spans="1:11" ht="14.4" customHeight="1" x14ac:dyDescent="0.3">
      <c r="A13" s="552" t="s">
        <v>468</v>
      </c>
      <c r="B13" s="553" t="s">
        <v>469</v>
      </c>
      <c r="C13" s="556" t="s">
        <v>479</v>
      </c>
      <c r="D13" s="584" t="s">
        <v>626</v>
      </c>
      <c r="E13" s="556" t="s">
        <v>1436</v>
      </c>
      <c r="F13" s="584" t="s">
        <v>1437</v>
      </c>
      <c r="G13" s="556" t="s">
        <v>1198</v>
      </c>
      <c r="H13" s="556" t="s">
        <v>1199</v>
      </c>
      <c r="I13" s="570">
        <v>13.87</v>
      </c>
      <c r="J13" s="570">
        <v>48</v>
      </c>
      <c r="K13" s="571">
        <v>665.82</v>
      </c>
    </row>
    <row r="14" spans="1:11" ht="14.4" customHeight="1" x14ac:dyDescent="0.3">
      <c r="A14" s="552" t="s">
        <v>468</v>
      </c>
      <c r="B14" s="553" t="s">
        <v>469</v>
      </c>
      <c r="C14" s="556" t="s">
        <v>479</v>
      </c>
      <c r="D14" s="584" t="s">
        <v>626</v>
      </c>
      <c r="E14" s="556" t="s">
        <v>1436</v>
      </c>
      <c r="F14" s="584" t="s">
        <v>1437</v>
      </c>
      <c r="G14" s="556" t="s">
        <v>1200</v>
      </c>
      <c r="H14" s="556" t="s">
        <v>1201</v>
      </c>
      <c r="I14" s="570">
        <v>2.8733333333333335</v>
      </c>
      <c r="J14" s="570">
        <v>160</v>
      </c>
      <c r="K14" s="571">
        <v>459.5</v>
      </c>
    </row>
    <row r="15" spans="1:11" ht="14.4" customHeight="1" x14ac:dyDescent="0.3">
      <c r="A15" s="552" t="s">
        <v>468</v>
      </c>
      <c r="B15" s="553" t="s">
        <v>469</v>
      </c>
      <c r="C15" s="556" t="s">
        <v>479</v>
      </c>
      <c r="D15" s="584" t="s">
        <v>626</v>
      </c>
      <c r="E15" s="556" t="s">
        <v>1436</v>
      </c>
      <c r="F15" s="584" t="s">
        <v>1437</v>
      </c>
      <c r="G15" s="556" t="s">
        <v>1202</v>
      </c>
      <c r="H15" s="556" t="s">
        <v>1203</v>
      </c>
      <c r="I15" s="570">
        <v>4.79</v>
      </c>
      <c r="J15" s="570">
        <v>144</v>
      </c>
      <c r="K15" s="571">
        <v>690.06</v>
      </c>
    </row>
    <row r="16" spans="1:11" ht="14.4" customHeight="1" x14ac:dyDescent="0.3">
      <c r="A16" s="552" t="s">
        <v>468</v>
      </c>
      <c r="B16" s="553" t="s">
        <v>469</v>
      </c>
      <c r="C16" s="556" t="s">
        <v>479</v>
      </c>
      <c r="D16" s="584" t="s">
        <v>626</v>
      </c>
      <c r="E16" s="556" t="s">
        <v>1436</v>
      </c>
      <c r="F16" s="584" t="s">
        <v>1437</v>
      </c>
      <c r="G16" s="556" t="s">
        <v>1204</v>
      </c>
      <c r="H16" s="556" t="s">
        <v>1205</v>
      </c>
      <c r="I16" s="570">
        <v>7.69</v>
      </c>
      <c r="J16" s="570">
        <v>50</v>
      </c>
      <c r="K16" s="571">
        <v>384.59</v>
      </c>
    </row>
    <row r="17" spans="1:11" ht="14.4" customHeight="1" x14ac:dyDescent="0.3">
      <c r="A17" s="552" t="s">
        <v>468</v>
      </c>
      <c r="B17" s="553" t="s">
        <v>469</v>
      </c>
      <c r="C17" s="556" t="s">
        <v>479</v>
      </c>
      <c r="D17" s="584" t="s">
        <v>626</v>
      </c>
      <c r="E17" s="556" t="s">
        <v>1438</v>
      </c>
      <c r="F17" s="584" t="s">
        <v>1439</v>
      </c>
      <c r="G17" s="556" t="s">
        <v>1206</v>
      </c>
      <c r="H17" s="556" t="s">
        <v>1207</v>
      </c>
      <c r="I17" s="570">
        <v>0.48</v>
      </c>
      <c r="J17" s="570">
        <v>100</v>
      </c>
      <c r="K17" s="571">
        <v>48</v>
      </c>
    </row>
    <row r="18" spans="1:11" ht="14.4" customHeight="1" x14ac:dyDescent="0.3">
      <c r="A18" s="552" t="s">
        <v>468</v>
      </c>
      <c r="B18" s="553" t="s">
        <v>469</v>
      </c>
      <c r="C18" s="556" t="s">
        <v>479</v>
      </c>
      <c r="D18" s="584" t="s">
        <v>626</v>
      </c>
      <c r="E18" s="556" t="s">
        <v>1438</v>
      </c>
      <c r="F18" s="584" t="s">
        <v>1439</v>
      </c>
      <c r="G18" s="556" t="s">
        <v>1208</v>
      </c>
      <c r="H18" s="556" t="s">
        <v>1209</v>
      </c>
      <c r="I18" s="570">
        <v>0.67</v>
      </c>
      <c r="J18" s="570">
        <v>300</v>
      </c>
      <c r="K18" s="571">
        <v>201</v>
      </c>
    </row>
    <row r="19" spans="1:11" ht="14.4" customHeight="1" x14ac:dyDescent="0.3">
      <c r="A19" s="552" t="s">
        <v>468</v>
      </c>
      <c r="B19" s="553" t="s">
        <v>469</v>
      </c>
      <c r="C19" s="556" t="s">
        <v>479</v>
      </c>
      <c r="D19" s="584" t="s">
        <v>626</v>
      </c>
      <c r="E19" s="556" t="s">
        <v>1438</v>
      </c>
      <c r="F19" s="584" t="s">
        <v>1439</v>
      </c>
      <c r="G19" s="556" t="s">
        <v>1210</v>
      </c>
      <c r="H19" s="556" t="s">
        <v>1211</v>
      </c>
      <c r="I19" s="570">
        <v>2.1800000000000002</v>
      </c>
      <c r="J19" s="570">
        <v>100</v>
      </c>
      <c r="K19" s="571">
        <v>217.74</v>
      </c>
    </row>
    <row r="20" spans="1:11" ht="14.4" customHeight="1" x14ac:dyDescent="0.3">
      <c r="A20" s="552" t="s">
        <v>468</v>
      </c>
      <c r="B20" s="553" t="s">
        <v>469</v>
      </c>
      <c r="C20" s="556" t="s">
        <v>479</v>
      </c>
      <c r="D20" s="584" t="s">
        <v>626</v>
      </c>
      <c r="E20" s="556" t="s">
        <v>1438</v>
      </c>
      <c r="F20" s="584" t="s">
        <v>1439</v>
      </c>
      <c r="G20" s="556" t="s">
        <v>1212</v>
      </c>
      <c r="H20" s="556" t="s">
        <v>1213</v>
      </c>
      <c r="I20" s="570">
        <v>2.9</v>
      </c>
      <c r="J20" s="570">
        <v>200</v>
      </c>
      <c r="K20" s="571">
        <v>580</v>
      </c>
    </row>
    <row r="21" spans="1:11" ht="14.4" customHeight="1" x14ac:dyDescent="0.3">
      <c r="A21" s="552" t="s">
        <v>468</v>
      </c>
      <c r="B21" s="553" t="s">
        <v>469</v>
      </c>
      <c r="C21" s="556" t="s">
        <v>479</v>
      </c>
      <c r="D21" s="584" t="s">
        <v>626</v>
      </c>
      <c r="E21" s="556" t="s">
        <v>1438</v>
      </c>
      <c r="F21" s="584" t="s">
        <v>1439</v>
      </c>
      <c r="G21" s="556" t="s">
        <v>1214</v>
      </c>
      <c r="H21" s="556" t="s">
        <v>1215</v>
      </c>
      <c r="I21" s="570">
        <v>2.06</v>
      </c>
      <c r="J21" s="570">
        <v>100</v>
      </c>
      <c r="K21" s="571">
        <v>206</v>
      </c>
    </row>
    <row r="22" spans="1:11" ht="14.4" customHeight="1" x14ac:dyDescent="0.3">
      <c r="A22" s="552" t="s">
        <v>468</v>
      </c>
      <c r="B22" s="553" t="s">
        <v>469</v>
      </c>
      <c r="C22" s="556" t="s">
        <v>479</v>
      </c>
      <c r="D22" s="584" t="s">
        <v>626</v>
      </c>
      <c r="E22" s="556" t="s">
        <v>1438</v>
      </c>
      <c r="F22" s="584" t="s">
        <v>1439</v>
      </c>
      <c r="G22" s="556" t="s">
        <v>1216</v>
      </c>
      <c r="H22" s="556" t="s">
        <v>1217</v>
      </c>
      <c r="I22" s="570">
        <v>41.125</v>
      </c>
      <c r="J22" s="570">
        <v>150</v>
      </c>
      <c r="K22" s="571">
        <v>6145.0999999999995</v>
      </c>
    </row>
    <row r="23" spans="1:11" ht="14.4" customHeight="1" x14ac:dyDescent="0.3">
      <c r="A23" s="552" t="s">
        <v>468</v>
      </c>
      <c r="B23" s="553" t="s">
        <v>469</v>
      </c>
      <c r="C23" s="556" t="s">
        <v>479</v>
      </c>
      <c r="D23" s="584" t="s">
        <v>626</v>
      </c>
      <c r="E23" s="556" t="s">
        <v>1438</v>
      </c>
      <c r="F23" s="584" t="s">
        <v>1439</v>
      </c>
      <c r="G23" s="556" t="s">
        <v>1218</v>
      </c>
      <c r="H23" s="556" t="s">
        <v>1219</v>
      </c>
      <c r="I23" s="570">
        <v>1.9249999999999998</v>
      </c>
      <c r="J23" s="570">
        <v>200</v>
      </c>
      <c r="K23" s="571">
        <v>385</v>
      </c>
    </row>
    <row r="24" spans="1:11" ht="14.4" customHeight="1" x14ac:dyDescent="0.3">
      <c r="A24" s="552" t="s">
        <v>468</v>
      </c>
      <c r="B24" s="553" t="s">
        <v>469</v>
      </c>
      <c r="C24" s="556" t="s">
        <v>479</v>
      </c>
      <c r="D24" s="584" t="s">
        <v>626</v>
      </c>
      <c r="E24" s="556" t="s">
        <v>1438</v>
      </c>
      <c r="F24" s="584" t="s">
        <v>1439</v>
      </c>
      <c r="G24" s="556" t="s">
        <v>1220</v>
      </c>
      <c r="H24" s="556" t="s">
        <v>1221</v>
      </c>
      <c r="I24" s="570">
        <v>15.01</v>
      </c>
      <c r="J24" s="570">
        <v>5</v>
      </c>
      <c r="K24" s="571">
        <v>75.05</v>
      </c>
    </row>
    <row r="25" spans="1:11" ht="14.4" customHeight="1" x14ac:dyDescent="0.3">
      <c r="A25" s="552" t="s">
        <v>468</v>
      </c>
      <c r="B25" s="553" t="s">
        <v>469</v>
      </c>
      <c r="C25" s="556" t="s">
        <v>479</v>
      </c>
      <c r="D25" s="584" t="s">
        <v>626</v>
      </c>
      <c r="E25" s="556" t="s">
        <v>1438</v>
      </c>
      <c r="F25" s="584" t="s">
        <v>1439</v>
      </c>
      <c r="G25" s="556" t="s">
        <v>1222</v>
      </c>
      <c r="H25" s="556" t="s">
        <v>1223</v>
      </c>
      <c r="I25" s="570">
        <v>181.5</v>
      </c>
      <c r="J25" s="570">
        <v>10</v>
      </c>
      <c r="K25" s="571">
        <v>1815</v>
      </c>
    </row>
    <row r="26" spans="1:11" ht="14.4" customHeight="1" x14ac:dyDescent="0.3">
      <c r="A26" s="552" t="s">
        <v>468</v>
      </c>
      <c r="B26" s="553" t="s">
        <v>469</v>
      </c>
      <c r="C26" s="556" t="s">
        <v>479</v>
      </c>
      <c r="D26" s="584" t="s">
        <v>626</v>
      </c>
      <c r="E26" s="556" t="s">
        <v>1440</v>
      </c>
      <c r="F26" s="584" t="s">
        <v>1441</v>
      </c>
      <c r="G26" s="556" t="s">
        <v>1224</v>
      </c>
      <c r="H26" s="556" t="s">
        <v>1225</v>
      </c>
      <c r="I26" s="570">
        <v>54.22</v>
      </c>
      <c r="J26" s="570">
        <v>36</v>
      </c>
      <c r="K26" s="571">
        <v>1952.07</v>
      </c>
    </row>
    <row r="27" spans="1:11" ht="14.4" customHeight="1" x14ac:dyDescent="0.3">
      <c r="A27" s="552" t="s">
        <v>468</v>
      </c>
      <c r="B27" s="553" t="s">
        <v>469</v>
      </c>
      <c r="C27" s="556" t="s">
        <v>479</v>
      </c>
      <c r="D27" s="584" t="s">
        <v>626</v>
      </c>
      <c r="E27" s="556" t="s">
        <v>1440</v>
      </c>
      <c r="F27" s="584" t="s">
        <v>1441</v>
      </c>
      <c r="G27" s="556" t="s">
        <v>1226</v>
      </c>
      <c r="H27" s="556" t="s">
        <v>1227</v>
      </c>
      <c r="I27" s="570">
        <v>87.84</v>
      </c>
      <c r="J27" s="570">
        <v>24</v>
      </c>
      <c r="K27" s="571">
        <v>2108.06</v>
      </c>
    </row>
    <row r="28" spans="1:11" ht="14.4" customHeight="1" x14ac:dyDescent="0.3">
      <c r="A28" s="552" t="s">
        <v>468</v>
      </c>
      <c r="B28" s="553" t="s">
        <v>469</v>
      </c>
      <c r="C28" s="556" t="s">
        <v>479</v>
      </c>
      <c r="D28" s="584" t="s">
        <v>626</v>
      </c>
      <c r="E28" s="556" t="s">
        <v>1440</v>
      </c>
      <c r="F28" s="584" t="s">
        <v>1441</v>
      </c>
      <c r="G28" s="556" t="s">
        <v>1228</v>
      </c>
      <c r="H28" s="556" t="s">
        <v>1229</v>
      </c>
      <c r="I28" s="570">
        <v>127.97</v>
      </c>
      <c r="J28" s="570">
        <v>24</v>
      </c>
      <c r="K28" s="571">
        <v>3071.3</v>
      </c>
    </row>
    <row r="29" spans="1:11" ht="14.4" customHeight="1" x14ac:dyDescent="0.3">
      <c r="A29" s="552" t="s">
        <v>468</v>
      </c>
      <c r="B29" s="553" t="s">
        <v>469</v>
      </c>
      <c r="C29" s="556" t="s">
        <v>479</v>
      </c>
      <c r="D29" s="584" t="s">
        <v>626</v>
      </c>
      <c r="E29" s="556" t="s">
        <v>1440</v>
      </c>
      <c r="F29" s="584" t="s">
        <v>1441</v>
      </c>
      <c r="G29" s="556" t="s">
        <v>1230</v>
      </c>
      <c r="H29" s="556" t="s">
        <v>1231</v>
      </c>
      <c r="I29" s="570">
        <v>60.54999999999999</v>
      </c>
      <c r="J29" s="570">
        <v>180</v>
      </c>
      <c r="K29" s="571">
        <v>10899.14</v>
      </c>
    </row>
    <row r="30" spans="1:11" ht="14.4" customHeight="1" x14ac:dyDescent="0.3">
      <c r="A30" s="552" t="s">
        <v>468</v>
      </c>
      <c r="B30" s="553" t="s">
        <v>469</v>
      </c>
      <c r="C30" s="556" t="s">
        <v>479</v>
      </c>
      <c r="D30" s="584" t="s">
        <v>626</v>
      </c>
      <c r="E30" s="556" t="s">
        <v>1440</v>
      </c>
      <c r="F30" s="584" t="s">
        <v>1441</v>
      </c>
      <c r="G30" s="556" t="s">
        <v>1232</v>
      </c>
      <c r="H30" s="556" t="s">
        <v>1233</v>
      </c>
      <c r="I30" s="570">
        <v>86.18</v>
      </c>
      <c r="J30" s="570">
        <v>48</v>
      </c>
      <c r="K30" s="571">
        <v>4136.8</v>
      </c>
    </row>
    <row r="31" spans="1:11" ht="14.4" customHeight="1" x14ac:dyDescent="0.3">
      <c r="A31" s="552" t="s">
        <v>468</v>
      </c>
      <c r="B31" s="553" t="s">
        <v>469</v>
      </c>
      <c r="C31" s="556" t="s">
        <v>479</v>
      </c>
      <c r="D31" s="584" t="s">
        <v>626</v>
      </c>
      <c r="E31" s="556" t="s">
        <v>1440</v>
      </c>
      <c r="F31" s="584" t="s">
        <v>1441</v>
      </c>
      <c r="G31" s="556" t="s">
        <v>1234</v>
      </c>
      <c r="H31" s="556" t="s">
        <v>1235</v>
      </c>
      <c r="I31" s="570">
        <v>159.82</v>
      </c>
      <c r="J31" s="570">
        <v>36</v>
      </c>
      <c r="K31" s="571">
        <v>5753.57</v>
      </c>
    </row>
    <row r="32" spans="1:11" ht="14.4" customHeight="1" x14ac:dyDescent="0.3">
      <c r="A32" s="552" t="s">
        <v>468</v>
      </c>
      <c r="B32" s="553" t="s">
        <v>469</v>
      </c>
      <c r="C32" s="556" t="s">
        <v>479</v>
      </c>
      <c r="D32" s="584" t="s">
        <v>626</v>
      </c>
      <c r="E32" s="556" t="s">
        <v>1440</v>
      </c>
      <c r="F32" s="584" t="s">
        <v>1441</v>
      </c>
      <c r="G32" s="556" t="s">
        <v>1236</v>
      </c>
      <c r="H32" s="556" t="s">
        <v>1237</v>
      </c>
      <c r="I32" s="570">
        <v>41.82</v>
      </c>
      <c r="J32" s="570">
        <v>72</v>
      </c>
      <c r="K32" s="571">
        <v>3010.7</v>
      </c>
    </row>
    <row r="33" spans="1:11" ht="14.4" customHeight="1" x14ac:dyDescent="0.3">
      <c r="A33" s="552" t="s">
        <v>468</v>
      </c>
      <c r="B33" s="553" t="s">
        <v>469</v>
      </c>
      <c r="C33" s="556" t="s">
        <v>479</v>
      </c>
      <c r="D33" s="584" t="s">
        <v>626</v>
      </c>
      <c r="E33" s="556" t="s">
        <v>1440</v>
      </c>
      <c r="F33" s="584" t="s">
        <v>1441</v>
      </c>
      <c r="G33" s="556" t="s">
        <v>1238</v>
      </c>
      <c r="H33" s="556" t="s">
        <v>1239</v>
      </c>
      <c r="I33" s="570">
        <v>114.94</v>
      </c>
      <c r="J33" s="570">
        <v>48</v>
      </c>
      <c r="K33" s="571">
        <v>5517.01</v>
      </c>
    </row>
    <row r="34" spans="1:11" ht="14.4" customHeight="1" x14ac:dyDescent="0.3">
      <c r="A34" s="552" t="s">
        <v>468</v>
      </c>
      <c r="B34" s="553" t="s">
        <v>469</v>
      </c>
      <c r="C34" s="556" t="s">
        <v>479</v>
      </c>
      <c r="D34" s="584" t="s">
        <v>626</v>
      </c>
      <c r="E34" s="556" t="s">
        <v>1440</v>
      </c>
      <c r="F34" s="584" t="s">
        <v>1441</v>
      </c>
      <c r="G34" s="556" t="s">
        <v>1240</v>
      </c>
      <c r="H34" s="556" t="s">
        <v>1241</v>
      </c>
      <c r="I34" s="570">
        <v>118.11</v>
      </c>
      <c r="J34" s="570">
        <v>72</v>
      </c>
      <c r="K34" s="571">
        <v>8504.0399999999991</v>
      </c>
    </row>
    <row r="35" spans="1:11" ht="14.4" customHeight="1" x14ac:dyDescent="0.3">
      <c r="A35" s="552" t="s">
        <v>468</v>
      </c>
      <c r="B35" s="553" t="s">
        <v>469</v>
      </c>
      <c r="C35" s="556" t="s">
        <v>479</v>
      </c>
      <c r="D35" s="584" t="s">
        <v>626</v>
      </c>
      <c r="E35" s="556" t="s">
        <v>1440</v>
      </c>
      <c r="F35" s="584" t="s">
        <v>1441</v>
      </c>
      <c r="G35" s="556" t="s">
        <v>1242</v>
      </c>
      <c r="H35" s="556" t="s">
        <v>1243</v>
      </c>
      <c r="I35" s="570">
        <v>44.53</v>
      </c>
      <c r="J35" s="570">
        <v>72</v>
      </c>
      <c r="K35" s="571">
        <v>3206.02</v>
      </c>
    </row>
    <row r="36" spans="1:11" ht="14.4" customHeight="1" x14ac:dyDescent="0.3">
      <c r="A36" s="552" t="s">
        <v>468</v>
      </c>
      <c r="B36" s="553" t="s">
        <v>469</v>
      </c>
      <c r="C36" s="556" t="s">
        <v>479</v>
      </c>
      <c r="D36" s="584" t="s">
        <v>626</v>
      </c>
      <c r="E36" s="556" t="s">
        <v>1440</v>
      </c>
      <c r="F36" s="584" t="s">
        <v>1441</v>
      </c>
      <c r="G36" s="556" t="s">
        <v>1244</v>
      </c>
      <c r="H36" s="556" t="s">
        <v>1245</v>
      </c>
      <c r="I36" s="570">
        <v>374.38</v>
      </c>
      <c r="J36" s="570">
        <v>12</v>
      </c>
      <c r="K36" s="571">
        <v>4492.59</v>
      </c>
    </row>
    <row r="37" spans="1:11" ht="14.4" customHeight="1" x14ac:dyDescent="0.3">
      <c r="A37" s="552" t="s">
        <v>468</v>
      </c>
      <c r="B37" s="553" t="s">
        <v>469</v>
      </c>
      <c r="C37" s="556" t="s">
        <v>479</v>
      </c>
      <c r="D37" s="584" t="s">
        <v>626</v>
      </c>
      <c r="E37" s="556" t="s">
        <v>1440</v>
      </c>
      <c r="F37" s="584" t="s">
        <v>1441</v>
      </c>
      <c r="G37" s="556" t="s">
        <v>1246</v>
      </c>
      <c r="H37" s="556" t="s">
        <v>1247</v>
      </c>
      <c r="I37" s="570">
        <v>95.47</v>
      </c>
      <c r="J37" s="570">
        <v>24</v>
      </c>
      <c r="K37" s="571">
        <v>2291.2600000000002</v>
      </c>
    </row>
    <row r="38" spans="1:11" ht="14.4" customHeight="1" x14ac:dyDescent="0.3">
      <c r="A38" s="552" t="s">
        <v>468</v>
      </c>
      <c r="B38" s="553" t="s">
        <v>469</v>
      </c>
      <c r="C38" s="556" t="s">
        <v>479</v>
      </c>
      <c r="D38" s="584" t="s">
        <v>626</v>
      </c>
      <c r="E38" s="556" t="s">
        <v>1440</v>
      </c>
      <c r="F38" s="584" t="s">
        <v>1441</v>
      </c>
      <c r="G38" s="556" t="s">
        <v>1248</v>
      </c>
      <c r="H38" s="556" t="s">
        <v>1249</v>
      </c>
      <c r="I38" s="570">
        <v>97.339999999999989</v>
      </c>
      <c r="J38" s="570">
        <v>48</v>
      </c>
      <c r="K38" s="571">
        <v>4672.45</v>
      </c>
    </row>
    <row r="39" spans="1:11" ht="14.4" customHeight="1" x14ac:dyDescent="0.3">
      <c r="A39" s="552" t="s">
        <v>468</v>
      </c>
      <c r="B39" s="553" t="s">
        <v>469</v>
      </c>
      <c r="C39" s="556" t="s">
        <v>479</v>
      </c>
      <c r="D39" s="584" t="s">
        <v>626</v>
      </c>
      <c r="E39" s="556" t="s">
        <v>1440</v>
      </c>
      <c r="F39" s="584" t="s">
        <v>1441</v>
      </c>
      <c r="G39" s="556" t="s">
        <v>1250</v>
      </c>
      <c r="H39" s="556" t="s">
        <v>1251</v>
      </c>
      <c r="I39" s="570">
        <v>188.6</v>
      </c>
      <c r="J39" s="570">
        <v>36</v>
      </c>
      <c r="K39" s="571">
        <v>6789.6</v>
      </c>
    </row>
    <row r="40" spans="1:11" ht="14.4" customHeight="1" x14ac:dyDescent="0.3">
      <c r="A40" s="552" t="s">
        <v>468</v>
      </c>
      <c r="B40" s="553" t="s">
        <v>469</v>
      </c>
      <c r="C40" s="556" t="s">
        <v>479</v>
      </c>
      <c r="D40" s="584" t="s">
        <v>626</v>
      </c>
      <c r="E40" s="556" t="s">
        <v>1440</v>
      </c>
      <c r="F40" s="584" t="s">
        <v>1441</v>
      </c>
      <c r="G40" s="556" t="s">
        <v>1252</v>
      </c>
      <c r="H40" s="556" t="s">
        <v>1253</v>
      </c>
      <c r="I40" s="570">
        <v>111.33</v>
      </c>
      <c r="J40" s="570">
        <v>36</v>
      </c>
      <c r="K40" s="571">
        <v>4007.93</v>
      </c>
    </row>
    <row r="41" spans="1:11" ht="14.4" customHeight="1" x14ac:dyDescent="0.3">
      <c r="A41" s="552" t="s">
        <v>468</v>
      </c>
      <c r="B41" s="553" t="s">
        <v>469</v>
      </c>
      <c r="C41" s="556" t="s">
        <v>479</v>
      </c>
      <c r="D41" s="584" t="s">
        <v>626</v>
      </c>
      <c r="E41" s="556" t="s">
        <v>1442</v>
      </c>
      <c r="F41" s="584" t="s">
        <v>1443</v>
      </c>
      <c r="G41" s="556" t="s">
        <v>1254</v>
      </c>
      <c r="H41" s="556" t="s">
        <v>1255</v>
      </c>
      <c r="I41" s="570">
        <v>0.30499999999999999</v>
      </c>
      <c r="J41" s="570">
        <v>400</v>
      </c>
      <c r="K41" s="571">
        <v>123</v>
      </c>
    </row>
    <row r="42" spans="1:11" ht="14.4" customHeight="1" x14ac:dyDescent="0.3">
      <c r="A42" s="552" t="s">
        <v>468</v>
      </c>
      <c r="B42" s="553" t="s">
        <v>469</v>
      </c>
      <c r="C42" s="556" t="s">
        <v>479</v>
      </c>
      <c r="D42" s="584" t="s">
        <v>626</v>
      </c>
      <c r="E42" s="556" t="s">
        <v>1442</v>
      </c>
      <c r="F42" s="584" t="s">
        <v>1443</v>
      </c>
      <c r="G42" s="556" t="s">
        <v>1256</v>
      </c>
      <c r="H42" s="556" t="s">
        <v>1257</v>
      </c>
      <c r="I42" s="570">
        <v>0.31</v>
      </c>
      <c r="J42" s="570">
        <v>200</v>
      </c>
      <c r="K42" s="571">
        <v>62</v>
      </c>
    </row>
    <row r="43" spans="1:11" ht="14.4" customHeight="1" x14ac:dyDescent="0.3">
      <c r="A43" s="552" t="s">
        <v>468</v>
      </c>
      <c r="B43" s="553" t="s">
        <v>469</v>
      </c>
      <c r="C43" s="556" t="s">
        <v>479</v>
      </c>
      <c r="D43" s="584" t="s">
        <v>626</v>
      </c>
      <c r="E43" s="556" t="s">
        <v>1442</v>
      </c>
      <c r="F43" s="584" t="s">
        <v>1443</v>
      </c>
      <c r="G43" s="556" t="s">
        <v>1258</v>
      </c>
      <c r="H43" s="556" t="s">
        <v>1259</v>
      </c>
      <c r="I43" s="570">
        <v>0.3</v>
      </c>
      <c r="J43" s="570">
        <v>100</v>
      </c>
      <c r="K43" s="571">
        <v>30</v>
      </c>
    </row>
    <row r="44" spans="1:11" ht="14.4" customHeight="1" x14ac:dyDescent="0.3">
      <c r="A44" s="552" t="s">
        <v>468</v>
      </c>
      <c r="B44" s="553" t="s">
        <v>469</v>
      </c>
      <c r="C44" s="556" t="s">
        <v>479</v>
      </c>
      <c r="D44" s="584" t="s">
        <v>626</v>
      </c>
      <c r="E44" s="556" t="s">
        <v>1442</v>
      </c>
      <c r="F44" s="584" t="s">
        <v>1443</v>
      </c>
      <c r="G44" s="556" t="s">
        <v>1260</v>
      </c>
      <c r="H44" s="556" t="s">
        <v>1261</v>
      </c>
      <c r="I44" s="570">
        <v>0.48</v>
      </c>
      <c r="J44" s="570">
        <v>400</v>
      </c>
      <c r="K44" s="571">
        <v>192</v>
      </c>
    </row>
    <row r="45" spans="1:11" ht="14.4" customHeight="1" x14ac:dyDescent="0.3">
      <c r="A45" s="552" t="s">
        <v>468</v>
      </c>
      <c r="B45" s="553" t="s">
        <v>469</v>
      </c>
      <c r="C45" s="556" t="s">
        <v>479</v>
      </c>
      <c r="D45" s="584" t="s">
        <v>626</v>
      </c>
      <c r="E45" s="556" t="s">
        <v>1442</v>
      </c>
      <c r="F45" s="584" t="s">
        <v>1443</v>
      </c>
      <c r="G45" s="556" t="s">
        <v>1262</v>
      </c>
      <c r="H45" s="556" t="s">
        <v>1263</v>
      </c>
      <c r="I45" s="570">
        <v>3.03</v>
      </c>
      <c r="J45" s="570">
        <v>300</v>
      </c>
      <c r="K45" s="571">
        <v>907.53</v>
      </c>
    </row>
    <row r="46" spans="1:11" ht="14.4" customHeight="1" x14ac:dyDescent="0.3">
      <c r="A46" s="552" t="s">
        <v>468</v>
      </c>
      <c r="B46" s="553" t="s">
        <v>469</v>
      </c>
      <c r="C46" s="556" t="s">
        <v>479</v>
      </c>
      <c r="D46" s="584" t="s">
        <v>626</v>
      </c>
      <c r="E46" s="556" t="s">
        <v>1444</v>
      </c>
      <c r="F46" s="584" t="s">
        <v>1445</v>
      </c>
      <c r="G46" s="556" t="s">
        <v>1264</v>
      </c>
      <c r="H46" s="556" t="s">
        <v>1265</v>
      </c>
      <c r="I46" s="570">
        <v>7.5049999999999999</v>
      </c>
      <c r="J46" s="570">
        <v>200</v>
      </c>
      <c r="K46" s="571">
        <v>1501</v>
      </c>
    </row>
    <row r="47" spans="1:11" ht="14.4" customHeight="1" x14ac:dyDescent="0.3">
      <c r="A47" s="552" t="s">
        <v>468</v>
      </c>
      <c r="B47" s="553" t="s">
        <v>469</v>
      </c>
      <c r="C47" s="556" t="s">
        <v>479</v>
      </c>
      <c r="D47" s="584" t="s">
        <v>626</v>
      </c>
      <c r="E47" s="556" t="s">
        <v>1444</v>
      </c>
      <c r="F47" s="584" t="s">
        <v>1445</v>
      </c>
      <c r="G47" s="556" t="s">
        <v>1266</v>
      </c>
      <c r="H47" s="556" t="s">
        <v>1267</v>
      </c>
      <c r="I47" s="570">
        <v>7.5</v>
      </c>
      <c r="J47" s="570">
        <v>100</v>
      </c>
      <c r="K47" s="571">
        <v>750</v>
      </c>
    </row>
    <row r="48" spans="1:11" ht="14.4" customHeight="1" x14ac:dyDescent="0.3">
      <c r="A48" s="552" t="s">
        <v>468</v>
      </c>
      <c r="B48" s="553" t="s">
        <v>469</v>
      </c>
      <c r="C48" s="556" t="s">
        <v>479</v>
      </c>
      <c r="D48" s="584" t="s">
        <v>626</v>
      </c>
      <c r="E48" s="556" t="s">
        <v>1444</v>
      </c>
      <c r="F48" s="584" t="s">
        <v>1445</v>
      </c>
      <c r="G48" s="556" t="s">
        <v>1268</v>
      </c>
      <c r="H48" s="556" t="s">
        <v>1269</v>
      </c>
      <c r="I48" s="570">
        <v>13.89</v>
      </c>
      <c r="J48" s="570">
        <v>50</v>
      </c>
      <c r="K48" s="571">
        <v>694.3</v>
      </c>
    </row>
    <row r="49" spans="1:11" ht="14.4" customHeight="1" x14ac:dyDescent="0.3">
      <c r="A49" s="552" t="s">
        <v>468</v>
      </c>
      <c r="B49" s="553" t="s">
        <v>469</v>
      </c>
      <c r="C49" s="556" t="s">
        <v>479</v>
      </c>
      <c r="D49" s="584" t="s">
        <v>626</v>
      </c>
      <c r="E49" s="556" t="s">
        <v>1446</v>
      </c>
      <c r="F49" s="584" t="s">
        <v>1447</v>
      </c>
      <c r="G49" s="556" t="s">
        <v>1270</v>
      </c>
      <c r="H49" s="556" t="s">
        <v>1271</v>
      </c>
      <c r="I49" s="570">
        <v>5500</v>
      </c>
      <c r="J49" s="570">
        <v>3</v>
      </c>
      <c r="K49" s="571">
        <v>16500</v>
      </c>
    </row>
    <row r="50" spans="1:11" ht="14.4" customHeight="1" x14ac:dyDescent="0.3">
      <c r="A50" s="552" t="s">
        <v>468</v>
      </c>
      <c r="B50" s="553" t="s">
        <v>469</v>
      </c>
      <c r="C50" s="556" t="s">
        <v>479</v>
      </c>
      <c r="D50" s="584" t="s">
        <v>626</v>
      </c>
      <c r="E50" s="556" t="s">
        <v>1446</v>
      </c>
      <c r="F50" s="584" t="s">
        <v>1447</v>
      </c>
      <c r="G50" s="556" t="s">
        <v>1272</v>
      </c>
      <c r="H50" s="556" t="s">
        <v>1273</v>
      </c>
      <c r="I50" s="570">
        <v>9850</v>
      </c>
      <c r="J50" s="570">
        <v>2</v>
      </c>
      <c r="K50" s="571">
        <v>19700</v>
      </c>
    </row>
    <row r="51" spans="1:11" ht="14.4" customHeight="1" x14ac:dyDescent="0.3">
      <c r="A51" s="552" t="s">
        <v>468</v>
      </c>
      <c r="B51" s="553" t="s">
        <v>469</v>
      </c>
      <c r="C51" s="556" t="s">
        <v>479</v>
      </c>
      <c r="D51" s="584" t="s">
        <v>626</v>
      </c>
      <c r="E51" s="556" t="s">
        <v>1446</v>
      </c>
      <c r="F51" s="584" t="s">
        <v>1447</v>
      </c>
      <c r="G51" s="556" t="s">
        <v>1274</v>
      </c>
      <c r="H51" s="556" t="s">
        <v>1275</v>
      </c>
      <c r="I51" s="570">
        <v>5500</v>
      </c>
      <c r="J51" s="570">
        <v>1</v>
      </c>
      <c r="K51" s="571">
        <v>5500</v>
      </c>
    </row>
    <row r="52" spans="1:11" ht="14.4" customHeight="1" x14ac:dyDescent="0.3">
      <c r="A52" s="552" t="s">
        <v>468</v>
      </c>
      <c r="B52" s="553" t="s">
        <v>469</v>
      </c>
      <c r="C52" s="556" t="s">
        <v>479</v>
      </c>
      <c r="D52" s="584" t="s">
        <v>626</v>
      </c>
      <c r="E52" s="556" t="s">
        <v>1446</v>
      </c>
      <c r="F52" s="584" t="s">
        <v>1447</v>
      </c>
      <c r="G52" s="556" t="s">
        <v>1276</v>
      </c>
      <c r="H52" s="556" t="s">
        <v>1277</v>
      </c>
      <c r="I52" s="570">
        <v>5500</v>
      </c>
      <c r="J52" s="570">
        <v>1</v>
      </c>
      <c r="K52" s="571">
        <v>5500</v>
      </c>
    </row>
    <row r="53" spans="1:11" ht="14.4" customHeight="1" x14ac:dyDescent="0.3">
      <c r="A53" s="552" t="s">
        <v>468</v>
      </c>
      <c r="B53" s="553" t="s">
        <v>469</v>
      </c>
      <c r="C53" s="556" t="s">
        <v>479</v>
      </c>
      <c r="D53" s="584" t="s">
        <v>626</v>
      </c>
      <c r="E53" s="556" t="s">
        <v>1446</v>
      </c>
      <c r="F53" s="584" t="s">
        <v>1447</v>
      </c>
      <c r="G53" s="556" t="s">
        <v>1278</v>
      </c>
      <c r="H53" s="556" t="s">
        <v>1279</v>
      </c>
      <c r="I53" s="570">
        <v>9200</v>
      </c>
      <c r="J53" s="570">
        <v>2</v>
      </c>
      <c r="K53" s="571">
        <v>18400</v>
      </c>
    </row>
    <row r="54" spans="1:11" ht="14.4" customHeight="1" x14ac:dyDescent="0.3">
      <c r="A54" s="552" t="s">
        <v>468</v>
      </c>
      <c r="B54" s="553" t="s">
        <v>469</v>
      </c>
      <c r="C54" s="556" t="s">
        <v>479</v>
      </c>
      <c r="D54" s="584" t="s">
        <v>626</v>
      </c>
      <c r="E54" s="556" t="s">
        <v>1446</v>
      </c>
      <c r="F54" s="584" t="s">
        <v>1447</v>
      </c>
      <c r="G54" s="556" t="s">
        <v>1280</v>
      </c>
      <c r="H54" s="556" t="s">
        <v>1281</v>
      </c>
      <c r="I54" s="570">
        <v>5101</v>
      </c>
      <c r="J54" s="570">
        <v>1</v>
      </c>
      <c r="K54" s="571">
        <v>5101</v>
      </c>
    </row>
    <row r="55" spans="1:11" ht="14.4" customHeight="1" x14ac:dyDescent="0.3">
      <c r="A55" s="552" t="s">
        <v>468</v>
      </c>
      <c r="B55" s="553" t="s">
        <v>469</v>
      </c>
      <c r="C55" s="556" t="s">
        <v>479</v>
      </c>
      <c r="D55" s="584" t="s">
        <v>626</v>
      </c>
      <c r="E55" s="556" t="s">
        <v>1446</v>
      </c>
      <c r="F55" s="584" t="s">
        <v>1447</v>
      </c>
      <c r="G55" s="556" t="s">
        <v>1282</v>
      </c>
      <c r="H55" s="556" t="s">
        <v>1283</v>
      </c>
      <c r="I55" s="570">
        <v>9850</v>
      </c>
      <c r="J55" s="570">
        <v>1</v>
      </c>
      <c r="K55" s="571">
        <v>9850</v>
      </c>
    </row>
    <row r="56" spans="1:11" ht="14.4" customHeight="1" x14ac:dyDescent="0.3">
      <c r="A56" s="552" t="s">
        <v>468</v>
      </c>
      <c r="B56" s="553" t="s">
        <v>469</v>
      </c>
      <c r="C56" s="556" t="s">
        <v>479</v>
      </c>
      <c r="D56" s="584" t="s">
        <v>626</v>
      </c>
      <c r="E56" s="556" t="s">
        <v>1446</v>
      </c>
      <c r="F56" s="584" t="s">
        <v>1447</v>
      </c>
      <c r="G56" s="556" t="s">
        <v>1284</v>
      </c>
      <c r="H56" s="556" t="s">
        <v>1285</v>
      </c>
      <c r="I56" s="570">
        <v>9884.0300000000007</v>
      </c>
      <c r="J56" s="570">
        <v>2</v>
      </c>
      <c r="K56" s="571">
        <v>19768.060000000001</v>
      </c>
    </row>
    <row r="57" spans="1:11" ht="14.4" customHeight="1" x14ac:dyDescent="0.3">
      <c r="A57" s="552" t="s">
        <v>468</v>
      </c>
      <c r="B57" s="553" t="s">
        <v>469</v>
      </c>
      <c r="C57" s="556" t="s">
        <v>479</v>
      </c>
      <c r="D57" s="584" t="s">
        <v>626</v>
      </c>
      <c r="E57" s="556" t="s">
        <v>1446</v>
      </c>
      <c r="F57" s="584" t="s">
        <v>1447</v>
      </c>
      <c r="G57" s="556" t="s">
        <v>1286</v>
      </c>
      <c r="H57" s="556" t="s">
        <v>1287</v>
      </c>
      <c r="I57" s="570">
        <v>9772.5</v>
      </c>
      <c r="J57" s="570">
        <v>1</v>
      </c>
      <c r="K57" s="571">
        <v>9772.5</v>
      </c>
    </row>
    <row r="58" spans="1:11" ht="14.4" customHeight="1" x14ac:dyDescent="0.3">
      <c r="A58" s="552" t="s">
        <v>468</v>
      </c>
      <c r="B58" s="553" t="s">
        <v>469</v>
      </c>
      <c r="C58" s="556" t="s">
        <v>482</v>
      </c>
      <c r="D58" s="584" t="s">
        <v>627</v>
      </c>
      <c r="E58" s="556" t="s">
        <v>1436</v>
      </c>
      <c r="F58" s="584" t="s">
        <v>1437</v>
      </c>
      <c r="G58" s="556" t="s">
        <v>1288</v>
      </c>
      <c r="H58" s="556" t="s">
        <v>1289</v>
      </c>
      <c r="I58" s="570">
        <v>17.53</v>
      </c>
      <c r="J58" s="570">
        <v>20</v>
      </c>
      <c r="K58" s="571">
        <v>350.6</v>
      </c>
    </row>
    <row r="59" spans="1:11" ht="14.4" customHeight="1" x14ac:dyDescent="0.3">
      <c r="A59" s="552" t="s">
        <v>468</v>
      </c>
      <c r="B59" s="553" t="s">
        <v>469</v>
      </c>
      <c r="C59" s="556" t="s">
        <v>482</v>
      </c>
      <c r="D59" s="584" t="s">
        <v>627</v>
      </c>
      <c r="E59" s="556" t="s">
        <v>1436</v>
      </c>
      <c r="F59" s="584" t="s">
        <v>1437</v>
      </c>
      <c r="G59" s="556" t="s">
        <v>1290</v>
      </c>
      <c r="H59" s="556" t="s">
        <v>1291</v>
      </c>
      <c r="I59" s="570">
        <v>15.49</v>
      </c>
      <c r="J59" s="570">
        <v>20</v>
      </c>
      <c r="K59" s="571">
        <v>309.73</v>
      </c>
    </row>
    <row r="60" spans="1:11" ht="14.4" customHeight="1" x14ac:dyDescent="0.3">
      <c r="A60" s="552" t="s">
        <v>468</v>
      </c>
      <c r="B60" s="553" t="s">
        <v>469</v>
      </c>
      <c r="C60" s="556" t="s">
        <v>482</v>
      </c>
      <c r="D60" s="584" t="s">
        <v>627</v>
      </c>
      <c r="E60" s="556" t="s">
        <v>1436</v>
      </c>
      <c r="F60" s="584" t="s">
        <v>1437</v>
      </c>
      <c r="G60" s="556" t="s">
        <v>1198</v>
      </c>
      <c r="H60" s="556" t="s">
        <v>1199</v>
      </c>
      <c r="I60" s="570">
        <v>13.87</v>
      </c>
      <c r="J60" s="570">
        <v>24</v>
      </c>
      <c r="K60" s="571">
        <v>332.96</v>
      </c>
    </row>
    <row r="61" spans="1:11" ht="14.4" customHeight="1" x14ac:dyDescent="0.3">
      <c r="A61" s="552" t="s">
        <v>468</v>
      </c>
      <c r="B61" s="553" t="s">
        <v>469</v>
      </c>
      <c r="C61" s="556" t="s">
        <v>482</v>
      </c>
      <c r="D61" s="584" t="s">
        <v>627</v>
      </c>
      <c r="E61" s="556" t="s">
        <v>1438</v>
      </c>
      <c r="F61" s="584" t="s">
        <v>1439</v>
      </c>
      <c r="G61" s="556" t="s">
        <v>1292</v>
      </c>
      <c r="H61" s="556" t="s">
        <v>1293</v>
      </c>
      <c r="I61" s="570">
        <v>30.86</v>
      </c>
      <c r="J61" s="570">
        <v>100</v>
      </c>
      <c r="K61" s="571">
        <v>3085.5</v>
      </c>
    </row>
    <row r="62" spans="1:11" ht="14.4" customHeight="1" x14ac:dyDescent="0.3">
      <c r="A62" s="552" t="s">
        <v>468</v>
      </c>
      <c r="B62" s="553" t="s">
        <v>469</v>
      </c>
      <c r="C62" s="556" t="s">
        <v>482</v>
      </c>
      <c r="D62" s="584" t="s">
        <v>627</v>
      </c>
      <c r="E62" s="556" t="s">
        <v>1438</v>
      </c>
      <c r="F62" s="584" t="s">
        <v>1439</v>
      </c>
      <c r="G62" s="556" t="s">
        <v>1294</v>
      </c>
      <c r="H62" s="556" t="s">
        <v>1295</v>
      </c>
      <c r="I62" s="570">
        <v>210.84</v>
      </c>
      <c r="J62" s="570">
        <v>4</v>
      </c>
      <c r="K62" s="571">
        <v>843.38</v>
      </c>
    </row>
    <row r="63" spans="1:11" ht="14.4" customHeight="1" x14ac:dyDescent="0.3">
      <c r="A63" s="552" t="s">
        <v>468</v>
      </c>
      <c r="B63" s="553" t="s">
        <v>469</v>
      </c>
      <c r="C63" s="556" t="s">
        <v>482</v>
      </c>
      <c r="D63" s="584" t="s">
        <v>627</v>
      </c>
      <c r="E63" s="556" t="s">
        <v>1438</v>
      </c>
      <c r="F63" s="584" t="s">
        <v>1439</v>
      </c>
      <c r="G63" s="556" t="s">
        <v>1296</v>
      </c>
      <c r="H63" s="556" t="s">
        <v>1297</v>
      </c>
      <c r="I63" s="570">
        <v>344.44</v>
      </c>
      <c r="J63" s="570">
        <v>20</v>
      </c>
      <c r="K63" s="571">
        <v>6888.8</v>
      </c>
    </row>
    <row r="64" spans="1:11" ht="14.4" customHeight="1" x14ac:dyDescent="0.3">
      <c r="A64" s="552" t="s">
        <v>468</v>
      </c>
      <c r="B64" s="553" t="s">
        <v>469</v>
      </c>
      <c r="C64" s="556" t="s">
        <v>482</v>
      </c>
      <c r="D64" s="584" t="s">
        <v>627</v>
      </c>
      <c r="E64" s="556" t="s">
        <v>1448</v>
      </c>
      <c r="F64" s="584" t="s">
        <v>1449</v>
      </c>
      <c r="G64" s="556" t="s">
        <v>1298</v>
      </c>
      <c r="H64" s="556" t="s">
        <v>1299</v>
      </c>
      <c r="I64" s="570">
        <v>471.97</v>
      </c>
      <c r="J64" s="570">
        <v>1</v>
      </c>
      <c r="K64" s="571">
        <v>471.97</v>
      </c>
    </row>
    <row r="65" spans="1:11" ht="14.4" customHeight="1" x14ac:dyDescent="0.3">
      <c r="A65" s="552" t="s">
        <v>468</v>
      </c>
      <c r="B65" s="553" t="s">
        <v>469</v>
      </c>
      <c r="C65" s="556" t="s">
        <v>482</v>
      </c>
      <c r="D65" s="584" t="s">
        <v>627</v>
      </c>
      <c r="E65" s="556" t="s">
        <v>1448</v>
      </c>
      <c r="F65" s="584" t="s">
        <v>1449</v>
      </c>
      <c r="G65" s="556" t="s">
        <v>1300</v>
      </c>
      <c r="H65" s="556" t="s">
        <v>1301</v>
      </c>
      <c r="I65" s="570">
        <v>466.25</v>
      </c>
      <c r="J65" s="570">
        <v>1</v>
      </c>
      <c r="K65" s="571">
        <v>466.25</v>
      </c>
    </row>
    <row r="66" spans="1:11" ht="14.4" customHeight="1" x14ac:dyDescent="0.3">
      <c r="A66" s="552" t="s">
        <v>468</v>
      </c>
      <c r="B66" s="553" t="s">
        <v>469</v>
      </c>
      <c r="C66" s="556" t="s">
        <v>482</v>
      </c>
      <c r="D66" s="584" t="s">
        <v>627</v>
      </c>
      <c r="E66" s="556" t="s">
        <v>1448</v>
      </c>
      <c r="F66" s="584" t="s">
        <v>1449</v>
      </c>
      <c r="G66" s="556" t="s">
        <v>1302</v>
      </c>
      <c r="H66" s="556" t="s">
        <v>1303</v>
      </c>
      <c r="I66" s="570">
        <v>90.06</v>
      </c>
      <c r="J66" s="570">
        <v>20</v>
      </c>
      <c r="K66" s="571">
        <v>1801.2</v>
      </c>
    </row>
    <row r="67" spans="1:11" ht="14.4" customHeight="1" x14ac:dyDescent="0.3">
      <c r="A67" s="552" t="s">
        <v>468</v>
      </c>
      <c r="B67" s="553" t="s">
        <v>469</v>
      </c>
      <c r="C67" s="556" t="s">
        <v>482</v>
      </c>
      <c r="D67" s="584" t="s">
        <v>627</v>
      </c>
      <c r="E67" s="556" t="s">
        <v>1448</v>
      </c>
      <c r="F67" s="584" t="s">
        <v>1449</v>
      </c>
      <c r="G67" s="556" t="s">
        <v>1304</v>
      </c>
      <c r="H67" s="556" t="s">
        <v>1305</v>
      </c>
      <c r="I67" s="570">
        <v>466.25</v>
      </c>
      <c r="J67" s="570">
        <v>1</v>
      </c>
      <c r="K67" s="571">
        <v>466.25</v>
      </c>
    </row>
    <row r="68" spans="1:11" ht="14.4" customHeight="1" x14ac:dyDescent="0.3">
      <c r="A68" s="552" t="s">
        <v>468</v>
      </c>
      <c r="B68" s="553" t="s">
        <v>469</v>
      </c>
      <c r="C68" s="556" t="s">
        <v>482</v>
      </c>
      <c r="D68" s="584" t="s">
        <v>627</v>
      </c>
      <c r="E68" s="556" t="s">
        <v>1448</v>
      </c>
      <c r="F68" s="584" t="s">
        <v>1449</v>
      </c>
      <c r="G68" s="556" t="s">
        <v>1306</v>
      </c>
      <c r="H68" s="556" t="s">
        <v>1307</v>
      </c>
      <c r="I68" s="570">
        <v>90.06</v>
      </c>
      <c r="J68" s="570">
        <v>20</v>
      </c>
      <c r="K68" s="571">
        <v>1801.2</v>
      </c>
    </row>
    <row r="69" spans="1:11" ht="14.4" customHeight="1" x14ac:dyDescent="0.3">
      <c r="A69" s="552" t="s">
        <v>468</v>
      </c>
      <c r="B69" s="553" t="s">
        <v>469</v>
      </c>
      <c r="C69" s="556" t="s">
        <v>482</v>
      </c>
      <c r="D69" s="584" t="s">
        <v>627</v>
      </c>
      <c r="E69" s="556" t="s">
        <v>1448</v>
      </c>
      <c r="F69" s="584" t="s">
        <v>1449</v>
      </c>
      <c r="G69" s="556" t="s">
        <v>1308</v>
      </c>
      <c r="H69" s="556" t="s">
        <v>1309</v>
      </c>
      <c r="I69" s="570">
        <v>466.25</v>
      </c>
      <c r="J69" s="570">
        <v>1</v>
      </c>
      <c r="K69" s="571">
        <v>466.25</v>
      </c>
    </row>
    <row r="70" spans="1:11" ht="14.4" customHeight="1" x14ac:dyDescent="0.3">
      <c r="A70" s="552" t="s">
        <v>468</v>
      </c>
      <c r="B70" s="553" t="s">
        <v>469</v>
      </c>
      <c r="C70" s="556" t="s">
        <v>482</v>
      </c>
      <c r="D70" s="584" t="s">
        <v>627</v>
      </c>
      <c r="E70" s="556" t="s">
        <v>1448</v>
      </c>
      <c r="F70" s="584" t="s">
        <v>1449</v>
      </c>
      <c r="G70" s="556" t="s">
        <v>1310</v>
      </c>
      <c r="H70" s="556" t="s">
        <v>1311</v>
      </c>
      <c r="I70" s="570">
        <v>471.95</v>
      </c>
      <c r="J70" s="570">
        <v>1</v>
      </c>
      <c r="K70" s="571">
        <v>471.95</v>
      </c>
    </row>
    <row r="71" spans="1:11" ht="14.4" customHeight="1" x14ac:dyDescent="0.3">
      <c r="A71" s="552" t="s">
        <v>468</v>
      </c>
      <c r="B71" s="553" t="s">
        <v>469</v>
      </c>
      <c r="C71" s="556" t="s">
        <v>482</v>
      </c>
      <c r="D71" s="584" t="s">
        <v>627</v>
      </c>
      <c r="E71" s="556" t="s">
        <v>1448</v>
      </c>
      <c r="F71" s="584" t="s">
        <v>1449</v>
      </c>
      <c r="G71" s="556" t="s">
        <v>1312</v>
      </c>
      <c r="H71" s="556" t="s">
        <v>1313</v>
      </c>
      <c r="I71" s="570">
        <v>4311.49</v>
      </c>
      <c r="J71" s="570">
        <v>1</v>
      </c>
      <c r="K71" s="571">
        <v>4311.49</v>
      </c>
    </row>
    <row r="72" spans="1:11" ht="14.4" customHeight="1" x14ac:dyDescent="0.3">
      <c r="A72" s="552" t="s">
        <v>468</v>
      </c>
      <c r="B72" s="553" t="s">
        <v>469</v>
      </c>
      <c r="C72" s="556" t="s">
        <v>482</v>
      </c>
      <c r="D72" s="584" t="s">
        <v>627</v>
      </c>
      <c r="E72" s="556" t="s">
        <v>1450</v>
      </c>
      <c r="F72" s="584" t="s">
        <v>1451</v>
      </c>
      <c r="G72" s="556" t="s">
        <v>1314</v>
      </c>
      <c r="H72" s="556" t="s">
        <v>1315</v>
      </c>
      <c r="I72" s="570">
        <v>440.13333333333338</v>
      </c>
      <c r="J72" s="570">
        <v>18</v>
      </c>
      <c r="K72" s="571">
        <v>7922.380000000001</v>
      </c>
    </row>
    <row r="73" spans="1:11" ht="14.4" customHeight="1" x14ac:dyDescent="0.3">
      <c r="A73" s="552" t="s">
        <v>468</v>
      </c>
      <c r="B73" s="553" t="s">
        <v>469</v>
      </c>
      <c r="C73" s="556" t="s">
        <v>482</v>
      </c>
      <c r="D73" s="584" t="s">
        <v>627</v>
      </c>
      <c r="E73" s="556" t="s">
        <v>1450</v>
      </c>
      <c r="F73" s="584" t="s">
        <v>1451</v>
      </c>
      <c r="G73" s="556" t="s">
        <v>1316</v>
      </c>
      <c r="H73" s="556" t="s">
        <v>1317</v>
      </c>
      <c r="I73" s="570">
        <v>440.2</v>
      </c>
      <c r="J73" s="570">
        <v>6</v>
      </c>
      <c r="K73" s="571">
        <v>2641.19</v>
      </c>
    </row>
    <row r="74" spans="1:11" ht="14.4" customHeight="1" x14ac:dyDescent="0.3">
      <c r="A74" s="552" t="s">
        <v>468</v>
      </c>
      <c r="B74" s="553" t="s">
        <v>469</v>
      </c>
      <c r="C74" s="556" t="s">
        <v>482</v>
      </c>
      <c r="D74" s="584" t="s">
        <v>627</v>
      </c>
      <c r="E74" s="556" t="s">
        <v>1450</v>
      </c>
      <c r="F74" s="584" t="s">
        <v>1451</v>
      </c>
      <c r="G74" s="556" t="s">
        <v>1318</v>
      </c>
      <c r="H74" s="556" t="s">
        <v>1319</v>
      </c>
      <c r="I74" s="570">
        <v>1713.5</v>
      </c>
      <c r="J74" s="570">
        <v>1</v>
      </c>
      <c r="K74" s="571">
        <v>1713.5</v>
      </c>
    </row>
    <row r="75" spans="1:11" ht="14.4" customHeight="1" x14ac:dyDescent="0.3">
      <c r="A75" s="552" t="s">
        <v>468</v>
      </c>
      <c r="B75" s="553" t="s">
        <v>469</v>
      </c>
      <c r="C75" s="556" t="s">
        <v>482</v>
      </c>
      <c r="D75" s="584" t="s">
        <v>627</v>
      </c>
      <c r="E75" s="556" t="s">
        <v>1440</v>
      </c>
      <c r="F75" s="584" t="s">
        <v>1441</v>
      </c>
      <c r="G75" s="556" t="s">
        <v>1320</v>
      </c>
      <c r="H75" s="556" t="s">
        <v>1321</v>
      </c>
      <c r="I75" s="570">
        <v>123.66</v>
      </c>
      <c r="J75" s="570">
        <v>36</v>
      </c>
      <c r="K75" s="571">
        <v>4451.83</v>
      </c>
    </row>
    <row r="76" spans="1:11" ht="14.4" customHeight="1" x14ac:dyDescent="0.3">
      <c r="A76" s="552" t="s">
        <v>468</v>
      </c>
      <c r="B76" s="553" t="s">
        <v>469</v>
      </c>
      <c r="C76" s="556" t="s">
        <v>482</v>
      </c>
      <c r="D76" s="584" t="s">
        <v>627</v>
      </c>
      <c r="E76" s="556" t="s">
        <v>1440</v>
      </c>
      <c r="F76" s="584" t="s">
        <v>1441</v>
      </c>
      <c r="G76" s="556" t="s">
        <v>1322</v>
      </c>
      <c r="H76" s="556" t="s">
        <v>1323</v>
      </c>
      <c r="I76" s="570">
        <v>26.9</v>
      </c>
      <c r="J76" s="570">
        <v>100</v>
      </c>
      <c r="K76" s="571">
        <v>2690.2</v>
      </c>
    </row>
    <row r="77" spans="1:11" ht="14.4" customHeight="1" x14ac:dyDescent="0.3">
      <c r="A77" s="552" t="s">
        <v>468</v>
      </c>
      <c r="B77" s="553" t="s">
        <v>469</v>
      </c>
      <c r="C77" s="556" t="s">
        <v>482</v>
      </c>
      <c r="D77" s="584" t="s">
        <v>627</v>
      </c>
      <c r="E77" s="556" t="s">
        <v>1440</v>
      </c>
      <c r="F77" s="584" t="s">
        <v>1441</v>
      </c>
      <c r="G77" s="556" t="s">
        <v>1230</v>
      </c>
      <c r="H77" s="556" t="s">
        <v>1231</v>
      </c>
      <c r="I77" s="570">
        <v>60.55</v>
      </c>
      <c r="J77" s="570">
        <v>180</v>
      </c>
      <c r="K77" s="571">
        <v>10899.16</v>
      </c>
    </row>
    <row r="78" spans="1:11" ht="14.4" customHeight="1" x14ac:dyDescent="0.3">
      <c r="A78" s="552" t="s">
        <v>468</v>
      </c>
      <c r="B78" s="553" t="s">
        <v>469</v>
      </c>
      <c r="C78" s="556" t="s">
        <v>482</v>
      </c>
      <c r="D78" s="584" t="s">
        <v>627</v>
      </c>
      <c r="E78" s="556" t="s">
        <v>1440</v>
      </c>
      <c r="F78" s="584" t="s">
        <v>1441</v>
      </c>
      <c r="G78" s="556" t="s">
        <v>1232</v>
      </c>
      <c r="H78" s="556" t="s">
        <v>1233</v>
      </c>
      <c r="I78" s="570">
        <v>86.18</v>
      </c>
      <c r="J78" s="570">
        <v>72</v>
      </c>
      <c r="K78" s="571">
        <v>6205.0300000000007</v>
      </c>
    </row>
    <row r="79" spans="1:11" ht="14.4" customHeight="1" x14ac:dyDescent="0.3">
      <c r="A79" s="552" t="s">
        <v>468</v>
      </c>
      <c r="B79" s="553" t="s">
        <v>469</v>
      </c>
      <c r="C79" s="556" t="s">
        <v>482</v>
      </c>
      <c r="D79" s="584" t="s">
        <v>627</v>
      </c>
      <c r="E79" s="556" t="s">
        <v>1440</v>
      </c>
      <c r="F79" s="584" t="s">
        <v>1441</v>
      </c>
      <c r="G79" s="556" t="s">
        <v>1324</v>
      </c>
      <c r="H79" s="556" t="s">
        <v>1325</v>
      </c>
      <c r="I79" s="570">
        <v>144.68</v>
      </c>
      <c r="J79" s="570">
        <v>72</v>
      </c>
      <c r="K79" s="571">
        <v>10417.299999999999</v>
      </c>
    </row>
    <row r="80" spans="1:11" ht="14.4" customHeight="1" x14ac:dyDescent="0.3">
      <c r="A80" s="552" t="s">
        <v>468</v>
      </c>
      <c r="B80" s="553" t="s">
        <v>469</v>
      </c>
      <c r="C80" s="556" t="s">
        <v>482</v>
      </c>
      <c r="D80" s="584" t="s">
        <v>627</v>
      </c>
      <c r="E80" s="556" t="s">
        <v>1440</v>
      </c>
      <c r="F80" s="584" t="s">
        <v>1441</v>
      </c>
      <c r="G80" s="556" t="s">
        <v>1244</v>
      </c>
      <c r="H80" s="556" t="s">
        <v>1245</v>
      </c>
      <c r="I80" s="570">
        <v>374.38</v>
      </c>
      <c r="J80" s="570">
        <v>24</v>
      </c>
      <c r="K80" s="571">
        <v>8985.18</v>
      </c>
    </row>
    <row r="81" spans="1:11" ht="14.4" customHeight="1" x14ac:dyDescent="0.3">
      <c r="A81" s="552" t="s">
        <v>468</v>
      </c>
      <c r="B81" s="553" t="s">
        <v>469</v>
      </c>
      <c r="C81" s="556" t="s">
        <v>482</v>
      </c>
      <c r="D81" s="584" t="s">
        <v>627</v>
      </c>
      <c r="E81" s="556" t="s">
        <v>1440</v>
      </c>
      <c r="F81" s="584" t="s">
        <v>1441</v>
      </c>
      <c r="G81" s="556" t="s">
        <v>1246</v>
      </c>
      <c r="H81" s="556" t="s">
        <v>1247</v>
      </c>
      <c r="I81" s="570">
        <v>95.469999999999985</v>
      </c>
      <c r="J81" s="570">
        <v>132</v>
      </c>
      <c r="K81" s="571">
        <v>12601.93</v>
      </c>
    </row>
    <row r="82" spans="1:11" ht="14.4" customHeight="1" x14ac:dyDescent="0.3">
      <c r="A82" s="552" t="s">
        <v>468</v>
      </c>
      <c r="B82" s="553" t="s">
        <v>469</v>
      </c>
      <c r="C82" s="556" t="s">
        <v>482</v>
      </c>
      <c r="D82" s="584" t="s">
        <v>627</v>
      </c>
      <c r="E82" s="556" t="s">
        <v>1440</v>
      </c>
      <c r="F82" s="584" t="s">
        <v>1441</v>
      </c>
      <c r="G82" s="556" t="s">
        <v>1248</v>
      </c>
      <c r="H82" s="556" t="s">
        <v>1249</v>
      </c>
      <c r="I82" s="570">
        <v>97.34</v>
      </c>
      <c r="J82" s="570">
        <v>12</v>
      </c>
      <c r="K82" s="571">
        <v>1168.1099999999999</v>
      </c>
    </row>
    <row r="83" spans="1:11" ht="14.4" customHeight="1" x14ac:dyDescent="0.3">
      <c r="A83" s="552" t="s">
        <v>468</v>
      </c>
      <c r="B83" s="553" t="s">
        <v>469</v>
      </c>
      <c r="C83" s="556" t="s">
        <v>482</v>
      </c>
      <c r="D83" s="584" t="s">
        <v>627</v>
      </c>
      <c r="E83" s="556" t="s">
        <v>1440</v>
      </c>
      <c r="F83" s="584" t="s">
        <v>1441</v>
      </c>
      <c r="G83" s="556" t="s">
        <v>1326</v>
      </c>
      <c r="H83" s="556" t="s">
        <v>1327</v>
      </c>
      <c r="I83" s="570">
        <v>825.25</v>
      </c>
      <c r="J83" s="570">
        <v>24</v>
      </c>
      <c r="K83" s="571">
        <v>19806.11</v>
      </c>
    </row>
    <row r="84" spans="1:11" ht="14.4" customHeight="1" x14ac:dyDescent="0.3">
      <c r="A84" s="552" t="s">
        <v>468</v>
      </c>
      <c r="B84" s="553" t="s">
        <v>469</v>
      </c>
      <c r="C84" s="556" t="s">
        <v>482</v>
      </c>
      <c r="D84" s="584" t="s">
        <v>627</v>
      </c>
      <c r="E84" s="556" t="s">
        <v>1440</v>
      </c>
      <c r="F84" s="584" t="s">
        <v>1441</v>
      </c>
      <c r="G84" s="556" t="s">
        <v>1328</v>
      </c>
      <c r="H84" s="556" t="s">
        <v>1329</v>
      </c>
      <c r="I84" s="570">
        <v>120.72</v>
      </c>
      <c r="J84" s="570">
        <v>24</v>
      </c>
      <c r="K84" s="571">
        <v>2897.31</v>
      </c>
    </row>
    <row r="85" spans="1:11" ht="14.4" customHeight="1" x14ac:dyDescent="0.3">
      <c r="A85" s="552" t="s">
        <v>468</v>
      </c>
      <c r="B85" s="553" t="s">
        <v>469</v>
      </c>
      <c r="C85" s="556" t="s">
        <v>482</v>
      </c>
      <c r="D85" s="584" t="s">
        <v>627</v>
      </c>
      <c r="E85" s="556" t="s">
        <v>1440</v>
      </c>
      <c r="F85" s="584" t="s">
        <v>1441</v>
      </c>
      <c r="G85" s="556" t="s">
        <v>1330</v>
      </c>
      <c r="H85" s="556" t="s">
        <v>1331</v>
      </c>
      <c r="I85" s="570">
        <v>55.88</v>
      </c>
      <c r="J85" s="570">
        <v>72</v>
      </c>
      <c r="K85" s="571">
        <v>4023.39</v>
      </c>
    </row>
    <row r="86" spans="1:11" ht="14.4" customHeight="1" x14ac:dyDescent="0.3">
      <c r="A86" s="552" t="s">
        <v>468</v>
      </c>
      <c r="B86" s="553" t="s">
        <v>469</v>
      </c>
      <c r="C86" s="556" t="s">
        <v>482</v>
      </c>
      <c r="D86" s="584" t="s">
        <v>627</v>
      </c>
      <c r="E86" s="556" t="s">
        <v>1440</v>
      </c>
      <c r="F86" s="584" t="s">
        <v>1441</v>
      </c>
      <c r="G86" s="556" t="s">
        <v>1332</v>
      </c>
      <c r="H86" s="556" t="s">
        <v>1333</v>
      </c>
      <c r="I86" s="570">
        <v>80.5</v>
      </c>
      <c r="J86" s="570">
        <v>72</v>
      </c>
      <c r="K86" s="571">
        <v>5796</v>
      </c>
    </row>
    <row r="87" spans="1:11" ht="14.4" customHeight="1" x14ac:dyDescent="0.3">
      <c r="A87" s="552" t="s">
        <v>468</v>
      </c>
      <c r="B87" s="553" t="s">
        <v>469</v>
      </c>
      <c r="C87" s="556" t="s">
        <v>482</v>
      </c>
      <c r="D87" s="584" t="s">
        <v>627</v>
      </c>
      <c r="E87" s="556" t="s">
        <v>1440</v>
      </c>
      <c r="F87" s="584" t="s">
        <v>1441</v>
      </c>
      <c r="G87" s="556" t="s">
        <v>1334</v>
      </c>
      <c r="H87" s="556" t="s">
        <v>1335</v>
      </c>
      <c r="I87" s="570">
        <v>180.2</v>
      </c>
      <c r="J87" s="570">
        <v>72</v>
      </c>
      <c r="K87" s="571">
        <v>12974.71</v>
      </c>
    </row>
    <row r="88" spans="1:11" ht="14.4" customHeight="1" x14ac:dyDescent="0.3">
      <c r="A88" s="552" t="s">
        <v>468</v>
      </c>
      <c r="B88" s="553" t="s">
        <v>469</v>
      </c>
      <c r="C88" s="556" t="s">
        <v>474</v>
      </c>
      <c r="D88" s="584" t="s">
        <v>625</v>
      </c>
      <c r="E88" s="556" t="s">
        <v>1436</v>
      </c>
      <c r="F88" s="584" t="s">
        <v>1437</v>
      </c>
      <c r="G88" s="556" t="s">
        <v>1336</v>
      </c>
      <c r="H88" s="556" t="s">
        <v>1337</v>
      </c>
      <c r="I88" s="570">
        <v>99.06</v>
      </c>
      <c r="J88" s="570">
        <v>2</v>
      </c>
      <c r="K88" s="571">
        <v>198.12</v>
      </c>
    </row>
    <row r="89" spans="1:11" ht="14.4" customHeight="1" x14ac:dyDescent="0.3">
      <c r="A89" s="552" t="s">
        <v>468</v>
      </c>
      <c r="B89" s="553" t="s">
        <v>469</v>
      </c>
      <c r="C89" s="556" t="s">
        <v>474</v>
      </c>
      <c r="D89" s="584" t="s">
        <v>625</v>
      </c>
      <c r="E89" s="556" t="s">
        <v>1436</v>
      </c>
      <c r="F89" s="584" t="s">
        <v>1437</v>
      </c>
      <c r="G89" s="556" t="s">
        <v>1338</v>
      </c>
      <c r="H89" s="556" t="s">
        <v>1339</v>
      </c>
      <c r="I89" s="570">
        <v>183.09</v>
      </c>
      <c r="J89" s="570">
        <v>2</v>
      </c>
      <c r="K89" s="571">
        <v>366.18</v>
      </c>
    </row>
    <row r="90" spans="1:11" ht="14.4" customHeight="1" x14ac:dyDescent="0.3">
      <c r="A90" s="552" t="s">
        <v>468</v>
      </c>
      <c r="B90" s="553" t="s">
        <v>469</v>
      </c>
      <c r="C90" s="556" t="s">
        <v>474</v>
      </c>
      <c r="D90" s="584" t="s">
        <v>625</v>
      </c>
      <c r="E90" s="556" t="s">
        <v>1436</v>
      </c>
      <c r="F90" s="584" t="s">
        <v>1437</v>
      </c>
      <c r="G90" s="556" t="s">
        <v>1340</v>
      </c>
      <c r="H90" s="556" t="s">
        <v>1341</v>
      </c>
      <c r="I90" s="570">
        <v>0.39</v>
      </c>
      <c r="J90" s="570">
        <v>1000</v>
      </c>
      <c r="K90" s="571">
        <v>390</v>
      </c>
    </row>
    <row r="91" spans="1:11" ht="14.4" customHeight="1" x14ac:dyDescent="0.3">
      <c r="A91" s="552" t="s">
        <v>468</v>
      </c>
      <c r="B91" s="553" t="s">
        <v>469</v>
      </c>
      <c r="C91" s="556" t="s">
        <v>474</v>
      </c>
      <c r="D91" s="584" t="s">
        <v>625</v>
      </c>
      <c r="E91" s="556" t="s">
        <v>1436</v>
      </c>
      <c r="F91" s="584" t="s">
        <v>1437</v>
      </c>
      <c r="G91" s="556" t="s">
        <v>1342</v>
      </c>
      <c r="H91" s="556" t="s">
        <v>1343</v>
      </c>
      <c r="I91" s="570">
        <v>2.39</v>
      </c>
      <c r="J91" s="570">
        <v>100</v>
      </c>
      <c r="K91" s="571">
        <v>239</v>
      </c>
    </row>
    <row r="92" spans="1:11" ht="14.4" customHeight="1" x14ac:dyDescent="0.3">
      <c r="A92" s="552" t="s">
        <v>468</v>
      </c>
      <c r="B92" s="553" t="s">
        <v>469</v>
      </c>
      <c r="C92" s="556" t="s">
        <v>474</v>
      </c>
      <c r="D92" s="584" t="s">
        <v>625</v>
      </c>
      <c r="E92" s="556" t="s">
        <v>1436</v>
      </c>
      <c r="F92" s="584" t="s">
        <v>1437</v>
      </c>
      <c r="G92" s="556" t="s">
        <v>1344</v>
      </c>
      <c r="H92" s="556" t="s">
        <v>1345</v>
      </c>
      <c r="I92" s="570">
        <v>3.11</v>
      </c>
      <c r="J92" s="570">
        <v>100</v>
      </c>
      <c r="K92" s="571">
        <v>311</v>
      </c>
    </row>
    <row r="93" spans="1:11" ht="14.4" customHeight="1" x14ac:dyDescent="0.3">
      <c r="A93" s="552" t="s">
        <v>468</v>
      </c>
      <c r="B93" s="553" t="s">
        <v>469</v>
      </c>
      <c r="C93" s="556" t="s">
        <v>474</v>
      </c>
      <c r="D93" s="584" t="s">
        <v>625</v>
      </c>
      <c r="E93" s="556" t="s">
        <v>1436</v>
      </c>
      <c r="F93" s="584" t="s">
        <v>1437</v>
      </c>
      <c r="G93" s="556" t="s">
        <v>1346</v>
      </c>
      <c r="H93" s="556" t="s">
        <v>1347</v>
      </c>
      <c r="I93" s="570">
        <v>3.97</v>
      </c>
      <c r="J93" s="570">
        <v>200</v>
      </c>
      <c r="K93" s="571">
        <v>794</v>
      </c>
    </row>
    <row r="94" spans="1:11" ht="14.4" customHeight="1" x14ac:dyDescent="0.3">
      <c r="A94" s="552" t="s">
        <v>468</v>
      </c>
      <c r="B94" s="553" t="s">
        <v>469</v>
      </c>
      <c r="C94" s="556" t="s">
        <v>474</v>
      </c>
      <c r="D94" s="584" t="s">
        <v>625</v>
      </c>
      <c r="E94" s="556" t="s">
        <v>1436</v>
      </c>
      <c r="F94" s="584" t="s">
        <v>1437</v>
      </c>
      <c r="G94" s="556" t="s">
        <v>1348</v>
      </c>
      <c r="H94" s="556" t="s">
        <v>1349</v>
      </c>
      <c r="I94" s="570">
        <v>3.01</v>
      </c>
      <c r="J94" s="570">
        <v>400</v>
      </c>
      <c r="K94" s="571">
        <v>1204</v>
      </c>
    </row>
    <row r="95" spans="1:11" ht="14.4" customHeight="1" x14ac:dyDescent="0.3">
      <c r="A95" s="552" t="s">
        <v>468</v>
      </c>
      <c r="B95" s="553" t="s">
        <v>469</v>
      </c>
      <c r="C95" s="556" t="s">
        <v>474</v>
      </c>
      <c r="D95" s="584" t="s">
        <v>625</v>
      </c>
      <c r="E95" s="556" t="s">
        <v>1436</v>
      </c>
      <c r="F95" s="584" t="s">
        <v>1437</v>
      </c>
      <c r="G95" s="556" t="s">
        <v>1350</v>
      </c>
      <c r="H95" s="556" t="s">
        <v>1351</v>
      </c>
      <c r="I95" s="570">
        <v>0.88</v>
      </c>
      <c r="J95" s="570">
        <v>2000</v>
      </c>
      <c r="K95" s="571">
        <v>1760</v>
      </c>
    </row>
    <row r="96" spans="1:11" ht="14.4" customHeight="1" x14ac:dyDescent="0.3">
      <c r="A96" s="552" t="s">
        <v>468</v>
      </c>
      <c r="B96" s="553" t="s">
        <v>469</v>
      </c>
      <c r="C96" s="556" t="s">
        <v>474</v>
      </c>
      <c r="D96" s="584" t="s">
        <v>625</v>
      </c>
      <c r="E96" s="556" t="s">
        <v>1436</v>
      </c>
      <c r="F96" s="584" t="s">
        <v>1437</v>
      </c>
      <c r="G96" s="556" t="s">
        <v>1188</v>
      </c>
      <c r="H96" s="556" t="s">
        <v>1189</v>
      </c>
      <c r="I96" s="570">
        <v>61.215000000000003</v>
      </c>
      <c r="J96" s="570">
        <v>4</v>
      </c>
      <c r="K96" s="571">
        <v>244.85</v>
      </c>
    </row>
    <row r="97" spans="1:11" ht="14.4" customHeight="1" x14ac:dyDescent="0.3">
      <c r="A97" s="552" t="s">
        <v>468</v>
      </c>
      <c r="B97" s="553" t="s">
        <v>469</v>
      </c>
      <c r="C97" s="556" t="s">
        <v>474</v>
      </c>
      <c r="D97" s="584" t="s">
        <v>625</v>
      </c>
      <c r="E97" s="556" t="s">
        <v>1436</v>
      </c>
      <c r="F97" s="584" t="s">
        <v>1437</v>
      </c>
      <c r="G97" s="556" t="s">
        <v>1352</v>
      </c>
      <c r="H97" s="556" t="s">
        <v>1353</v>
      </c>
      <c r="I97" s="570">
        <v>1.1499999999999999</v>
      </c>
      <c r="J97" s="570">
        <v>1500</v>
      </c>
      <c r="K97" s="571">
        <v>1718.1</v>
      </c>
    </row>
    <row r="98" spans="1:11" ht="14.4" customHeight="1" x14ac:dyDescent="0.3">
      <c r="A98" s="552" t="s">
        <v>468</v>
      </c>
      <c r="B98" s="553" t="s">
        <v>469</v>
      </c>
      <c r="C98" s="556" t="s">
        <v>474</v>
      </c>
      <c r="D98" s="584" t="s">
        <v>625</v>
      </c>
      <c r="E98" s="556" t="s">
        <v>1436</v>
      </c>
      <c r="F98" s="584" t="s">
        <v>1437</v>
      </c>
      <c r="G98" s="556" t="s">
        <v>1354</v>
      </c>
      <c r="H98" s="556" t="s">
        <v>1355</v>
      </c>
      <c r="I98" s="570">
        <v>450</v>
      </c>
      <c r="J98" s="570">
        <v>4</v>
      </c>
      <c r="K98" s="571">
        <v>1799.98</v>
      </c>
    </row>
    <row r="99" spans="1:11" ht="14.4" customHeight="1" x14ac:dyDescent="0.3">
      <c r="A99" s="552" t="s">
        <v>468</v>
      </c>
      <c r="B99" s="553" t="s">
        <v>469</v>
      </c>
      <c r="C99" s="556" t="s">
        <v>474</v>
      </c>
      <c r="D99" s="584" t="s">
        <v>625</v>
      </c>
      <c r="E99" s="556" t="s">
        <v>1436</v>
      </c>
      <c r="F99" s="584" t="s">
        <v>1437</v>
      </c>
      <c r="G99" s="556" t="s">
        <v>1356</v>
      </c>
      <c r="H99" s="556" t="s">
        <v>1357</v>
      </c>
      <c r="I99" s="570">
        <v>1.17</v>
      </c>
      <c r="J99" s="570">
        <v>2100</v>
      </c>
      <c r="K99" s="571">
        <v>2457</v>
      </c>
    </row>
    <row r="100" spans="1:11" ht="14.4" customHeight="1" x14ac:dyDescent="0.3">
      <c r="A100" s="552" t="s">
        <v>468</v>
      </c>
      <c r="B100" s="553" t="s">
        <v>469</v>
      </c>
      <c r="C100" s="556" t="s">
        <v>474</v>
      </c>
      <c r="D100" s="584" t="s">
        <v>625</v>
      </c>
      <c r="E100" s="556" t="s">
        <v>1436</v>
      </c>
      <c r="F100" s="584" t="s">
        <v>1437</v>
      </c>
      <c r="G100" s="556" t="s">
        <v>1358</v>
      </c>
      <c r="H100" s="556" t="s">
        <v>1359</v>
      </c>
      <c r="I100" s="570">
        <v>23.05</v>
      </c>
      <c r="J100" s="570">
        <v>30</v>
      </c>
      <c r="K100" s="571">
        <v>691.5</v>
      </c>
    </row>
    <row r="101" spans="1:11" ht="14.4" customHeight="1" x14ac:dyDescent="0.3">
      <c r="A101" s="552" t="s">
        <v>468</v>
      </c>
      <c r="B101" s="553" t="s">
        <v>469</v>
      </c>
      <c r="C101" s="556" t="s">
        <v>474</v>
      </c>
      <c r="D101" s="584" t="s">
        <v>625</v>
      </c>
      <c r="E101" s="556" t="s">
        <v>1436</v>
      </c>
      <c r="F101" s="584" t="s">
        <v>1437</v>
      </c>
      <c r="G101" s="556" t="s">
        <v>1190</v>
      </c>
      <c r="H101" s="556" t="s">
        <v>1191</v>
      </c>
      <c r="I101" s="570">
        <v>26.166666666666668</v>
      </c>
      <c r="J101" s="570">
        <v>6</v>
      </c>
      <c r="K101" s="571">
        <v>157</v>
      </c>
    </row>
    <row r="102" spans="1:11" ht="14.4" customHeight="1" x14ac:dyDescent="0.3">
      <c r="A102" s="552" t="s">
        <v>468</v>
      </c>
      <c r="B102" s="553" t="s">
        <v>469</v>
      </c>
      <c r="C102" s="556" t="s">
        <v>474</v>
      </c>
      <c r="D102" s="584" t="s">
        <v>625</v>
      </c>
      <c r="E102" s="556" t="s">
        <v>1436</v>
      </c>
      <c r="F102" s="584" t="s">
        <v>1437</v>
      </c>
      <c r="G102" s="556" t="s">
        <v>1360</v>
      </c>
      <c r="H102" s="556" t="s">
        <v>1361</v>
      </c>
      <c r="I102" s="570">
        <v>11.143333333333333</v>
      </c>
      <c r="J102" s="570">
        <v>60</v>
      </c>
      <c r="K102" s="571">
        <v>668.84</v>
      </c>
    </row>
    <row r="103" spans="1:11" ht="14.4" customHeight="1" x14ac:dyDescent="0.3">
      <c r="A103" s="552" t="s">
        <v>468</v>
      </c>
      <c r="B103" s="553" t="s">
        <v>469</v>
      </c>
      <c r="C103" s="556" t="s">
        <v>474</v>
      </c>
      <c r="D103" s="584" t="s">
        <v>625</v>
      </c>
      <c r="E103" s="556" t="s">
        <v>1436</v>
      </c>
      <c r="F103" s="584" t="s">
        <v>1437</v>
      </c>
      <c r="G103" s="556" t="s">
        <v>1192</v>
      </c>
      <c r="H103" s="556" t="s">
        <v>1193</v>
      </c>
      <c r="I103" s="570">
        <v>0.85499999999999998</v>
      </c>
      <c r="J103" s="570">
        <v>300</v>
      </c>
      <c r="K103" s="571">
        <v>257</v>
      </c>
    </row>
    <row r="104" spans="1:11" ht="14.4" customHeight="1" x14ac:dyDescent="0.3">
      <c r="A104" s="552" t="s">
        <v>468</v>
      </c>
      <c r="B104" s="553" t="s">
        <v>469</v>
      </c>
      <c r="C104" s="556" t="s">
        <v>474</v>
      </c>
      <c r="D104" s="584" t="s">
        <v>625</v>
      </c>
      <c r="E104" s="556" t="s">
        <v>1436</v>
      </c>
      <c r="F104" s="584" t="s">
        <v>1437</v>
      </c>
      <c r="G104" s="556" t="s">
        <v>1194</v>
      </c>
      <c r="H104" s="556" t="s">
        <v>1195</v>
      </c>
      <c r="I104" s="570">
        <v>1.52</v>
      </c>
      <c r="J104" s="570">
        <v>250</v>
      </c>
      <c r="K104" s="571">
        <v>380</v>
      </c>
    </row>
    <row r="105" spans="1:11" ht="14.4" customHeight="1" x14ac:dyDescent="0.3">
      <c r="A105" s="552" t="s">
        <v>468</v>
      </c>
      <c r="B105" s="553" t="s">
        <v>469</v>
      </c>
      <c r="C105" s="556" t="s">
        <v>474</v>
      </c>
      <c r="D105" s="584" t="s">
        <v>625</v>
      </c>
      <c r="E105" s="556" t="s">
        <v>1436</v>
      </c>
      <c r="F105" s="584" t="s">
        <v>1437</v>
      </c>
      <c r="G105" s="556" t="s">
        <v>1362</v>
      </c>
      <c r="H105" s="556" t="s">
        <v>1363</v>
      </c>
      <c r="I105" s="570">
        <v>2.0699999999999998</v>
      </c>
      <c r="J105" s="570">
        <v>50</v>
      </c>
      <c r="K105" s="571">
        <v>103.5</v>
      </c>
    </row>
    <row r="106" spans="1:11" ht="14.4" customHeight="1" x14ac:dyDescent="0.3">
      <c r="A106" s="552" t="s">
        <v>468</v>
      </c>
      <c r="B106" s="553" t="s">
        <v>469</v>
      </c>
      <c r="C106" s="556" t="s">
        <v>474</v>
      </c>
      <c r="D106" s="584" t="s">
        <v>625</v>
      </c>
      <c r="E106" s="556" t="s">
        <v>1436</v>
      </c>
      <c r="F106" s="584" t="s">
        <v>1437</v>
      </c>
      <c r="G106" s="556" t="s">
        <v>1364</v>
      </c>
      <c r="H106" s="556" t="s">
        <v>1365</v>
      </c>
      <c r="I106" s="570">
        <v>243.51</v>
      </c>
      <c r="J106" s="570">
        <v>1</v>
      </c>
      <c r="K106" s="571">
        <v>243.51</v>
      </c>
    </row>
    <row r="107" spans="1:11" ht="14.4" customHeight="1" x14ac:dyDescent="0.3">
      <c r="A107" s="552" t="s">
        <v>468</v>
      </c>
      <c r="B107" s="553" t="s">
        <v>469</v>
      </c>
      <c r="C107" s="556" t="s">
        <v>474</v>
      </c>
      <c r="D107" s="584" t="s">
        <v>625</v>
      </c>
      <c r="E107" s="556" t="s">
        <v>1436</v>
      </c>
      <c r="F107" s="584" t="s">
        <v>1437</v>
      </c>
      <c r="G107" s="556" t="s">
        <v>1366</v>
      </c>
      <c r="H107" s="556" t="s">
        <v>1367</v>
      </c>
      <c r="I107" s="570">
        <v>0.91</v>
      </c>
      <c r="J107" s="570">
        <v>500</v>
      </c>
      <c r="K107" s="571">
        <v>455.4</v>
      </c>
    </row>
    <row r="108" spans="1:11" ht="14.4" customHeight="1" x14ac:dyDescent="0.3">
      <c r="A108" s="552" t="s">
        <v>468</v>
      </c>
      <c r="B108" s="553" t="s">
        <v>469</v>
      </c>
      <c r="C108" s="556" t="s">
        <v>474</v>
      </c>
      <c r="D108" s="584" t="s">
        <v>625</v>
      </c>
      <c r="E108" s="556" t="s">
        <v>1436</v>
      </c>
      <c r="F108" s="584" t="s">
        <v>1437</v>
      </c>
      <c r="G108" s="556" t="s">
        <v>1198</v>
      </c>
      <c r="H108" s="556" t="s">
        <v>1199</v>
      </c>
      <c r="I108" s="570">
        <v>13.87</v>
      </c>
      <c r="J108" s="570">
        <v>24</v>
      </c>
      <c r="K108" s="571">
        <v>332.8</v>
      </c>
    </row>
    <row r="109" spans="1:11" ht="14.4" customHeight="1" x14ac:dyDescent="0.3">
      <c r="A109" s="552" t="s">
        <v>468</v>
      </c>
      <c r="B109" s="553" t="s">
        <v>469</v>
      </c>
      <c r="C109" s="556" t="s">
        <v>474</v>
      </c>
      <c r="D109" s="584" t="s">
        <v>625</v>
      </c>
      <c r="E109" s="556" t="s">
        <v>1436</v>
      </c>
      <c r="F109" s="584" t="s">
        <v>1437</v>
      </c>
      <c r="G109" s="556" t="s">
        <v>1368</v>
      </c>
      <c r="H109" s="556" t="s">
        <v>1369</v>
      </c>
      <c r="I109" s="570">
        <v>40.340000000000003</v>
      </c>
      <c r="J109" s="570">
        <v>10</v>
      </c>
      <c r="K109" s="571">
        <v>403.39</v>
      </c>
    </row>
    <row r="110" spans="1:11" ht="14.4" customHeight="1" x14ac:dyDescent="0.3">
      <c r="A110" s="552" t="s">
        <v>468</v>
      </c>
      <c r="B110" s="553" t="s">
        <v>469</v>
      </c>
      <c r="C110" s="556" t="s">
        <v>474</v>
      </c>
      <c r="D110" s="584" t="s">
        <v>625</v>
      </c>
      <c r="E110" s="556" t="s">
        <v>1436</v>
      </c>
      <c r="F110" s="584" t="s">
        <v>1437</v>
      </c>
      <c r="G110" s="556" t="s">
        <v>1370</v>
      </c>
      <c r="H110" s="556" t="s">
        <v>1371</v>
      </c>
      <c r="I110" s="570">
        <v>1317.69</v>
      </c>
      <c r="J110" s="570">
        <v>2</v>
      </c>
      <c r="K110" s="571">
        <v>2635.38</v>
      </c>
    </row>
    <row r="111" spans="1:11" ht="14.4" customHeight="1" x14ac:dyDescent="0.3">
      <c r="A111" s="552" t="s">
        <v>468</v>
      </c>
      <c r="B111" s="553" t="s">
        <v>469</v>
      </c>
      <c r="C111" s="556" t="s">
        <v>474</v>
      </c>
      <c r="D111" s="584" t="s">
        <v>625</v>
      </c>
      <c r="E111" s="556" t="s">
        <v>1436</v>
      </c>
      <c r="F111" s="584" t="s">
        <v>1437</v>
      </c>
      <c r="G111" s="556" t="s">
        <v>1200</v>
      </c>
      <c r="H111" s="556" t="s">
        <v>1201</v>
      </c>
      <c r="I111" s="570">
        <v>2.88</v>
      </c>
      <c r="J111" s="570">
        <v>100</v>
      </c>
      <c r="K111" s="571">
        <v>288</v>
      </c>
    </row>
    <row r="112" spans="1:11" ht="14.4" customHeight="1" x14ac:dyDescent="0.3">
      <c r="A112" s="552" t="s">
        <v>468</v>
      </c>
      <c r="B112" s="553" t="s">
        <v>469</v>
      </c>
      <c r="C112" s="556" t="s">
        <v>474</v>
      </c>
      <c r="D112" s="584" t="s">
        <v>625</v>
      </c>
      <c r="E112" s="556" t="s">
        <v>1436</v>
      </c>
      <c r="F112" s="584" t="s">
        <v>1437</v>
      </c>
      <c r="G112" s="556" t="s">
        <v>1202</v>
      </c>
      <c r="H112" s="556" t="s">
        <v>1203</v>
      </c>
      <c r="I112" s="570">
        <v>4.79</v>
      </c>
      <c r="J112" s="570">
        <v>72</v>
      </c>
      <c r="K112" s="571">
        <v>344.88</v>
      </c>
    </row>
    <row r="113" spans="1:11" ht="14.4" customHeight="1" x14ac:dyDescent="0.3">
      <c r="A113" s="552" t="s">
        <v>468</v>
      </c>
      <c r="B113" s="553" t="s">
        <v>469</v>
      </c>
      <c r="C113" s="556" t="s">
        <v>474</v>
      </c>
      <c r="D113" s="584" t="s">
        <v>625</v>
      </c>
      <c r="E113" s="556" t="s">
        <v>1436</v>
      </c>
      <c r="F113" s="584" t="s">
        <v>1437</v>
      </c>
      <c r="G113" s="556" t="s">
        <v>1372</v>
      </c>
      <c r="H113" s="556" t="s">
        <v>1373</v>
      </c>
      <c r="I113" s="570">
        <v>56.35</v>
      </c>
      <c r="J113" s="570">
        <v>1</v>
      </c>
      <c r="K113" s="571">
        <v>56.35</v>
      </c>
    </row>
    <row r="114" spans="1:11" ht="14.4" customHeight="1" x14ac:dyDescent="0.3">
      <c r="A114" s="552" t="s">
        <v>468</v>
      </c>
      <c r="B114" s="553" t="s">
        <v>469</v>
      </c>
      <c r="C114" s="556" t="s">
        <v>474</v>
      </c>
      <c r="D114" s="584" t="s">
        <v>625</v>
      </c>
      <c r="E114" s="556" t="s">
        <v>1436</v>
      </c>
      <c r="F114" s="584" t="s">
        <v>1437</v>
      </c>
      <c r="G114" s="556" t="s">
        <v>1374</v>
      </c>
      <c r="H114" s="556" t="s">
        <v>1375</v>
      </c>
      <c r="I114" s="570">
        <v>5.0199999999999996</v>
      </c>
      <c r="J114" s="570">
        <v>25</v>
      </c>
      <c r="K114" s="571">
        <v>125.4</v>
      </c>
    </row>
    <row r="115" spans="1:11" ht="14.4" customHeight="1" x14ac:dyDescent="0.3">
      <c r="A115" s="552" t="s">
        <v>468</v>
      </c>
      <c r="B115" s="553" t="s">
        <v>469</v>
      </c>
      <c r="C115" s="556" t="s">
        <v>474</v>
      </c>
      <c r="D115" s="584" t="s">
        <v>625</v>
      </c>
      <c r="E115" s="556" t="s">
        <v>1436</v>
      </c>
      <c r="F115" s="584" t="s">
        <v>1437</v>
      </c>
      <c r="G115" s="556" t="s">
        <v>1376</v>
      </c>
      <c r="H115" s="556" t="s">
        <v>1377</v>
      </c>
      <c r="I115" s="570">
        <v>16.329999999999998</v>
      </c>
      <c r="J115" s="570">
        <v>80</v>
      </c>
      <c r="K115" s="571">
        <v>1306.4000000000001</v>
      </c>
    </row>
    <row r="116" spans="1:11" ht="14.4" customHeight="1" x14ac:dyDescent="0.3">
      <c r="A116" s="552" t="s">
        <v>468</v>
      </c>
      <c r="B116" s="553" t="s">
        <v>469</v>
      </c>
      <c r="C116" s="556" t="s">
        <v>474</v>
      </c>
      <c r="D116" s="584" t="s">
        <v>625</v>
      </c>
      <c r="E116" s="556" t="s">
        <v>1436</v>
      </c>
      <c r="F116" s="584" t="s">
        <v>1437</v>
      </c>
      <c r="G116" s="556" t="s">
        <v>1378</v>
      </c>
      <c r="H116" s="556" t="s">
        <v>1379</v>
      </c>
      <c r="I116" s="570">
        <v>22.224999999999998</v>
      </c>
      <c r="J116" s="570">
        <v>12</v>
      </c>
      <c r="K116" s="571">
        <v>267.27999999999997</v>
      </c>
    </row>
    <row r="117" spans="1:11" ht="14.4" customHeight="1" x14ac:dyDescent="0.3">
      <c r="A117" s="552" t="s">
        <v>468</v>
      </c>
      <c r="B117" s="553" t="s">
        <v>469</v>
      </c>
      <c r="C117" s="556" t="s">
        <v>474</v>
      </c>
      <c r="D117" s="584" t="s">
        <v>625</v>
      </c>
      <c r="E117" s="556" t="s">
        <v>1436</v>
      </c>
      <c r="F117" s="584" t="s">
        <v>1437</v>
      </c>
      <c r="G117" s="556" t="s">
        <v>1380</v>
      </c>
      <c r="H117" s="556" t="s">
        <v>1381</v>
      </c>
      <c r="I117" s="570">
        <v>0.56999999999999995</v>
      </c>
      <c r="J117" s="570">
        <v>200</v>
      </c>
      <c r="K117" s="571">
        <v>113.8</v>
      </c>
    </row>
    <row r="118" spans="1:11" ht="14.4" customHeight="1" x14ac:dyDescent="0.3">
      <c r="A118" s="552" t="s">
        <v>468</v>
      </c>
      <c r="B118" s="553" t="s">
        <v>469</v>
      </c>
      <c r="C118" s="556" t="s">
        <v>474</v>
      </c>
      <c r="D118" s="584" t="s">
        <v>625</v>
      </c>
      <c r="E118" s="556" t="s">
        <v>1436</v>
      </c>
      <c r="F118" s="584" t="s">
        <v>1437</v>
      </c>
      <c r="G118" s="556" t="s">
        <v>1382</v>
      </c>
      <c r="H118" s="556" t="s">
        <v>1383</v>
      </c>
      <c r="I118" s="570">
        <v>1868.75</v>
      </c>
      <c r="J118" s="570">
        <v>1</v>
      </c>
      <c r="K118" s="571">
        <v>1868.75</v>
      </c>
    </row>
    <row r="119" spans="1:11" ht="14.4" customHeight="1" x14ac:dyDescent="0.3">
      <c r="A119" s="552" t="s">
        <v>468</v>
      </c>
      <c r="B119" s="553" t="s">
        <v>469</v>
      </c>
      <c r="C119" s="556" t="s">
        <v>474</v>
      </c>
      <c r="D119" s="584" t="s">
        <v>625</v>
      </c>
      <c r="E119" s="556" t="s">
        <v>1436</v>
      </c>
      <c r="F119" s="584" t="s">
        <v>1437</v>
      </c>
      <c r="G119" s="556" t="s">
        <v>1384</v>
      </c>
      <c r="H119" s="556" t="s">
        <v>1385</v>
      </c>
      <c r="I119" s="570">
        <v>67.06</v>
      </c>
      <c r="J119" s="570">
        <v>10</v>
      </c>
      <c r="K119" s="571">
        <v>670.62</v>
      </c>
    </row>
    <row r="120" spans="1:11" ht="14.4" customHeight="1" x14ac:dyDescent="0.3">
      <c r="A120" s="552" t="s">
        <v>468</v>
      </c>
      <c r="B120" s="553" t="s">
        <v>469</v>
      </c>
      <c r="C120" s="556" t="s">
        <v>474</v>
      </c>
      <c r="D120" s="584" t="s">
        <v>625</v>
      </c>
      <c r="E120" s="556" t="s">
        <v>1436</v>
      </c>
      <c r="F120" s="584" t="s">
        <v>1437</v>
      </c>
      <c r="G120" s="556" t="s">
        <v>1386</v>
      </c>
      <c r="H120" s="556" t="s">
        <v>1387</v>
      </c>
      <c r="I120" s="570">
        <v>7.81</v>
      </c>
      <c r="J120" s="570">
        <v>1200</v>
      </c>
      <c r="K120" s="571">
        <v>9377.1</v>
      </c>
    </row>
    <row r="121" spans="1:11" ht="14.4" customHeight="1" x14ac:dyDescent="0.3">
      <c r="A121" s="552" t="s">
        <v>468</v>
      </c>
      <c r="B121" s="553" t="s">
        <v>469</v>
      </c>
      <c r="C121" s="556" t="s">
        <v>474</v>
      </c>
      <c r="D121" s="584" t="s">
        <v>625</v>
      </c>
      <c r="E121" s="556" t="s">
        <v>1436</v>
      </c>
      <c r="F121" s="584" t="s">
        <v>1437</v>
      </c>
      <c r="G121" s="556" t="s">
        <v>1388</v>
      </c>
      <c r="H121" s="556" t="s">
        <v>1389</v>
      </c>
      <c r="I121" s="570">
        <v>5.43</v>
      </c>
      <c r="J121" s="570">
        <v>50</v>
      </c>
      <c r="K121" s="571">
        <v>271.39999999999998</v>
      </c>
    </row>
    <row r="122" spans="1:11" ht="14.4" customHeight="1" x14ac:dyDescent="0.3">
      <c r="A122" s="552" t="s">
        <v>468</v>
      </c>
      <c r="B122" s="553" t="s">
        <v>469</v>
      </c>
      <c r="C122" s="556" t="s">
        <v>474</v>
      </c>
      <c r="D122" s="584" t="s">
        <v>625</v>
      </c>
      <c r="E122" s="556" t="s">
        <v>1436</v>
      </c>
      <c r="F122" s="584" t="s">
        <v>1437</v>
      </c>
      <c r="G122" s="556" t="s">
        <v>1390</v>
      </c>
      <c r="H122" s="556" t="s">
        <v>1391</v>
      </c>
      <c r="I122" s="570">
        <v>1775.6</v>
      </c>
      <c r="J122" s="570">
        <v>1</v>
      </c>
      <c r="K122" s="571">
        <v>1775.6</v>
      </c>
    </row>
    <row r="123" spans="1:11" ht="14.4" customHeight="1" x14ac:dyDescent="0.3">
      <c r="A123" s="552" t="s">
        <v>468</v>
      </c>
      <c r="B123" s="553" t="s">
        <v>469</v>
      </c>
      <c r="C123" s="556" t="s">
        <v>474</v>
      </c>
      <c r="D123" s="584" t="s">
        <v>625</v>
      </c>
      <c r="E123" s="556" t="s">
        <v>1436</v>
      </c>
      <c r="F123" s="584" t="s">
        <v>1437</v>
      </c>
      <c r="G123" s="556" t="s">
        <v>1392</v>
      </c>
      <c r="H123" s="556" t="s">
        <v>1393</v>
      </c>
      <c r="I123" s="570">
        <v>517.5</v>
      </c>
      <c r="J123" s="570">
        <v>10</v>
      </c>
      <c r="K123" s="571">
        <v>5175</v>
      </c>
    </row>
    <row r="124" spans="1:11" ht="14.4" customHeight="1" x14ac:dyDescent="0.3">
      <c r="A124" s="552" t="s">
        <v>468</v>
      </c>
      <c r="B124" s="553" t="s">
        <v>469</v>
      </c>
      <c r="C124" s="556" t="s">
        <v>474</v>
      </c>
      <c r="D124" s="584" t="s">
        <v>625</v>
      </c>
      <c r="E124" s="556" t="s">
        <v>1436</v>
      </c>
      <c r="F124" s="584" t="s">
        <v>1437</v>
      </c>
      <c r="G124" s="556" t="s">
        <v>1394</v>
      </c>
      <c r="H124" s="556" t="s">
        <v>1395</v>
      </c>
      <c r="I124" s="570">
        <v>2044.9</v>
      </c>
      <c r="J124" s="570">
        <v>1</v>
      </c>
      <c r="K124" s="571">
        <v>2044.9</v>
      </c>
    </row>
    <row r="125" spans="1:11" ht="14.4" customHeight="1" x14ac:dyDescent="0.3">
      <c r="A125" s="552" t="s">
        <v>468</v>
      </c>
      <c r="B125" s="553" t="s">
        <v>469</v>
      </c>
      <c r="C125" s="556" t="s">
        <v>474</v>
      </c>
      <c r="D125" s="584" t="s">
        <v>625</v>
      </c>
      <c r="E125" s="556" t="s">
        <v>1436</v>
      </c>
      <c r="F125" s="584" t="s">
        <v>1437</v>
      </c>
      <c r="G125" s="556" t="s">
        <v>1396</v>
      </c>
      <c r="H125" s="556" t="s">
        <v>1397</v>
      </c>
      <c r="I125" s="570">
        <v>200.03</v>
      </c>
      <c r="J125" s="570">
        <v>30</v>
      </c>
      <c r="K125" s="571">
        <v>6000.93</v>
      </c>
    </row>
    <row r="126" spans="1:11" ht="14.4" customHeight="1" x14ac:dyDescent="0.3">
      <c r="A126" s="552" t="s">
        <v>468</v>
      </c>
      <c r="B126" s="553" t="s">
        <v>469</v>
      </c>
      <c r="C126" s="556" t="s">
        <v>474</v>
      </c>
      <c r="D126" s="584" t="s">
        <v>625</v>
      </c>
      <c r="E126" s="556" t="s">
        <v>1436</v>
      </c>
      <c r="F126" s="584" t="s">
        <v>1437</v>
      </c>
      <c r="G126" s="556" t="s">
        <v>1398</v>
      </c>
      <c r="H126" s="556" t="s">
        <v>1399</v>
      </c>
      <c r="I126" s="570">
        <v>144.24</v>
      </c>
      <c r="J126" s="570">
        <v>5</v>
      </c>
      <c r="K126" s="571">
        <v>721.22</v>
      </c>
    </row>
    <row r="127" spans="1:11" ht="14.4" customHeight="1" x14ac:dyDescent="0.3">
      <c r="A127" s="552" t="s">
        <v>468</v>
      </c>
      <c r="B127" s="553" t="s">
        <v>469</v>
      </c>
      <c r="C127" s="556" t="s">
        <v>474</v>
      </c>
      <c r="D127" s="584" t="s">
        <v>625</v>
      </c>
      <c r="E127" s="556" t="s">
        <v>1436</v>
      </c>
      <c r="F127" s="584" t="s">
        <v>1437</v>
      </c>
      <c r="G127" s="556" t="s">
        <v>1400</v>
      </c>
      <c r="H127" s="556" t="s">
        <v>1401</v>
      </c>
      <c r="I127" s="570">
        <v>59.82</v>
      </c>
      <c r="J127" s="570">
        <v>25</v>
      </c>
      <c r="K127" s="571">
        <v>1495.38</v>
      </c>
    </row>
    <row r="128" spans="1:11" ht="14.4" customHeight="1" x14ac:dyDescent="0.3">
      <c r="A128" s="552" t="s">
        <v>468</v>
      </c>
      <c r="B128" s="553" t="s">
        <v>469</v>
      </c>
      <c r="C128" s="556" t="s">
        <v>474</v>
      </c>
      <c r="D128" s="584" t="s">
        <v>625</v>
      </c>
      <c r="E128" s="556" t="s">
        <v>1438</v>
      </c>
      <c r="F128" s="584" t="s">
        <v>1439</v>
      </c>
      <c r="G128" s="556" t="s">
        <v>1402</v>
      </c>
      <c r="H128" s="556" t="s">
        <v>1403</v>
      </c>
      <c r="I128" s="570">
        <v>1.0900000000000001</v>
      </c>
      <c r="J128" s="570">
        <v>300</v>
      </c>
      <c r="K128" s="571">
        <v>327</v>
      </c>
    </row>
    <row r="129" spans="1:11" ht="14.4" customHeight="1" x14ac:dyDescent="0.3">
      <c r="A129" s="552" t="s">
        <v>468</v>
      </c>
      <c r="B129" s="553" t="s">
        <v>469</v>
      </c>
      <c r="C129" s="556" t="s">
        <v>474</v>
      </c>
      <c r="D129" s="584" t="s">
        <v>625</v>
      </c>
      <c r="E129" s="556" t="s">
        <v>1438</v>
      </c>
      <c r="F129" s="584" t="s">
        <v>1439</v>
      </c>
      <c r="G129" s="556" t="s">
        <v>1404</v>
      </c>
      <c r="H129" s="556" t="s">
        <v>1405</v>
      </c>
      <c r="I129" s="570">
        <v>1.67</v>
      </c>
      <c r="J129" s="570">
        <v>100</v>
      </c>
      <c r="K129" s="571">
        <v>167</v>
      </c>
    </row>
    <row r="130" spans="1:11" ht="14.4" customHeight="1" x14ac:dyDescent="0.3">
      <c r="A130" s="552" t="s">
        <v>468</v>
      </c>
      <c r="B130" s="553" t="s">
        <v>469</v>
      </c>
      <c r="C130" s="556" t="s">
        <v>474</v>
      </c>
      <c r="D130" s="584" t="s">
        <v>625</v>
      </c>
      <c r="E130" s="556" t="s">
        <v>1438</v>
      </c>
      <c r="F130" s="584" t="s">
        <v>1439</v>
      </c>
      <c r="G130" s="556" t="s">
        <v>1206</v>
      </c>
      <c r="H130" s="556" t="s">
        <v>1207</v>
      </c>
      <c r="I130" s="570">
        <v>0.47</v>
      </c>
      <c r="J130" s="570">
        <v>100</v>
      </c>
      <c r="K130" s="571">
        <v>47</v>
      </c>
    </row>
    <row r="131" spans="1:11" ht="14.4" customHeight="1" x14ac:dyDescent="0.3">
      <c r="A131" s="552" t="s">
        <v>468</v>
      </c>
      <c r="B131" s="553" t="s">
        <v>469</v>
      </c>
      <c r="C131" s="556" t="s">
        <v>474</v>
      </c>
      <c r="D131" s="584" t="s">
        <v>625</v>
      </c>
      <c r="E131" s="556" t="s">
        <v>1438</v>
      </c>
      <c r="F131" s="584" t="s">
        <v>1439</v>
      </c>
      <c r="G131" s="556" t="s">
        <v>1208</v>
      </c>
      <c r="H131" s="556" t="s">
        <v>1209</v>
      </c>
      <c r="I131" s="570">
        <v>0.67</v>
      </c>
      <c r="J131" s="570">
        <v>300</v>
      </c>
      <c r="K131" s="571">
        <v>201</v>
      </c>
    </row>
    <row r="132" spans="1:11" ht="14.4" customHeight="1" x14ac:dyDescent="0.3">
      <c r="A132" s="552" t="s">
        <v>468</v>
      </c>
      <c r="B132" s="553" t="s">
        <v>469</v>
      </c>
      <c r="C132" s="556" t="s">
        <v>474</v>
      </c>
      <c r="D132" s="584" t="s">
        <v>625</v>
      </c>
      <c r="E132" s="556" t="s">
        <v>1438</v>
      </c>
      <c r="F132" s="584" t="s">
        <v>1439</v>
      </c>
      <c r="G132" s="556" t="s">
        <v>1406</v>
      </c>
      <c r="H132" s="556" t="s">
        <v>1407</v>
      </c>
      <c r="I132" s="570">
        <v>5.32</v>
      </c>
      <c r="J132" s="570">
        <v>200</v>
      </c>
      <c r="K132" s="571">
        <v>1064</v>
      </c>
    </row>
    <row r="133" spans="1:11" ht="14.4" customHeight="1" x14ac:dyDescent="0.3">
      <c r="A133" s="552" t="s">
        <v>468</v>
      </c>
      <c r="B133" s="553" t="s">
        <v>469</v>
      </c>
      <c r="C133" s="556" t="s">
        <v>474</v>
      </c>
      <c r="D133" s="584" t="s">
        <v>625</v>
      </c>
      <c r="E133" s="556" t="s">
        <v>1438</v>
      </c>
      <c r="F133" s="584" t="s">
        <v>1439</v>
      </c>
      <c r="G133" s="556" t="s">
        <v>1210</v>
      </c>
      <c r="H133" s="556" t="s">
        <v>1211</v>
      </c>
      <c r="I133" s="570">
        <v>2.1800000000000002</v>
      </c>
      <c r="J133" s="570">
        <v>200</v>
      </c>
      <c r="K133" s="571">
        <v>435.74</v>
      </c>
    </row>
    <row r="134" spans="1:11" ht="14.4" customHeight="1" x14ac:dyDescent="0.3">
      <c r="A134" s="552" t="s">
        <v>468</v>
      </c>
      <c r="B134" s="553" t="s">
        <v>469</v>
      </c>
      <c r="C134" s="556" t="s">
        <v>474</v>
      </c>
      <c r="D134" s="584" t="s">
        <v>625</v>
      </c>
      <c r="E134" s="556" t="s">
        <v>1438</v>
      </c>
      <c r="F134" s="584" t="s">
        <v>1439</v>
      </c>
      <c r="G134" s="556" t="s">
        <v>1408</v>
      </c>
      <c r="H134" s="556" t="s">
        <v>1409</v>
      </c>
      <c r="I134" s="570">
        <v>0.02</v>
      </c>
      <c r="J134" s="570">
        <v>10</v>
      </c>
      <c r="K134" s="571">
        <v>0.2</v>
      </c>
    </row>
    <row r="135" spans="1:11" ht="14.4" customHeight="1" x14ac:dyDescent="0.3">
      <c r="A135" s="552" t="s">
        <v>468</v>
      </c>
      <c r="B135" s="553" t="s">
        <v>469</v>
      </c>
      <c r="C135" s="556" t="s">
        <v>474</v>
      </c>
      <c r="D135" s="584" t="s">
        <v>625</v>
      </c>
      <c r="E135" s="556" t="s">
        <v>1438</v>
      </c>
      <c r="F135" s="584" t="s">
        <v>1439</v>
      </c>
      <c r="G135" s="556" t="s">
        <v>1410</v>
      </c>
      <c r="H135" s="556" t="s">
        <v>1411</v>
      </c>
      <c r="I135" s="570">
        <v>2.17</v>
      </c>
      <c r="J135" s="570">
        <v>20</v>
      </c>
      <c r="K135" s="571">
        <v>43.4</v>
      </c>
    </row>
    <row r="136" spans="1:11" ht="14.4" customHeight="1" x14ac:dyDescent="0.3">
      <c r="A136" s="552" t="s">
        <v>468</v>
      </c>
      <c r="B136" s="553" t="s">
        <v>469</v>
      </c>
      <c r="C136" s="556" t="s">
        <v>474</v>
      </c>
      <c r="D136" s="584" t="s">
        <v>625</v>
      </c>
      <c r="E136" s="556" t="s">
        <v>1438</v>
      </c>
      <c r="F136" s="584" t="s">
        <v>1439</v>
      </c>
      <c r="G136" s="556" t="s">
        <v>1214</v>
      </c>
      <c r="H136" s="556" t="s">
        <v>1215</v>
      </c>
      <c r="I136" s="570">
        <v>2.06</v>
      </c>
      <c r="J136" s="570">
        <v>40</v>
      </c>
      <c r="K136" s="571">
        <v>82.4</v>
      </c>
    </row>
    <row r="137" spans="1:11" ht="14.4" customHeight="1" x14ac:dyDescent="0.3">
      <c r="A137" s="552" t="s">
        <v>468</v>
      </c>
      <c r="B137" s="553" t="s">
        <v>469</v>
      </c>
      <c r="C137" s="556" t="s">
        <v>474</v>
      </c>
      <c r="D137" s="584" t="s">
        <v>625</v>
      </c>
      <c r="E137" s="556" t="s">
        <v>1438</v>
      </c>
      <c r="F137" s="584" t="s">
        <v>1439</v>
      </c>
      <c r="G137" s="556" t="s">
        <v>1412</v>
      </c>
      <c r="H137" s="556" t="s">
        <v>1413</v>
      </c>
      <c r="I137" s="570">
        <v>5.13</v>
      </c>
      <c r="J137" s="570">
        <v>50</v>
      </c>
      <c r="K137" s="571">
        <v>256.5</v>
      </c>
    </row>
    <row r="138" spans="1:11" ht="14.4" customHeight="1" x14ac:dyDescent="0.3">
      <c r="A138" s="552" t="s">
        <v>468</v>
      </c>
      <c r="B138" s="553" t="s">
        <v>469</v>
      </c>
      <c r="C138" s="556" t="s">
        <v>474</v>
      </c>
      <c r="D138" s="584" t="s">
        <v>625</v>
      </c>
      <c r="E138" s="556" t="s">
        <v>1438</v>
      </c>
      <c r="F138" s="584" t="s">
        <v>1439</v>
      </c>
      <c r="G138" s="556" t="s">
        <v>1220</v>
      </c>
      <c r="H138" s="556" t="s">
        <v>1221</v>
      </c>
      <c r="I138" s="570">
        <v>15</v>
      </c>
      <c r="J138" s="570">
        <v>3</v>
      </c>
      <c r="K138" s="571">
        <v>45</v>
      </c>
    </row>
    <row r="139" spans="1:11" ht="14.4" customHeight="1" x14ac:dyDescent="0.3">
      <c r="A139" s="552" t="s">
        <v>468</v>
      </c>
      <c r="B139" s="553" t="s">
        <v>469</v>
      </c>
      <c r="C139" s="556" t="s">
        <v>474</v>
      </c>
      <c r="D139" s="584" t="s">
        <v>625</v>
      </c>
      <c r="E139" s="556" t="s">
        <v>1438</v>
      </c>
      <c r="F139" s="584" t="s">
        <v>1439</v>
      </c>
      <c r="G139" s="556" t="s">
        <v>1414</v>
      </c>
      <c r="H139" s="556" t="s">
        <v>1415</v>
      </c>
      <c r="I139" s="570">
        <v>12.1</v>
      </c>
      <c r="J139" s="570">
        <v>25</v>
      </c>
      <c r="K139" s="571">
        <v>302.5</v>
      </c>
    </row>
    <row r="140" spans="1:11" ht="14.4" customHeight="1" x14ac:dyDescent="0.3">
      <c r="A140" s="552" t="s">
        <v>468</v>
      </c>
      <c r="B140" s="553" t="s">
        <v>469</v>
      </c>
      <c r="C140" s="556" t="s">
        <v>474</v>
      </c>
      <c r="D140" s="584" t="s">
        <v>625</v>
      </c>
      <c r="E140" s="556" t="s">
        <v>1438</v>
      </c>
      <c r="F140" s="584" t="s">
        <v>1439</v>
      </c>
      <c r="G140" s="556" t="s">
        <v>1416</v>
      </c>
      <c r="H140" s="556" t="s">
        <v>1417</v>
      </c>
      <c r="I140" s="570">
        <v>5.2050000000000001</v>
      </c>
      <c r="J140" s="570">
        <v>50</v>
      </c>
      <c r="K140" s="571">
        <v>260.3</v>
      </c>
    </row>
    <row r="141" spans="1:11" ht="14.4" customHeight="1" x14ac:dyDescent="0.3">
      <c r="A141" s="552" t="s">
        <v>468</v>
      </c>
      <c r="B141" s="553" t="s">
        <v>469</v>
      </c>
      <c r="C141" s="556" t="s">
        <v>474</v>
      </c>
      <c r="D141" s="584" t="s">
        <v>625</v>
      </c>
      <c r="E141" s="556" t="s">
        <v>1438</v>
      </c>
      <c r="F141" s="584" t="s">
        <v>1439</v>
      </c>
      <c r="G141" s="556" t="s">
        <v>1418</v>
      </c>
      <c r="H141" s="556" t="s">
        <v>1419</v>
      </c>
      <c r="I141" s="570">
        <v>21.234999999999999</v>
      </c>
      <c r="J141" s="570">
        <v>130</v>
      </c>
      <c r="K141" s="571">
        <v>2760.4</v>
      </c>
    </row>
    <row r="142" spans="1:11" ht="14.4" customHeight="1" x14ac:dyDescent="0.3">
      <c r="A142" s="552" t="s">
        <v>468</v>
      </c>
      <c r="B142" s="553" t="s">
        <v>469</v>
      </c>
      <c r="C142" s="556" t="s">
        <v>474</v>
      </c>
      <c r="D142" s="584" t="s">
        <v>625</v>
      </c>
      <c r="E142" s="556" t="s">
        <v>1438</v>
      </c>
      <c r="F142" s="584" t="s">
        <v>1439</v>
      </c>
      <c r="G142" s="556" t="s">
        <v>1420</v>
      </c>
      <c r="H142" s="556" t="s">
        <v>1421</v>
      </c>
      <c r="I142" s="570">
        <v>209.33</v>
      </c>
      <c r="J142" s="570">
        <v>2</v>
      </c>
      <c r="K142" s="571">
        <v>418.66</v>
      </c>
    </row>
    <row r="143" spans="1:11" ht="14.4" customHeight="1" x14ac:dyDescent="0.3">
      <c r="A143" s="552" t="s">
        <v>468</v>
      </c>
      <c r="B143" s="553" t="s">
        <v>469</v>
      </c>
      <c r="C143" s="556" t="s">
        <v>474</v>
      </c>
      <c r="D143" s="584" t="s">
        <v>625</v>
      </c>
      <c r="E143" s="556" t="s">
        <v>1438</v>
      </c>
      <c r="F143" s="584" t="s">
        <v>1439</v>
      </c>
      <c r="G143" s="556" t="s">
        <v>1292</v>
      </c>
      <c r="H143" s="556" t="s">
        <v>1293</v>
      </c>
      <c r="I143" s="570">
        <v>30.86</v>
      </c>
      <c r="J143" s="570">
        <v>75</v>
      </c>
      <c r="K143" s="571">
        <v>2314.13</v>
      </c>
    </row>
    <row r="144" spans="1:11" ht="14.4" customHeight="1" x14ac:dyDescent="0.3">
      <c r="A144" s="552" t="s">
        <v>468</v>
      </c>
      <c r="B144" s="553" t="s">
        <v>469</v>
      </c>
      <c r="C144" s="556" t="s">
        <v>474</v>
      </c>
      <c r="D144" s="584" t="s">
        <v>625</v>
      </c>
      <c r="E144" s="556" t="s">
        <v>1438</v>
      </c>
      <c r="F144" s="584" t="s">
        <v>1439</v>
      </c>
      <c r="G144" s="556" t="s">
        <v>1422</v>
      </c>
      <c r="H144" s="556" t="s">
        <v>1423</v>
      </c>
      <c r="I144" s="570">
        <v>4.0999999999999996</v>
      </c>
      <c r="J144" s="570">
        <v>50</v>
      </c>
      <c r="K144" s="571">
        <v>205</v>
      </c>
    </row>
    <row r="145" spans="1:11" ht="14.4" customHeight="1" x14ac:dyDescent="0.3">
      <c r="A145" s="552" t="s">
        <v>468</v>
      </c>
      <c r="B145" s="553" t="s">
        <v>469</v>
      </c>
      <c r="C145" s="556" t="s">
        <v>474</v>
      </c>
      <c r="D145" s="584" t="s">
        <v>625</v>
      </c>
      <c r="E145" s="556" t="s">
        <v>1438</v>
      </c>
      <c r="F145" s="584" t="s">
        <v>1439</v>
      </c>
      <c r="G145" s="556" t="s">
        <v>1424</v>
      </c>
      <c r="H145" s="556" t="s">
        <v>1425</v>
      </c>
      <c r="I145" s="570">
        <v>1</v>
      </c>
      <c r="J145" s="570">
        <v>100</v>
      </c>
      <c r="K145" s="571">
        <v>100</v>
      </c>
    </row>
    <row r="146" spans="1:11" ht="14.4" customHeight="1" x14ac:dyDescent="0.3">
      <c r="A146" s="552" t="s">
        <v>468</v>
      </c>
      <c r="B146" s="553" t="s">
        <v>469</v>
      </c>
      <c r="C146" s="556" t="s">
        <v>474</v>
      </c>
      <c r="D146" s="584" t="s">
        <v>625</v>
      </c>
      <c r="E146" s="556" t="s">
        <v>1438</v>
      </c>
      <c r="F146" s="584" t="s">
        <v>1439</v>
      </c>
      <c r="G146" s="556" t="s">
        <v>1426</v>
      </c>
      <c r="H146" s="556" t="s">
        <v>1427</v>
      </c>
      <c r="I146" s="570">
        <v>418.66</v>
      </c>
      <c r="J146" s="570">
        <v>2</v>
      </c>
      <c r="K146" s="571">
        <v>837.32</v>
      </c>
    </row>
    <row r="147" spans="1:11" ht="14.4" customHeight="1" x14ac:dyDescent="0.3">
      <c r="A147" s="552" t="s">
        <v>468</v>
      </c>
      <c r="B147" s="553" t="s">
        <v>469</v>
      </c>
      <c r="C147" s="556" t="s">
        <v>474</v>
      </c>
      <c r="D147" s="584" t="s">
        <v>625</v>
      </c>
      <c r="E147" s="556" t="s">
        <v>1442</v>
      </c>
      <c r="F147" s="584" t="s">
        <v>1443</v>
      </c>
      <c r="G147" s="556" t="s">
        <v>1254</v>
      </c>
      <c r="H147" s="556" t="s">
        <v>1255</v>
      </c>
      <c r="I147" s="570">
        <v>0.3</v>
      </c>
      <c r="J147" s="570">
        <v>100</v>
      </c>
      <c r="K147" s="571">
        <v>30</v>
      </c>
    </row>
    <row r="148" spans="1:11" ht="14.4" customHeight="1" x14ac:dyDescent="0.3">
      <c r="A148" s="552" t="s">
        <v>468</v>
      </c>
      <c r="B148" s="553" t="s">
        <v>469</v>
      </c>
      <c r="C148" s="556" t="s">
        <v>474</v>
      </c>
      <c r="D148" s="584" t="s">
        <v>625</v>
      </c>
      <c r="E148" s="556" t="s">
        <v>1442</v>
      </c>
      <c r="F148" s="584" t="s">
        <v>1443</v>
      </c>
      <c r="G148" s="556" t="s">
        <v>1256</v>
      </c>
      <c r="H148" s="556" t="s">
        <v>1257</v>
      </c>
      <c r="I148" s="570">
        <v>0.3</v>
      </c>
      <c r="J148" s="570">
        <v>100</v>
      </c>
      <c r="K148" s="571">
        <v>30</v>
      </c>
    </row>
    <row r="149" spans="1:11" ht="14.4" customHeight="1" x14ac:dyDescent="0.3">
      <c r="A149" s="552" t="s">
        <v>468</v>
      </c>
      <c r="B149" s="553" t="s">
        <v>469</v>
      </c>
      <c r="C149" s="556" t="s">
        <v>474</v>
      </c>
      <c r="D149" s="584" t="s">
        <v>625</v>
      </c>
      <c r="E149" s="556" t="s">
        <v>1442</v>
      </c>
      <c r="F149" s="584" t="s">
        <v>1443</v>
      </c>
      <c r="G149" s="556" t="s">
        <v>1428</v>
      </c>
      <c r="H149" s="556" t="s">
        <v>1429</v>
      </c>
      <c r="I149" s="570">
        <v>0.3</v>
      </c>
      <c r="J149" s="570">
        <v>100</v>
      </c>
      <c r="K149" s="571">
        <v>30</v>
      </c>
    </row>
    <row r="150" spans="1:11" ht="14.4" customHeight="1" x14ac:dyDescent="0.3">
      <c r="A150" s="552" t="s">
        <v>468</v>
      </c>
      <c r="B150" s="553" t="s">
        <v>469</v>
      </c>
      <c r="C150" s="556" t="s">
        <v>474</v>
      </c>
      <c r="D150" s="584" t="s">
        <v>625</v>
      </c>
      <c r="E150" s="556" t="s">
        <v>1442</v>
      </c>
      <c r="F150" s="584" t="s">
        <v>1443</v>
      </c>
      <c r="G150" s="556" t="s">
        <v>1430</v>
      </c>
      <c r="H150" s="556" t="s">
        <v>1431</v>
      </c>
      <c r="I150" s="570">
        <v>0.3</v>
      </c>
      <c r="J150" s="570">
        <v>100</v>
      </c>
      <c r="K150" s="571">
        <v>30</v>
      </c>
    </row>
    <row r="151" spans="1:11" ht="14.4" customHeight="1" x14ac:dyDescent="0.3">
      <c r="A151" s="552" t="s">
        <v>468</v>
      </c>
      <c r="B151" s="553" t="s">
        <v>469</v>
      </c>
      <c r="C151" s="556" t="s">
        <v>474</v>
      </c>
      <c r="D151" s="584" t="s">
        <v>625</v>
      </c>
      <c r="E151" s="556" t="s">
        <v>1442</v>
      </c>
      <c r="F151" s="584" t="s">
        <v>1443</v>
      </c>
      <c r="G151" s="556" t="s">
        <v>1260</v>
      </c>
      <c r="H151" s="556" t="s">
        <v>1261</v>
      </c>
      <c r="I151" s="570">
        <v>0.48499999999999999</v>
      </c>
      <c r="J151" s="570">
        <v>200</v>
      </c>
      <c r="K151" s="571">
        <v>97</v>
      </c>
    </row>
    <row r="152" spans="1:11" ht="14.4" customHeight="1" x14ac:dyDescent="0.3">
      <c r="A152" s="552" t="s">
        <v>468</v>
      </c>
      <c r="B152" s="553" t="s">
        <v>469</v>
      </c>
      <c r="C152" s="556" t="s">
        <v>474</v>
      </c>
      <c r="D152" s="584" t="s">
        <v>625</v>
      </c>
      <c r="E152" s="556" t="s">
        <v>1444</v>
      </c>
      <c r="F152" s="584" t="s">
        <v>1445</v>
      </c>
      <c r="G152" s="556" t="s">
        <v>1432</v>
      </c>
      <c r="H152" s="556" t="s">
        <v>1433</v>
      </c>
      <c r="I152" s="570">
        <v>10.55</v>
      </c>
      <c r="J152" s="570">
        <v>80</v>
      </c>
      <c r="K152" s="571">
        <v>844.1</v>
      </c>
    </row>
    <row r="153" spans="1:11" ht="14.4" customHeight="1" thickBot="1" x14ac:dyDescent="0.35">
      <c r="A153" s="560" t="s">
        <v>468</v>
      </c>
      <c r="B153" s="561" t="s">
        <v>469</v>
      </c>
      <c r="C153" s="564" t="s">
        <v>474</v>
      </c>
      <c r="D153" s="585" t="s">
        <v>625</v>
      </c>
      <c r="E153" s="564" t="s">
        <v>1444</v>
      </c>
      <c r="F153" s="585" t="s">
        <v>1445</v>
      </c>
      <c r="G153" s="564" t="s">
        <v>1434</v>
      </c>
      <c r="H153" s="564" t="s">
        <v>1435</v>
      </c>
      <c r="I153" s="572">
        <v>1.21</v>
      </c>
      <c r="J153" s="572">
        <v>3600</v>
      </c>
      <c r="K153" s="573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40" t="s">
        <v>286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</row>
    <row r="3" spans="1:35" x14ac:dyDescent="0.3">
      <c r="A3" s="259" t="s">
        <v>209</v>
      </c>
      <c r="B3" s="400" t="s">
        <v>190</v>
      </c>
      <c r="C3" s="242">
        <v>0</v>
      </c>
      <c r="D3" s="243">
        <v>101</v>
      </c>
      <c r="E3" s="243">
        <v>102</v>
      </c>
      <c r="F3" s="262">
        <v>305</v>
      </c>
      <c r="G3" s="262">
        <v>306</v>
      </c>
      <c r="H3" s="262">
        <v>407</v>
      </c>
      <c r="I3" s="262">
        <v>408</v>
      </c>
      <c r="J3" s="262">
        <v>409</v>
      </c>
      <c r="K3" s="262">
        <v>410</v>
      </c>
      <c r="L3" s="262">
        <v>415</v>
      </c>
      <c r="M3" s="262">
        <v>416</v>
      </c>
      <c r="N3" s="262">
        <v>418</v>
      </c>
      <c r="O3" s="262">
        <v>419</v>
      </c>
      <c r="P3" s="262">
        <v>420</v>
      </c>
      <c r="Q3" s="262">
        <v>421</v>
      </c>
      <c r="R3" s="262">
        <v>522</v>
      </c>
      <c r="S3" s="262">
        <v>523</v>
      </c>
      <c r="T3" s="262">
        <v>524</v>
      </c>
      <c r="U3" s="262">
        <v>525</v>
      </c>
      <c r="V3" s="262">
        <v>526</v>
      </c>
      <c r="W3" s="262">
        <v>527</v>
      </c>
      <c r="X3" s="262">
        <v>528</v>
      </c>
      <c r="Y3" s="262">
        <v>629</v>
      </c>
      <c r="Z3" s="262">
        <v>630</v>
      </c>
      <c r="AA3" s="262">
        <v>636</v>
      </c>
      <c r="AB3" s="262">
        <v>637</v>
      </c>
      <c r="AC3" s="262">
        <v>640</v>
      </c>
      <c r="AD3" s="262">
        <v>642</v>
      </c>
      <c r="AE3" s="262">
        <v>743</v>
      </c>
      <c r="AF3" s="243">
        <v>745</v>
      </c>
      <c r="AG3" s="243">
        <v>746</v>
      </c>
      <c r="AH3" s="595">
        <v>930</v>
      </c>
      <c r="AI3" s="611"/>
    </row>
    <row r="4" spans="1:35" ht="36.6" outlineLevel="1" thickBot="1" x14ac:dyDescent="0.35">
      <c r="A4" s="260">
        <v>2015</v>
      </c>
      <c r="B4" s="401"/>
      <c r="C4" s="244" t="s">
        <v>191</v>
      </c>
      <c r="D4" s="245" t="s">
        <v>192</v>
      </c>
      <c r="E4" s="245" t="s">
        <v>193</v>
      </c>
      <c r="F4" s="263" t="s">
        <v>221</v>
      </c>
      <c r="G4" s="263" t="s">
        <v>222</v>
      </c>
      <c r="H4" s="263" t="s">
        <v>284</v>
      </c>
      <c r="I4" s="263" t="s">
        <v>223</v>
      </c>
      <c r="J4" s="263" t="s">
        <v>224</v>
      </c>
      <c r="K4" s="263" t="s">
        <v>225</v>
      </c>
      <c r="L4" s="263" t="s">
        <v>226</v>
      </c>
      <c r="M4" s="263" t="s">
        <v>227</v>
      </c>
      <c r="N4" s="263" t="s">
        <v>228</v>
      </c>
      <c r="O4" s="263" t="s">
        <v>229</v>
      </c>
      <c r="P4" s="263" t="s">
        <v>230</v>
      </c>
      <c r="Q4" s="263" t="s">
        <v>231</v>
      </c>
      <c r="R4" s="263" t="s">
        <v>232</v>
      </c>
      <c r="S4" s="263" t="s">
        <v>233</v>
      </c>
      <c r="T4" s="263" t="s">
        <v>234</v>
      </c>
      <c r="U4" s="263" t="s">
        <v>235</v>
      </c>
      <c r="V4" s="263" t="s">
        <v>236</v>
      </c>
      <c r="W4" s="263" t="s">
        <v>237</v>
      </c>
      <c r="X4" s="263" t="s">
        <v>246</v>
      </c>
      <c r="Y4" s="263" t="s">
        <v>238</v>
      </c>
      <c r="Z4" s="263" t="s">
        <v>247</v>
      </c>
      <c r="AA4" s="263" t="s">
        <v>239</v>
      </c>
      <c r="AB4" s="263" t="s">
        <v>240</v>
      </c>
      <c r="AC4" s="263" t="s">
        <v>241</v>
      </c>
      <c r="AD4" s="263" t="s">
        <v>242</v>
      </c>
      <c r="AE4" s="263" t="s">
        <v>243</v>
      </c>
      <c r="AF4" s="245" t="s">
        <v>244</v>
      </c>
      <c r="AG4" s="245" t="s">
        <v>245</v>
      </c>
      <c r="AH4" s="596" t="s">
        <v>211</v>
      </c>
      <c r="AI4" s="611"/>
    </row>
    <row r="5" spans="1:35" x14ac:dyDescent="0.3">
      <c r="A5" s="246" t="s">
        <v>194</v>
      </c>
      <c r="B5" s="282"/>
      <c r="C5" s="283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597"/>
      <c r="AI5" s="611"/>
    </row>
    <row r="6" spans="1:35" ht="15" collapsed="1" thickBot="1" x14ac:dyDescent="0.35">
      <c r="A6" s="247" t="s">
        <v>73</v>
      </c>
      <c r="B6" s="285">
        <f xml:space="preserve">
TRUNC(IF($A$4&lt;=12,SUMIFS('ON Data'!F:F,'ON Data'!$D:$D,$A$4,'ON Data'!$E:$E,1),SUMIFS('ON Data'!F:F,'ON Data'!$E:$E,1)/'ON Data'!$D$3),1)</f>
        <v>12.9</v>
      </c>
      <c r="C6" s="286">
        <f xml:space="preserve">
TRUNC(IF($A$4&lt;=12,SUMIFS('ON Data'!G:G,'ON Data'!$D:$D,$A$4,'ON Data'!$E:$E,1),SUMIFS('ON Data'!G:G,'ON Data'!$E:$E,1)/'ON Data'!$D$3),1)</f>
        <v>0</v>
      </c>
      <c r="D6" s="287">
        <f xml:space="preserve">
TRUNC(IF($A$4&lt;=12,SUMIFS('ON Data'!H:H,'ON Data'!$D:$D,$A$4,'ON Data'!$E:$E,1),SUMIFS('ON Data'!H:H,'ON Data'!$E:$E,1)/'ON Data'!$D$3),1)</f>
        <v>6.4</v>
      </c>
      <c r="E6" s="287">
        <f xml:space="preserve">
TRUNC(IF($A$4&lt;=12,SUMIFS('ON Data'!I:I,'ON Data'!$D:$D,$A$4,'ON Data'!$E:$E,1),SUMIFS('ON Data'!I:I,'ON Data'!$E:$E,1)/'ON Data'!$D$3),1)</f>
        <v>0</v>
      </c>
      <c r="F6" s="287">
        <f xml:space="preserve">
TRUNC(IF($A$4&lt;=12,SUMIFS('ON Data'!K:K,'ON Data'!$D:$D,$A$4,'ON Data'!$E:$E,1),SUMIFS('ON Data'!K:K,'ON Data'!$E:$E,1)/'ON Data'!$D$3),1)</f>
        <v>5</v>
      </c>
      <c r="G6" s="287">
        <f xml:space="preserve">
TRUNC(IF($A$4&lt;=12,SUMIFS('ON Data'!L:L,'ON Data'!$D:$D,$A$4,'ON Data'!$E:$E,1),SUMIFS('ON Data'!L:L,'ON Data'!$E:$E,1)/'ON Data'!$D$3),1)</f>
        <v>0</v>
      </c>
      <c r="H6" s="287">
        <f xml:space="preserve">
TRUNC(IF($A$4&lt;=12,SUMIFS('ON Data'!M:M,'ON Data'!$D:$D,$A$4,'ON Data'!$E:$E,1),SUMIFS('ON Data'!M:M,'ON Data'!$E:$E,1)/'ON Data'!$D$3),1)</f>
        <v>0</v>
      </c>
      <c r="I6" s="287">
        <f xml:space="preserve">
TRUNC(IF($A$4&lt;=12,SUMIFS('ON Data'!N:N,'ON Data'!$D:$D,$A$4,'ON Data'!$E:$E,1),SUMIFS('ON Data'!N:N,'ON Data'!$E:$E,1)/'ON Data'!$D$3),1)</f>
        <v>0</v>
      </c>
      <c r="J6" s="287">
        <f xml:space="preserve">
TRUNC(IF($A$4&lt;=12,SUMIFS('ON Data'!O:O,'ON Data'!$D:$D,$A$4,'ON Data'!$E:$E,1),SUMIFS('ON Data'!O:O,'ON Data'!$E:$E,1)/'ON Data'!$D$3),1)</f>
        <v>0</v>
      </c>
      <c r="K6" s="287">
        <f xml:space="preserve">
TRUNC(IF($A$4&lt;=12,SUMIFS('ON Data'!P:P,'ON Data'!$D:$D,$A$4,'ON Data'!$E:$E,1),SUMIFS('ON Data'!P:P,'ON Data'!$E:$E,1)/'ON Data'!$D$3),1)</f>
        <v>0</v>
      </c>
      <c r="L6" s="287">
        <f xml:space="preserve">
TRUNC(IF($A$4&lt;=12,SUMIFS('ON Data'!Q:Q,'ON Data'!$D:$D,$A$4,'ON Data'!$E:$E,1),SUMIFS('ON Data'!Q:Q,'ON Data'!$E:$E,1)/'ON Data'!$D$3),1)</f>
        <v>0</v>
      </c>
      <c r="M6" s="287">
        <f xml:space="preserve">
TRUNC(IF($A$4&lt;=12,SUMIFS('ON Data'!R:R,'ON Data'!$D:$D,$A$4,'ON Data'!$E:$E,1),SUMIFS('ON Data'!R:R,'ON Data'!$E:$E,1)/'ON Data'!$D$3),1)</f>
        <v>0</v>
      </c>
      <c r="N6" s="287">
        <f xml:space="preserve">
TRUNC(IF($A$4&lt;=12,SUMIFS('ON Data'!S:S,'ON Data'!$D:$D,$A$4,'ON Data'!$E:$E,1),SUMIFS('ON Data'!S:S,'ON Data'!$E:$E,1)/'ON Data'!$D$3),1)</f>
        <v>0</v>
      </c>
      <c r="O6" s="287">
        <f xml:space="preserve">
TRUNC(IF($A$4&lt;=12,SUMIFS('ON Data'!T:T,'ON Data'!$D:$D,$A$4,'ON Data'!$E:$E,1),SUMIFS('ON Data'!T:T,'ON Data'!$E:$E,1)/'ON Data'!$D$3),1)</f>
        <v>0</v>
      </c>
      <c r="P6" s="287">
        <f xml:space="preserve">
TRUNC(IF($A$4&lt;=12,SUMIFS('ON Data'!U:U,'ON Data'!$D:$D,$A$4,'ON Data'!$E:$E,1),SUMIFS('ON Data'!U:U,'ON Data'!$E:$E,1)/'ON Data'!$D$3),1)</f>
        <v>0</v>
      </c>
      <c r="Q6" s="287">
        <f xml:space="preserve">
TRUNC(IF($A$4&lt;=12,SUMIFS('ON Data'!V:V,'ON Data'!$D:$D,$A$4,'ON Data'!$E:$E,1),SUMIFS('ON Data'!V:V,'ON Data'!$E:$E,1)/'ON Data'!$D$3),1)</f>
        <v>0</v>
      </c>
      <c r="R6" s="287">
        <f xml:space="preserve">
TRUNC(IF($A$4&lt;=12,SUMIFS('ON Data'!W:W,'ON Data'!$D:$D,$A$4,'ON Data'!$E:$E,1),SUMIFS('ON Data'!W:W,'ON Data'!$E:$E,1)/'ON Data'!$D$3),1)</f>
        <v>0</v>
      </c>
      <c r="S6" s="287">
        <f xml:space="preserve">
TRUNC(IF($A$4&lt;=12,SUMIFS('ON Data'!X:X,'ON Data'!$D:$D,$A$4,'ON Data'!$E:$E,1),SUMIFS('ON Data'!X:X,'ON Data'!$E:$E,1)/'ON Data'!$D$3),1)</f>
        <v>0</v>
      </c>
      <c r="T6" s="287">
        <f xml:space="preserve">
TRUNC(IF($A$4&lt;=12,SUMIFS('ON Data'!Y:Y,'ON Data'!$D:$D,$A$4,'ON Data'!$E:$E,1),SUMIFS('ON Data'!Y:Y,'ON Data'!$E:$E,1)/'ON Data'!$D$3),1)</f>
        <v>0</v>
      </c>
      <c r="U6" s="287">
        <f xml:space="preserve">
TRUNC(IF($A$4&lt;=12,SUMIFS('ON Data'!Z:Z,'ON Data'!$D:$D,$A$4,'ON Data'!$E:$E,1),SUMIFS('ON Data'!Z:Z,'ON Data'!$E:$E,1)/'ON Data'!$D$3),1)</f>
        <v>0</v>
      </c>
      <c r="V6" s="287">
        <f xml:space="preserve">
TRUNC(IF($A$4&lt;=12,SUMIFS('ON Data'!AA:AA,'ON Data'!$D:$D,$A$4,'ON Data'!$E:$E,1),SUMIFS('ON Data'!AA:AA,'ON Data'!$E:$E,1)/'ON Data'!$D$3),1)</f>
        <v>0</v>
      </c>
      <c r="W6" s="287">
        <f xml:space="preserve">
TRUNC(IF($A$4&lt;=12,SUMIFS('ON Data'!AB:AB,'ON Data'!$D:$D,$A$4,'ON Data'!$E:$E,1),SUMIFS('ON Data'!AB:AB,'ON Data'!$E:$E,1)/'ON Data'!$D$3),1)</f>
        <v>0</v>
      </c>
      <c r="X6" s="287">
        <f xml:space="preserve">
TRUNC(IF($A$4&lt;=12,SUMIFS('ON Data'!AC:AC,'ON Data'!$D:$D,$A$4,'ON Data'!$E:$E,1),SUMIFS('ON Data'!AC:AC,'ON Data'!$E:$E,1)/'ON Data'!$D$3),1)</f>
        <v>0</v>
      </c>
      <c r="Y6" s="287">
        <f xml:space="preserve">
TRUNC(IF($A$4&lt;=12,SUMIFS('ON Data'!AD:AD,'ON Data'!$D:$D,$A$4,'ON Data'!$E:$E,1),SUMIFS('ON Data'!AD:AD,'ON Data'!$E:$E,1)/'ON Data'!$D$3),1)</f>
        <v>0</v>
      </c>
      <c r="Z6" s="287">
        <f xml:space="preserve">
TRUNC(IF($A$4&lt;=12,SUMIFS('ON Data'!AE:AE,'ON Data'!$D:$D,$A$4,'ON Data'!$E:$E,1),SUMIFS('ON Data'!AE:AE,'ON Data'!$E:$E,1)/'ON Data'!$D$3),1)</f>
        <v>0</v>
      </c>
      <c r="AA6" s="287">
        <f xml:space="preserve">
TRUNC(IF($A$4&lt;=12,SUMIFS('ON Data'!AF:AF,'ON Data'!$D:$D,$A$4,'ON Data'!$E:$E,1),SUMIFS('ON Data'!AF:AF,'ON Data'!$E:$E,1)/'ON Data'!$D$3),1)</f>
        <v>0</v>
      </c>
      <c r="AB6" s="287">
        <f xml:space="preserve">
TRUNC(IF($A$4&lt;=12,SUMIFS('ON Data'!AG:AG,'ON Data'!$D:$D,$A$4,'ON Data'!$E:$E,1),SUMIFS('ON Data'!AG:AG,'ON Data'!$E:$E,1)/'ON Data'!$D$3),1)</f>
        <v>0</v>
      </c>
      <c r="AC6" s="287">
        <f xml:space="preserve">
TRUNC(IF($A$4&lt;=12,SUMIFS('ON Data'!AH:AH,'ON Data'!$D:$D,$A$4,'ON Data'!$E:$E,1),SUMIFS('ON Data'!AH:AH,'ON Data'!$E:$E,1)/'ON Data'!$D$3),1)</f>
        <v>0</v>
      </c>
      <c r="AD6" s="287">
        <f xml:space="preserve">
TRUNC(IF($A$4&lt;=12,SUMIFS('ON Data'!AI:AI,'ON Data'!$D:$D,$A$4,'ON Data'!$E:$E,1),SUMIFS('ON Data'!AI:AI,'ON Data'!$E:$E,1)/'ON Data'!$D$3),1)</f>
        <v>0</v>
      </c>
      <c r="AE6" s="287">
        <f xml:space="preserve">
TRUNC(IF($A$4&lt;=12,SUMIFS('ON Data'!AJ:AJ,'ON Data'!$D:$D,$A$4,'ON Data'!$E:$E,1),SUMIFS('ON Data'!AJ:AJ,'ON Data'!$E:$E,1)/'ON Data'!$D$3),1)</f>
        <v>0</v>
      </c>
      <c r="AF6" s="287">
        <f xml:space="preserve">
TRUNC(IF($A$4&lt;=12,SUMIFS('ON Data'!AK:AK,'ON Data'!$D:$D,$A$4,'ON Data'!$E:$E,1),SUMIFS('ON Data'!AK:AK,'ON Data'!$E:$E,1)/'ON Data'!$D$3),1)</f>
        <v>0</v>
      </c>
      <c r="AG6" s="287">
        <f xml:space="preserve">
TRUNC(IF($A$4&lt;=12,SUMIFS('ON Data'!AL:AL,'ON Data'!$D:$D,$A$4,'ON Data'!$E:$E,1),SUMIFS('ON Data'!AL:AL,'ON Data'!$E:$E,1)/'ON Data'!$D$3),1)</f>
        <v>0</v>
      </c>
      <c r="AH6" s="598">
        <f xml:space="preserve">
TRUNC(IF($A$4&lt;=12,SUMIFS('ON Data'!AN:AN,'ON Data'!$D:$D,$A$4,'ON Data'!$E:$E,1),SUMIFS('ON Data'!AN:AN,'ON Data'!$E:$E,1)/'ON Data'!$D$3),1)</f>
        <v>1.5</v>
      </c>
      <c r="AI6" s="611"/>
    </row>
    <row r="7" spans="1:35" ht="15" hidden="1" outlineLevel="1" thickBot="1" x14ac:dyDescent="0.35">
      <c r="A7" s="247" t="s">
        <v>108</v>
      </c>
      <c r="B7" s="285"/>
      <c r="C7" s="288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598"/>
      <c r="AI7" s="611"/>
    </row>
    <row r="8" spans="1:35" ht="15" hidden="1" outlineLevel="1" thickBot="1" x14ac:dyDescent="0.35">
      <c r="A8" s="247" t="s">
        <v>75</v>
      </c>
      <c r="B8" s="285"/>
      <c r="C8" s="288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598"/>
      <c r="AI8" s="611"/>
    </row>
    <row r="9" spans="1:35" ht="15" hidden="1" outlineLevel="1" thickBot="1" x14ac:dyDescent="0.35">
      <c r="A9" s="248" t="s">
        <v>68</v>
      </c>
      <c r="B9" s="289"/>
      <c r="C9" s="290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599"/>
      <c r="AI9" s="611"/>
    </row>
    <row r="10" spans="1:35" x14ac:dyDescent="0.3">
      <c r="A10" s="249" t="s">
        <v>195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600"/>
      <c r="AI10" s="611"/>
    </row>
    <row r="11" spans="1:35" x14ac:dyDescent="0.3">
      <c r="A11" s="250" t="s">
        <v>196</v>
      </c>
      <c r="B11" s="267">
        <f xml:space="preserve">
IF($A$4&lt;=12,SUMIFS('ON Data'!F:F,'ON Data'!$D:$D,$A$4,'ON Data'!$E:$E,2),SUMIFS('ON Data'!F:F,'ON Data'!$E:$E,2))</f>
        <v>8304</v>
      </c>
      <c r="C11" s="268">
        <f xml:space="preserve">
IF($A$4&lt;=12,SUMIFS('ON Data'!G:G,'ON Data'!$D:$D,$A$4,'ON Data'!$E:$E,2),SUMIFS('ON Data'!G:G,'ON Data'!$E:$E,2))</f>
        <v>0</v>
      </c>
      <c r="D11" s="269">
        <f xml:space="preserve">
IF($A$4&lt;=12,SUMIFS('ON Data'!H:H,'ON Data'!$D:$D,$A$4,'ON Data'!$E:$E,2),SUMIFS('ON Data'!H:H,'ON Data'!$E:$E,2))</f>
        <v>4048</v>
      </c>
      <c r="E11" s="269">
        <f xml:space="preserve">
IF($A$4&lt;=12,SUMIFS('ON Data'!I:I,'ON Data'!$D:$D,$A$4,'ON Data'!$E:$E,2),SUMIFS('ON Data'!I:I,'ON Data'!$E:$E,2))</f>
        <v>0</v>
      </c>
      <c r="F11" s="269">
        <f xml:space="preserve">
IF($A$4&lt;=12,SUMIFS('ON Data'!K:K,'ON Data'!$D:$D,$A$4,'ON Data'!$E:$E,2),SUMIFS('ON Data'!K:K,'ON Data'!$E:$E,2))</f>
        <v>3244</v>
      </c>
      <c r="G11" s="269">
        <f xml:space="preserve">
IF($A$4&lt;=12,SUMIFS('ON Data'!L:L,'ON Data'!$D:$D,$A$4,'ON Data'!$E:$E,2),SUMIFS('ON Data'!L:L,'ON Data'!$E:$E,2))</f>
        <v>0</v>
      </c>
      <c r="H11" s="269">
        <f xml:space="preserve">
IF($A$4&lt;=12,SUMIFS('ON Data'!M:M,'ON Data'!$D:$D,$A$4,'ON Data'!$E:$E,2),SUMIFS('ON Data'!M:M,'ON Data'!$E:$E,2))</f>
        <v>0</v>
      </c>
      <c r="I11" s="269">
        <f xml:space="preserve">
IF($A$4&lt;=12,SUMIFS('ON Data'!N:N,'ON Data'!$D:$D,$A$4,'ON Data'!$E:$E,2),SUMIFS('ON Data'!N:N,'ON Data'!$E:$E,2))</f>
        <v>0</v>
      </c>
      <c r="J11" s="269">
        <f xml:space="preserve">
IF($A$4&lt;=12,SUMIFS('ON Data'!O:O,'ON Data'!$D:$D,$A$4,'ON Data'!$E:$E,2),SUMIFS('ON Data'!O:O,'ON Data'!$E:$E,2))</f>
        <v>0</v>
      </c>
      <c r="K11" s="269">
        <f xml:space="preserve">
IF($A$4&lt;=12,SUMIFS('ON Data'!P:P,'ON Data'!$D:$D,$A$4,'ON Data'!$E:$E,2),SUMIFS('ON Data'!P:P,'ON Data'!$E:$E,2))</f>
        <v>0</v>
      </c>
      <c r="L11" s="269">
        <f xml:space="preserve">
IF($A$4&lt;=12,SUMIFS('ON Data'!Q:Q,'ON Data'!$D:$D,$A$4,'ON Data'!$E:$E,2),SUMIFS('ON Data'!Q:Q,'ON Data'!$E:$E,2))</f>
        <v>0</v>
      </c>
      <c r="M11" s="269">
        <f xml:space="preserve">
IF($A$4&lt;=12,SUMIFS('ON Data'!R:R,'ON Data'!$D:$D,$A$4,'ON Data'!$E:$E,2),SUMIFS('ON Data'!R:R,'ON Data'!$E:$E,2))</f>
        <v>0</v>
      </c>
      <c r="N11" s="269">
        <f xml:space="preserve">
IF($A$4&lt;=12,SUMIFS('ON Data'!S:S,'ON Data'!$D:$D,$A$4,'ON Data'!$E:$E,2),SUMIFS('ON Data'!S:S,'ON Data'!$E:$E,2))</f>
        <v>0</v>
      </c>
      <c r="O11" s="269">
        <f xml:space="preserve">
IF($A$4&lt;=12,SUMIFS('ON Data'!T:T,'ON Data'!$D:$D,$A$4,'ON Data'!$E:$E,2),SUMIFS('ON Data'!T:T,'ON Data'!$E:$E,2))</f>
        <v>0</v>
      </c>
      <c r="P11" s="269">
        <f xml:space="preserve">
IF($A$4&lt;=12,SUMIFS('ON Data'!U:U,'ON Data'!$D:$D,$A$4,'ON Data'!$E:$E,2),SUMIFS('ON Data'!U:U,'ON Data'!$E:$E,2))</f>
        <v>0</v>
      </c>
      <c r="Q11" s="269">
        <f xml:space="preserve">
IF($A$4&lt;=12,SUMIFS('ON Data'!V:V,'ON Data'!$D:$D,$A$4,'ON Data'!$E:$E,2),SUMIFS('ON Data'!V:V,'ON Data'!$E:$E,2))</f>
        <v>0</v>
      </c>
      <c r="R11" s="269">
        <f xml:space="preserve">
IF($A$4&lt;=12,SUMIFS('ON Data'!W:W,'ON Data'!$D:$D,$A$4,'ON Data'!$E:$E,2),SUMIFS('ON Data'!W:W,'ON Data'!$E:$E,2))</f>
        <v>0</v>
      </c>
      <c r="S11" s="269">
        <f xml:space="preserve">
IF($A$4&lt;=12,SUMIFS('ON Data'!X:X,'ON Data'!$D:$D,$A$4,'ON Data'!$E:$E,2),SUMIFS('ON Data'!X:X,'ON Data'!$E:$E,2))</f>
        <v>0</v>
      </c>
      <c r="T11" s="269">
        <f xml:space="preserve">
IF($A$4&lt;=12,SUMIFS('ON Data'!Y:Y,'ON Data'!$D:$D,$A$4,'ON Data'!$E:$E,2),SUMIFS('ON Data'!Y:Y,'ON Data'!$E:$E,2))</f>
        <v>0</v>
      </c>
      <c r="U11" s="269">
        <f xml:space="preserve">
IF($A$4&lt;=12,SUMIFS('ON Data'!Z:Z,'ON Data'!$D:$D,$A$4,'ON Data'!$E:$E,2),SUMIFS('ON Data'!Z:Z,'ON Data'!$E:$E,2))</f>
        <v>0</v>
      </c>
      <c r="V11" s="269">
        <f xml:space="preserve">
IF($A$4&lt;=12,SUMIFS('ON Data'!AA:AA,'ON Data'!$D:$D,$A$4,'ON Data'!$E:$E,2),SUMIFS('ON Data'!AA:AA,'ON Data'!$E:$E,2))</f>
        <v>0</v>
      </c>
      <c r="W11" s="269">
        <f xml:space="preserve">
IF($A$4&lt;=12,SUMIFS('ON Data'!AB:AB,'ON Data'!$D:$D,$A$4,'ON Data'!$E:$E,2),SUMIFS('ON Data'!AB:AB,'ON Data'!$E:$E,2))</f>
        <v>0</v>
      </c>
      <c r="X11" s="269">
        <f xml:space="preserve">
IF($A$4&lt;=12,SUMIFS('ON Data'!AC:AC,'ON Data'!$D:$D,$A$4,'ON Data'!$E:$E,2),SUMIFS('ON Data'!AC:AC,'ON Data'!$E:$E,2))</f>
        <v>0</v>
      </c>
      <c r="Y11" s="269">
        <f xml:space="preserve">
IF($A$4&lt;=12,SUMIFS('ON Data'!AD:AD,'ON Data'!$D:$D,$A$4,'ON Data'!$E:$E,2),SUMIFS('ON Data'!AD:AD,'ON Data'!$E:$E,2))</f>
        <v>0</v>
      </c>
      <c r="Z11" s="269">
        <f xml:space="preserve">
IF($A$4&lt;=12,SUMIFS('ON Data'!AE:AE,'ON Data'!$D:$D,$A$4,'ON Data'!$E:$E,2),SUMIFS('ON Data'!AE:AE,'ON Data'!$E:$E,2))</f>
        <v>0</v>
      </c>
      <c r="AA11" s="269">
        <f xml:space="preserve">
IF($A$4&lt;=12,SUMIFS('ON Data'!AF:AF,'ON Data'!$D:$D,$A$4,'ON Data'!$E:$E,2),SUMIFS('ON Data'!AF:AF,'ON Data'!$E:$E,2))</f>
        <v>0</v>
      </c>
      <c r="AB11" s="269">
        <f xml:space="preserve">
IF($A$4&lt;=12,SUMIFS('ON Data'!AG:AG,'ON Data'!$D:$D,$A$4,'ON Data'!$E:$E,2),SUMIFS('ON Data'!AG:AG,'ON Data'!$E:$E,2))</f>
        <v>0</v>
      </c>
      <c r="AC11" s="269">
        <f xml:space="preserve">
IF($A$4&lt;=12,SUMIFS('ON Data'!AH:AH,'ON Data'!$D:$D,$A$4,'ON Data'!$E:$E,2),SUMIFS('ON Data'!AH:AH,'ON Data'!$E:$E,2))</f>
        <v>0</v>
      </c>
      <c r="AD11" s="269">
        <f xml:space="preserve">
IF($A$4&lt;=12,SUMIFS('ON Data'!AI:AI,'ON Data'!$D:$D,$A$4,'ON Data'!$E:$E,2),SUMIFS('ON Data'!AI:AI,'ON Data'!$E:$E,2))</f>
        <v>0</v>
      </c>
      <c r="AE11" s="269">
        <f xml:space="preserve">
IF($A$4&lt;=12,SUMIFS('ON Data'!AJ:AJ,'ON Data'!$D:$D,$A$4,'ON Data'!$E:$E,2),SUMIFS('ON Data'!AJ:AJ,'ON Data'!$E:$E,2))</f>
        <v>0</v>
      </c>
      <c r="AF11" s="269">
        <f xml:space="preserve">
IF($A$4&lt;=12,SUMIFS('ON Data'!AK:AK,'ON Data'!$D:$D,$A$4,'ON Data'!$E:$E,2),SUMIFS('ON Data'!AK:AK,'ON Data'!$E:$E,2))</f>
        <v>0</v>
      </c>
      <c r="AG11" s="269">
        <f xml:space="preserve">
IF($A$4&lt;=12,SUMIFS('ON Data'!AL:AL,'ON Data'!$D:$D,$A$4,'ON Data'!$E:$E,2),SUMIFS('ON Data'!AL:AL,'ON Data'!$E:$E,2))</f>
        <v>0</v>
      </c>
      <c r="AH11" s="601">
        <f xml:space="preserve">
IF($A$4&lt;=12,SUMIFS('ON Data'!AN:AN,'ON Data'!$D:$D,$A$4,'ON Data'!$E:$E,2),SUMIFS('ON Data'!AN:AN,'ON Data'!$E:$E,2))</f>
        <v>1012</v>
      </c>
      <c r="AI11" s="611"/>
    </row>
    <row r="12" spans="1:35" x14ac:dyDescent="0.3">
      <c r="A12" s="250" t="s">
        <v>197</v>
      </c>
      <c r="B12" s="267">
        <f xml:space="preserve">
IF($A$4&lt;=12,SUMIFS('ON Data'!F:F,'ON Data'!$D:$D,$A$4,'ON Data'!$E:$E,3),SUMIFS('ON Data'!F:F,'ON Data'!$E:$E,3))</f>
        <v>8</v>
      </c>
      <c r="C12" s="268">
        <f xml:space="preserve">
IF($A$4&lt;=12,SUMIFS('ON Data'!G:G,'ON Data'!$D:$D,$A$4,'ON Data'!$E:$E,3),SUMIFS('ON Data'!G:G,'ON Data'!$E:$E,3))</f>
        <v>0</v>
      </c>
      <c r="D12" s="269">
        <f xml:space="preserve">
IF($A$4&lt;=12,SUMIFS('ON Data'!H:H,'ON Data'!$D:$D,$A$4,'ON Data'!$E:$E,3),SUMIFS('ON Data'!H:H,'ON Data'!$E:$E,3))</f>
        <v>8</v>
      </c>
      <c r="E12" s="269">
        <f xml:space="preserve">
IF($A$4&lt;=12,SUMIFS('ON Data'!I:I,'ON Data'!$D:$D,$A$4,'ON Data'!$E:$E,3),SUMIFS('ON Data'!I:I,'ON Data'!$E:$E,3))</f>
        <v>0</v>
      </c>
      <c r="F12" s="269">
        <f xml:space="preserve">
IF($A$4&lt;=12,SUMIFS('ON Data'!K:K,'ON Data'!$D:$D,$A$4,'ON Data'!$E:$E,3),SUMIFS('ON Data'!K:K,'ON Data'!$E:$E,3))</f>
        <v>0</v>
      </c>
      <c r="G12" s="269">
        <f xml:space="preserve">
IF($A$4&lt;=12,SUMIFS('ON Data'!L:L,'ON Data'!$D:$D,$A$4,'ON Data'!$E:$E,3),SUMIFS('ON Data'!L:L,'ON Data'!$E:$E,3))</f>
        <v>0</v>
      </c>
      <c r="H12" s="269">
        <f xml:space="preserve">
IF($A$4&lt;=12,SUMIFS('ON Data'!M:M,'ON Data'!$D:$D,$A$4,'ON Data'!$E:$E,3),SUMIFS('ON Data'!M:M,'ON Data'!$E:$E,3))</f>
        <v>0</v>
      </c>
      <c r="I12" s="269">
        <f xml:space="preserve">
IF($A$4&lt;=12,SUMIFS('ON Data'!N:N,'ON Data'!$D:$D,$A$4,'ON Data'!$E:$E,3),SUMIFS('ON Data'!N:N,'ON Data'!$E:$E,3))</f>
        <v>0</v>
      </c>
      <c r="J12" s="269">
        <f xml:space="preserve">
IF($A$4&lt;=12,SUMIFS('ON Data'!O:O,'ON Data'!$D:$D,$A$4,'ON Data'!$E:$E,3),SUMIFS('ON Data'!O:O,'ON Data'!$E:$E,3))</f>
        <v>0</v>
      </c>
      <c r="K12" s="269">
        <f xml:space="preserve">
IF($A$4&lt;=12,SUMIFS('ON Data'!P:P,'ON Data'!$D:$D,$A$4,'ON Data'!$E:$E,3),SUMIFS('ON Data'!P:P,'ON Data'!$E:$E,3))</f>
        <v>0</v>
      </c>
      <c r="L12" s="269">
        <f xml:space="preserve">
IF($A$4&lt;=12,SUMIFS('ON Data'!Q:Q,'ON Data'!$D:$D,$A$4,'ON Data'!$E:$E,3),SUMIFS('ON Data'!Q:Q,'ON Data'!$E:$E,3))</f>
        <v>0</v>
      </c>
      <c r="M12" s="269">
        <f xml:space="preserve">
IF($A$4&lt;=12,SUMIFS('ON Data'!R:R,'ON Data'!$D:$D,$A$4,'ON Data'!$E:$E,3),SUMIFS('ON Data'!R:R,'ON Data'!$E:$E,3))</f>
        <v>0</v>
      </c>
      <c r="N12" s="269">
        <f xml:space="preserve">
IF($A$4&lt;=12,SUMIFS('ON Data'!S:S,'ON Data'!$D:$D,$A$4,'ON Data'!$E:$E,3),SUMIFS('ON Data'!S:S,'ON Data'!$E:$E,3))</f>
        <v>0</v>
      </c>
      <c r="O12" s="269">
        <f xml:space="preserve">
IF($A$4&lt;=12,SUMIFS('ON Data'!T:T,'ON Data'!$D:$D,$A$4,'ON Data'!$E:$E,3),SUMIFS('ON Data'!T:T,'ON Data'!$E:$E,3))</f>
        <v>0</v>
      </c>
      <c r="P12" s="269">
        <f xml:space="preserve">
IF($A$4&lt;=12,SUMIFS('ON Data'!U:U,'ON Data'!$D:$D,$A$4,'ON Data'!$E:$E,3),SUMIFS('ON Data'!U:U,'ON Data'!$E:$E,3))</f>
        <v>0</v>
      </c>
      <c r="Q12" s="269">
        <f xml:space="preserve">
IF($A$4&lt;=12,SUMIFS('ON Data'!V:V,'ON Data'!$D:$D,$A$4,'ON Data'!$E:$E,3),SUMIFS('ON Data'!V:V,'ON Data'!$E:$E,3))</f>
        <v>0</v>
      </c>
      <c r="R12" s="269">
        <f xml:space="preserve">
IF($A$4&lt;=12,SUMIFS('ON Data'!W:W,'ON Data'!$D:$D,$A$4,'ON Data'!$E:$E,3),SUMIFS('ON Data'!W:W,'ON Data'!$E:$E,3))</f>
        <v>0</v>
      </c>
      <c r="S12" s="269">
        <f xml:space="preserve">
IF($A$4&lt;=12,SUMIFS('ON Data'!X:X,'ON Data'!$D:$D,$A$4,'ON Data'!$E:$E,3),SUMIFS('ON Data'!X:X,'ON Data'!$E:$E,3))</f>
        <v>0</v>
      </c>
      <c r="T12" s="269">
        <f xml:space="preserve">
IF($A$4&lt;=12,SUMIFS('ON Data'!Y:Y,'ON Data'!$D:$D,$A$4,'ON Data'!$E:$E,3),SUMIFS('ON Data'!Y:Y,'ON Data'!$E:$E,3))</f>
        <v>0</v>
      </c>
      <c r="U12" s="269">
        <f xml:space="preserve">
IF($A$4&lt;=12,SUMIFS('ON Data'!Z:Z,'ON Data'!$D:$D,$A$4,'ON Data'!$E:$E,3),SUMIFS('ON Data'!Z:Z,'ON Data'!$E:$E,3))</f>
        <v>0</v>
      </c>
      <c r="V12" s="269">
        <f xml:space="preserve">
IF($A$4&lt;=12,SUMIFS('ON Data'!AA:AA,'ON Data'!$D:$D,$A$4,'ON Data'!$E:$E,3),SUMIFS('ON Data'!AA:AA,'ON Data'!$E:$E,3))</f>
        <v>0</v>
      </c>
      <c r="W12" s="269">
        <f xml:space="preserve">
IF($A$4&lt;=12,SUMIFS('ON Data'!AB:AB,'ON Data'!$D:$D,$A$4,'ON Data'!$E:$E,3),SUMIFS('ON Data'!AB:AB,'ON Data'!$E:$E,3))</f>
        <v>0</v>
      </c>
      <c r="X12" s="269">
        <f xml:space="preserve">
IF($A$4&lt;=12,SUMIFS('ON Data'!AC:AC,'ON Data'!$D:$D,$A$4,'ON Data'!$E:$E,3),SUMIFS('ON Data'!AC:AC,'ON Data'!$E:$E,3))</f>
        <v>0</v>
      </c>
      <c r="Y12" s="269">
        <f xml:space="preserve">
IF($A$4&lt;=12,SUMIFS('ON Data'!AD:AD,'ON Data'!$D:$D,$A$4,'ON Data'!$E:$E,3),SUMIFS('ON Data'!AD:AD,'ON Data'!$E:$E,3))</f>
        <v>0</v>
      </c>
      <c r="Z12" s="269">
        <f xml:space="preserve">
IF($A$4&lt;=12,SUMIFS('ON Data'!AE:AE,'ON Data'!$D:$D,$A$4,'ON Data'!$E:$E,3),SUMIFS('ON Data'!AE:AE,'ON Data'!$E:$E,3))</f>
        <v>0</v>
      </c>
      <c r="AA12" s="269">
        <f xml:space="preserve">
IF($A$4&lt;=12,SUMIFS('ON Data'!AF:AF,'ON Data'!$D:$D,$A$4,'ON Data'!$E:$E,3),SUMIFS('ON Data'!AF:AF,'ON Data'!$E:$E,3))</f>
        <v>0</v>
      </c>
      <c r="AB12" s="269">
        <f xml:space="preserve">
IF($A$4&lt;=12,SUMIFS('ON Data'!AG:AG,'ON Data'!$D:$D,$A$4,'ON Data'!$E:$E,3),SUMIFS('ON Data'!AG:AG,'ON Data'!$E:$E,3))</f>
        <v>0</v>
      </c>
      <c r="AC12" s="269">
        <f xml:space="preserve">
IF($A$4&lt;=12,SUMIFS('ON Data'!AH:AH,'ON Data'!$D:$D,$A$4,'ON Data'!$E:$E,3),SUMIFS('ON Data'!AH:AH,'ON Data'!$E:$E,3))</f>
        <v>0</v>
      </c>
      <c r="AD12" s="269">
        <f xml:space="preserve">
IF($A$4&lt;=12,SUMIFS('ON Data'!AI:AI,'ON Data'!$D:$D,$A$4,'ON Data'!$E:$E,3),SUMIFS('ON Data'!AI:AI,'ON Data'!$E:$E,3))</f>
        <v>0</v>
      </c>
      <c r="AE12" s="269">
        <f xml:space="preserve">
IF($A$4&lt;=12,SUMIFS('ON Data'!AJ:AJ,'ON Data'!$D:$D,$A$4,'ON Data'!$E:$E,3),SUMIFS('ON Data'!AJ:AJ,'ON Data'!$E:$E,3))</f>
        <v>0</v>
      </c>
      <c r="AF12" s="269">
        <f xml:space="preserve">
IF($A$4&lt;=12,SUMIFS('ON Data'!AK:AK,'ON Data'!$D:$D,$A$4,'ON Data'!$E:$E,3),SUMIFS('ON Data'!AK:AK,'ON Data'!$E:$E,3))</f>
        <v>0</v>
      </c>
      <c r="AG12" s="269">
        <f xml:space="preserve">
IF($A$4&lt;=12,SUMIFS('ON Data'!AL:AL,'ON Data'!$D:$D,$A$4,'ON Data'!$E:$E,3),SUMIFS('ON Data'!AL:AL,'ON Data'!$E:$E,3))</f>
        <v>0</v>
      </c>
      <c r="AH12" s="601">
        <f xml:space="preserve">
IF($A$4&lt;=12,SUMIFS('ON Data'!AN:AN,'ON Data'!$D:$D,$A$4,'ON Data'!$E:$E,3),SUMIFS('ON Data'!AN:AN,'ON Data'!$E:$E,3))</f>
        <v>0</v>
      </c>
      <c r="AI12" s="611"/>
    </row>
    <row r="13" spans="1:35" x14ac:dyDescent="0.3">
      <c r="A13" s="250" t="s">
        <v>204</v>
      </c>
      <c r="B13" s="267">
        <f xml:space="preserve">
IF($A$4&lt;=12,SUMIFS('ON Data'!F:F,'ON Data'!$D:$D,$A$4,'ON Data'!$E:$E,4),SUMIFS('ON Data'!F:F,'ON Data'!$E:$E,4))</f>
        <v>324.5</v>
      </c>
      <c r="C13" s="268">
        <f xml:space="preserve">
IF($A$4&lt;=12,SUMIFS('ON Data'!G:G,'ON Data'!$D:$D,$A$4,'ON Data'!$E:$E,4),SUMIFS('ON Data'!G:G,'ON Data'!$E:$E,4))</f>
        <v>0</v>
      </c>
      <c r="D13" s="269">
        <f xml:space="preserve">
IF($A$4&lt;=12,SUMIFS('ON Data'!H:H,'ON Data'!$D:$D,$A$4,'ON Data'!$E:$E,4),SUMIFS('ON Data'!H:H,'ON Data'!$E:$E,4))</f>
        <v>324.5</v>
      </c>
      <c r="E13" s="269">
        <f xml:space="preserve">
IF($A$4&lt;=12,SUMIFS('ON Data'!I:I,'ON Data'!$D:$D,$A$4,'ON Data'!$E:$E,4),SUMIFS('ON Data'!I:I,'ON Data'!$E:$E,4))</f>
        <v>0</v>
      </c>
      <c r="F13" s="269">
        <f xml:space="preserve">
IF($A$4&lt;=12,SUMIFS('ON Data'!K:K,'ON Data'!$D:$D,$A$4,'ON Data'!$E:$E,4),SUMIFS('ON Data'!K:K,'ON Data'!$E:$E,4))</f>
        <v>0</v>
      </c>
      <c r="G13" s="269">
        <f xml:space="preserve">
IF($A$4&lt;=12,SUMIFS('ON Data'!L:L,'ON Data'!$D:$D,$A$4,'ON Data'!$E:$E,4),SUMIFS('ON Data'!L:L,'ON Data'!$E:$E,4))</f>
        <v>0</v>
      </c>
      <c r="H13" s="269">
        <f xml:space="preserve">
IF($A$4&lt;=12,SUMIFS('ON Data'!M:M,'ON Data'!$D:$D,$A$4,'ON Data'!$E:$E,4),SUMIFS('ON Data'!M:M,'ON Data'!$E:$E,4))</f>
        <v>0</v>
      </c>
      <c r="I13" s="269">
        <f xml:space="preserve">
IF($A$4&lt;=12,SUMIFS('ON Data'!N:N,'ON Data'!$D:$D,$A$4,'ON Data'!$E:$E,4),SUMIFS('ON Data'!N:N,'ON Data'!$E:$E,4))</f>
        <v>0</v>
      </c>
      <c r="J13" s="269">
        <f xml:space="preserve">
IF($A$4&lt;=12,SUMIFS('ON Data'!O:O,'ON Data'!$D:$D,$A$4,'ON Data'!$E:$E,4),SUMIFS('ON Data'!O:O,'ON Data'!$E:$E,4))</f>
        <v>0</v>
      </c>
      <c r="K13" s="269">
        <f xml:space="preserve">
IF($A$4&lt;=12,SUMIFS('ON Data'!P:P,'ON Data'!$D:$D,$A$4,'ON Data'!$E:$E,4),SUMIFS('ON Data'!P:P,'ON Data'!$E:$E,4))</f>
        <v>0</v>
      </c>
      <c r="L13" s="269">
        <f xml:space="preserve">
IF($A$4&lt;=12,SUMIFS('ON Data'!Q:Q,'ON Data'!$D:$D,$A$4,'ON Data'!$E:$E,4),SUMIFS('ON Data'!Q:Q,'ON Data'!$E:$E,4))</f>
        <v>0</v>
      </c>
      <c r="M13" s="269">
        <f xml:space="preserve">
IF($A$4&lt;=12,SUMIFS('ON Data'!R:R,'ON Data'!$D:$D,$A$4,'ON Data'!$E:$E,4),SUMIFS('ON Data'!R:R,'ON Data'!$E:$E,4))</f>
        <v>0</v>
      </c>
      <c r="N13" s="269">
        <f xml:space="preserve">
IF($A$4&lt;=12,SUMIFS('ON Data'!S:S,'ON Data'!$D:$D,$A$4,'ON Data'!$E:$E,4),SUMIFS('ON Data'!S:S,'ON Data'!$E:$E,4))</f>
        <v>0</v>
      </c>
      <c r="O13" s="269">
        <f xml:space="preserve">
IF($A$4&lt;=12,SUMIFS('ON Data'!T:T,'ON Data'!$D:$D,$A$4,'ON Data'!$E:$E,4),SUMIFS('ON Data'!T:T,'ON Data'!$E:$E,4))</f>
        <v>0</v>
      </c>
      <c r="P13" s="269">
        <f xml:space="preserve">
IF($A$4&lt;=12,SUMIFS('ON Data'!U:U,'ON Data'!$D:$D,$A$4,'ON Data'!$E:$E,4),SUMIFS('ON Data'!U:U,'ON Data'!$E:$E,4))</f>
        <v>0</v>
      </c>
      <c r="Q13" s="269">
        <f xml:space="preserve">
IF($A$4&lt;=12,SUMIFS('ON Data'!V:V,'ON Data'!$D:$D,$A$4,'ON Data'!$E:$E,4),SUMIFS('ON Data'!V:V,'ON Data'!$E:$E,4))</f>
        <v>0</v>
      </c>
      <c r="R13" s="269">
        <f xml:space="preserve">
IF($A$4&lt;=12,SUMIFS('ON Data'!W:W,'ON Data'!$D:$D,$A$4,'ON Data'!$E:$E,4),SUMIFS('ON Data'!W:W,'ON Data'!$E:$E,4))</f>
        <v>0</v>
      </c>
      <c r="S13" s="269">
        <f xml:space="preserve">
IF($A$4&lt;=12,SUMIFS('ON Data'!X:X,'ON Data'!$D:$D,$A$4,'ON Data'!$E:$E,4),SUMIFS('ON Data'!X:X,'ON Data'!$E:$E,4))</f>
        <v>0</v>
      </c>
      <c r="T13" s="269">
        <f xml:space="preserve">
IF($A$4&lt;=12,SUMIFS('ON Data'!Y:Y,'ON Data'!$D:$D,$A$4,'ON Data'!$E:$E,4),SUMIFS('ON Data'!Y:Y,'ON Data'!$E:$E,4))</f>
        <v>0</v>
      </c>
      <c r="U13" s="269">
        <f xml:space="preserve">
IF($A$4&lt;=12,SUMIFS('ON Data'!Z:Z,'ON Data'!$D:$D,$A$4,'ON Data'!$E:$E,4),SUMIFS('ON Data'!Z:Z,'ON Data'!$E:$E,4))</f>
        <v>0</v>
      </c>
      <c r="V13" s="269">
        <f xml:space="preserve">
IF($A$4&lt;=12,SUMIFS('ON Data'!AA:AA,'ON Data'!$D:$D,$A$4,'ON Data'!$E:$E,4),SUMIFS('ON Data'!AA:AA,'ON Data'!$E:$E,4))</f>
        <v>0</v>
      </c>
      <c r="W13" s="269">
        <f xml:space="preserve">
IF($A$4&lt;=12,SUMIFS('ON Data'!AB:AB,'ON Data'!$D:$D,$A$4,'ON Data'!$E:$E,4),SUMIFS('ON Data'!AB:AB,'ON Data'!$E:$E,4))</f>
        <v>0</v>
      </c>
      <c r="X13" s="269">
        <f xml:space="preserve">
IF($A$4&lt;=12,SUMIFS('ON Data'!AC:AC,'ON Data'!$D:$D,$A$4,'ON Data'!$E:$E,4),SUMIFS('ON Data'!AC:AC,'ON Data'!$E:$E,4))</f>
        <v>0</v>
      </c>
      <c r="Y13" s="269">
        <f xml:space="preserve">
IF($A$4&lt;=12,SUMIFS('ON Data'!AD:AD,'ON Data'!$D:$D,$A$4,'ON Data'!$E:$E,4),SUMIFS('ON Data'!AD:AD,'ON Data'!$E:$E,4))</f>
        <v>0</v>
      </c>
      <c r="Z13" s="269">
        <f xml:space="preserve">
IF($A$4&lt;=12,SUMIFS('ON Data'!AE:AE,'ON Data'!$D:$D,$A$4,'ON Data'!$E:$E,4),SUMIFS('ON Data'!AE:AE,'ON Data'!$E:$E,4))</f>
        <v>0</v>
      </c>
      <c r="AA13" s="269">
        <f xml:space="preserve">
IF($A$4&lt;=12,SUMIFS('ON Data'!AF:AF,'ON Data'!$D:$D,$A$4,'ON Data'!$E:$E,4),SUMIFS('ON Data'!AF:AF,'ON Data'!$E:$E,4))</f>
        <v>0</v>
      </c>
      <c r="AB13" s="269">
        <f xml:space="preserve">
IF($A$4&lt;=12,SUMIFS('ON Data'!AG:AG,'ON Data'!$D:$D,$A$4,'ON Data'!$E:$E,4),SUMIFS('ON Data'!AG:AG,'ON Data'!$E:$E,4))</f>
        <v>0</v>
      </c>
      <c r="AC13" s="269">
        <f xml:space="preserve">
IF($A$4&lt;=12,SUMIFS('ON Data'!AH:AH,'ON Data'!$D:$D,$A$4,'ON Data'!$E:$E,4),SUMIFS('ON Data'!AH:AH,'ON Data'!$E:$E,4))</f>
        <v>0</v>
      </c>
      <c r="AD13" s="269">
        <f xml:space="preserve">
IF($A$4&lt;=12,SUMIFS('ON Data'!AI:AI,'ON Data'!$D:$D,$A$4,'ON Data'!$E:$E,4),SUMIFS('ON Data'!AI:AI,'ON Data'!$E:$E,4))</f>
        <v>0</v>
      </c>
      <c r="AE13" s="269">
        <f xml:space="preserve">
IF($A$4&lt;=12,SUMIFS('ON Data'!AJ:AJ,'ON Data'!$D:$D,$A$4,'ON Data'!$E:$E,4),SUMIFS('ON Data'!AJ:AJ,'ON Data'!$E:$E,4))</f>
        <v>0</v>
      </c>
      <c r="AF13" s="269">
        <f xml:space="preserve">
IF($A$4&lt;=12,SUMIFS('ON Data'!AK:AK,'ON Data'!$D:$D,$A$4,'ON Data'!$E:$E,4),SUMIFS('ON Data'!AK:AK,'ON Data'!$E:$E,4))</f>
        <v>0</v>
      </c>
      <c r="AG13" s="269">
        <f xml:space="preserve">
IF($A$4&lt;=12,SUMIFS('ON Data'!AL:AL,'ON Data'!$D:$D,$A$4,'ON Data'!$E:$E,4),SUMIFS('ON Data'!AL:AL,'ON Data'!$E:$E,4))</f>
        <v>0</v>
      </c>
      <c r="AH13" s="601">
        <f xml:space="preserve">
IF($A$4&lt;=12,SUMIFS('ON Data'!AN:AN,'ON Data'!$D:$D,$A$4,'ON Data'!$E:$E,4),SUMIFS('ON Data'!AN:AN,'ON Data'!$E:$E,4))</f>
        <v>0</v>
      </c>
      <c r="AI13" s="611"/>
    </row>
    <row r="14" spans="1:35" ht="15" thickBot="1" x14ac:dyDescent="0.35">
      <c r="A14" s="251" t="s">
        <v>198</v>
      </c>
      <c r="B14" s="270">
        <f xml:space="preserve">
IF($A$4&lt;=12,SUMIFS('ON Data'!F:F,'ON Data'!$D:$D,$A$4,'ON Data'!$E:$E,5),SUMIFS('ON Data'!F:F,'ON Data'!$E:$E,5))</f>
        <v>0</v>
      </c>
      <c r="C14" s="271">
        <f xml:space="preserve">
IF($A$4&lt;=12,SUMIFS('ON Data'!G:G,'ON Data'!$D:$D,$A$4,'ON Data'!$E:$E,5),SUMIFS('ON Data'!G:G,'ON Data'!$E:$E,5))</f>
        <v>0</v>
      </c>
      <c r="D14" s="272">
        <f xml:space="preserve">
IF($A$4&lt;=12,SUMIFS('ON Data'!H:H,'ON Data'!$D:$D,$A$4,'ON Data'!$E:$E,5),SUMIFS('ON Data'!H:H,'ON Data'!$E:$E,5))</f>
        <v>0</v>
      </c>
      <c r="E14" s="272">
        <f xml:space="preserve">
IF($A$4&lt;=12,SUMIFS('ON Data'!I:I,'ON Data'!$D:$D,$A$4,'ON Data'!$E:$E,5),SUMIFS('ON Data'!I:I,'ON Data'!$E:$E,5))</f>
        <v>0</v>
      </c>
      <c r="F14" s="272">
        <f xml:space="preserve">
IF($A$4&lt;=12,SUMIFS('ON Data'!K:K,'ON Data'!$D:$D,$A$4,'ON Data'!$E:$E,5),SUMIFS('ON Data'!K:K,'ON Data'!$E:$E,5))</f>
        <v>0</v>
      </c>
      <c r="G14" s="272">
        <f xml:space="preserve">
IF($A$4&lt;=12,SUMIFS('ON Data'!L:L,'ON Data'!$D:$D,$A$4,'ON Data'!$E:$E,5),SUMIFS('ON Data'!L:L,'ON Data'!$E:$E,5))</f>
        <v>0</v>
      </c>
      <c r="H14" s="272">
        <f xml:space="preserve">
IF($A$4&lt;=12,SUMIFS('ON Data'!M:M,'ON Data'!$D:$D,$A$4,'ON Data'!$E:$E,5),SUMIFS('ON Data'!M:M,'ON Data'!$E:$E,5))</f>
        <v>0</v>
      </c>
      <c r="I14" s="272">
        <f xml:space="preserve">
IF($A$4&lt;=12,SUMIFS('ON Data'!N:N,'ON Data'!$D:$D,$A$4,'ON Data'!$E:$E,5),SUMIFS('ON Data'!N:N,'ON Data'!$E:$E,5))</f>
        <v>0</v>
      </c>
      <c r="J14" s="272">
        <f xml:space="preserve">
IF($A$4&lt;=12,SUMIFS('ON Data'!O:O,'ON Data'!$D:$D,$A$4,'ON Data'!$E:$E,5),SUMIFS('ON Data'!O:O,'ON Data'!$E:$E,5))</f>
        <v>0</v>
      </c>
      <c r="K14" s="272">
        <f xml:space="preserve">
IF($A$4&lt;=12,SUMIFS('ON Data'!P:P,'ON Data'!$D:$D,$A$4,'ON Data'!$E:$E,5),SUMIFS('ON Data'!P:P,'ON Data'!$E:$E,5))</f>
        <v>0</v>
      </c>
      <c r="L14" s="272">
        <f xml:space="preserve">
IF($A$4&lt;=12,SUMIFS('ON Data'!Q:Q,'ON Data'!$D:$D,$A$4,'ON Data'!$E:$E,5),SUMIFS('ON Data'!Q:Q,'ON Data'!$E:$E,5))</f>
        <v>0</v>
      </c>
      <c r="M14" s="272">
        <f xml:space="preserve">
IF($A$4&lt;=12,SUMIFS('ON Data'!R:R,'ON Data'!$D:$D,$A$4,'ON Data'!$E:$E,5),SUMIFS('ON Data'!R:R,'ON Data'!$E:$E,5))</f>
        <v>0</v>
      </c>
      <c r="N14" s="272">
        <f xml:space="preserve">
IF($A$4&lt;=12,SUMIFS('ON Data'!S:S,'ON Data'!$D:$D,$A$4,'ON Data'!$E:$E,5),SUMIFS('ON Data'!S:S,'ON Data'!$E:$E,5))</f>
        <v>0</v>
      </c>
      <c r="O14" s="272">
        <f xml:space="preserve">
IF($A$4&lt;=12,SUMIFS('ON Data'!T:T,'ON Data'!$D:$D,$A$4,'ON Data'!$E:$E,5),SUMIFS('ON Data'!T:T,'ON Data'!$E:$E,5))</f>
        <v>0</v>
      </c>
      <c r="P14" s="272">
        <f xml:space="preserve">
IF($A$4&lt;=12,SUMIFS('ON Data'!U:U,'ON Data'!$D:$D,$A$4,'ON Data'!$E:$E,5),SUMIFS('ON Data'!U:U,'ON Data'!$E:$E,5))</f>
        <v>0</v>
      </c>
      <c r="Q14" s="272">
        <f xml:space="preserve">
IF($A$4&lt;=12,SUMIFS('ON Data'!V:V,'ON Data'!$D:$D,$A$4,'ON Data'!$E:$E,5),SUMIFS('ON Data'!V:V,'ON Data'!$E:$E,5))</f>
        <v>0</v>
      </c>
      <c r="R14" s="272">
        <f xml:space="preserve">
IF($A$4&lt;=12,SUMIFS('ON Data'!W:W,'ON Data'!$D:$D,$A$4,'ON Data'!$E:$E,5),SUMIFS('ON Data'!W:W,'ON Data'!$E:$E,5))</f>
        <v>0</v>
      </c>
      <c r="S14" s="272">
        <f xml:space="preserve">
IF($A$4&lt;=12,SUMIFS('ON Data'!X:X,'ON Data'!$D:$D,$A$4,'ON Data'!$E:$E,5),SUMIFS('ON Data'!X:X,'ON Data'!$E:$E,5))</f>
        <v>0</v>
      </c>
      <c r="T14" s="272">
        <f xml:space="preserve">
IF($A$4&lt;=12,SUMIFS('ON Data'!Y:Y,'ON Data'!$D:$D,$A$4,'ON Data'!$E:$E,5),SUMIFS('ON Data'!Y:Y,'ON Data'!$E:$E,5))</f>
        <v>0</v>
      </c>
      <c r="U14" s="272">
        <f xml:space="preserve">
IF($A$4&lt;=12,SUMIFS('ON Data'!Z:Z,'ON Data'!$D:$D,$A$4,'ON Data'!$E:$E,5),SUMIFS('ON Data'!Z:Z,'ON Data'!$E:$E,5))</f>
        <v>0</v>
      </c>
      <c r="V14" s="272">
        <f xml:space="preserve">
IF($A$4&lt;=12,SUMIFS('ON Data'!AA:AA,'ON Data'!$D:$D,$A$4,'ON Data'!$E:$E,5),SUMIFS('ON Data'!AA:AA,'ON Data'!$E:$E,5))</f>
        <v>0</v>
      </c>
      <c r="W14" s="272">
        <f xml:space="preserve">
IF($A$4&lt;=12,SUMIFS('ON Data'!AB:AB,'ON Data'!$D:$D,$A$4,'ON Data'!$E:$E,5),SUMIFS('ON Data'!AB:AB,'ON Data'!$E:$E,5))</f>
        <v>0</v>
      </c>
      <c r="X14" s="272">
        <f xml:space="preserve">
IF($A$4&lt;=12,SUMIFS('ON Data'!AC:AC,'ON Data'!$D:$D,$A$4,'ON Data'!$E:$E,5),SUMIFS('ON Data'!AC:AC,'ON Data'!$E:$E,5))</f>
        <v>0</v>
      </c>
      <c r="Y14" s="272">
        <f xml:space="preserve">
IF($A$4&lt;=12,SUMIFS('ON Data'!AD:AD,'ON Data'!$D:$D,$A$4,'ON Data'!$E:$E,5),SUMIFS('ON Data'!AD:AD,'ON Data'!$E:$E,5))</f>
        <v>0</v>
      </c>
      <c r="Z14" s="272">
        <f xml:space="preserve">
IF($A$4&lt;=12,SUMIFS('ON Data'!AE:AE,'ON Data'!$D:$D,$A$4,'ON Data'!$E:$E,5),SUMIFS('ON Data'!AE:AE,'ON Data'!$E:$E,5))</f>
        <v>0</v>
      </c>
      <c r="AA14" s="272">
        <f xml:space="preserve">
IF($A$4&lt;=12,SUMIFS('ON Data'!AF:AF,'ON Data'!$D:$D,$A$4,'ON Data'!$E:$E,5),SUMIFS('ON Data'!AF:AF,'ON Data'!$E:$E,5))</f>
        <v>0</v>
      </c>
      <c r="AB14" s="272">
        <f xml:space="preserve">
IF($A$4&lt;=12,SUMIFS('ON Data'!AG:AG,'ON Data'!$D:$D,$A$4,'ON Data'!$E:$E,5),SUMIFS('ON Data'!AG:AG,'ON Data'!$E:$E,5))</f>
        <v>0</v>
      </c>
      <c r="AC14" s="272">
        <f xml:space="preserve">
IF($A$4&lt;=12,SUMIFS('ON Data'!AH:AH,'ON Data'!$D:$D,$A$4,'ON Data'!$E:$E,5),SUMIFS('ON Data'!AH:AH,'ON Data'!$E:$E,5))</f>
        <v>0</v>
      </c>
      <c r="AD14" s="272">
        <f xml:space="preserve">
IF($A$4&lt;=12,SUMIFS('ON Data'!AI:AI,'ON Data'!$D:$D,$A$4,'ON Data'!$E:$E,5),SUMIFS('ON Data'!AI:AI,'ON Data'!$E:$E,5))</f>
        <v>0</v>
      </c>
      <c r="AE14" s="272">
        <f xml:space="preserve">
IF($A$4&lt;=12,SUMIFS('ON Data'!AJ:AJ,'ON Data'!$D:$D,$A$4,'ON Data'!$E:$E,5),SUMIFS('ON Data'!AJ:AJ,'ON Data'!$E:$E,5))</f>
        <v>0</v>
      </c>
      <c r="AF14" s="272">
        <f xml:space="preserve">
IF($A$4&lt;=12,SUMIFS('ON Data'!AK:AK,'ON Data'!$D:$D,$A$4,'ON Data'!$E:$E,5),SUMIFS('ON Data'!AK:AK,'ON Data'!$E:$E,5))</f>
        <v>0</v>
      </c>
      <c r="AG14" s="272">
        <f xml:space="preserve">
IF($A$4&lt;=12,SUMIFS('ON Data'!AL:AL,'ON Data'!$D:$D,$A$4,'ON Data'!$E:$E,5),SUMIFS('ON Data'!AL:AL,'ON Data'!$E:$E,5))</f>
        <v>0</v>
      </c>
      <c r="AH14" s="602">
        <f xml:space="preserve">
IF($A$4&lt;=12,SUMIFS('ON Data'!AN:AN,'ON Data'!$D:$D,$A$4,'ON Data'!$E:$E,5),SUMIFS('ON Data'!AN:AN,'ON Data'!$E:$E,5))</f>
        <v>0</v>
      </c>
      <c r="AI14" s="611"/>
    </row>
    <row r="15" spans="1:35" x14ac:dyDescent="0.3">
      <c r="A15" s="166" t="s">
        <v>208</v>
      </c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603"/>
      <c r="AI15" s="611"/>
    </row>
    <row r="16" spans="1:35" x14ac:dyDescent="0.3">
      <c r="A16" s="252" t="s">
        <v>199</v>
      </c>
      <c r="B16" s="267">
        <f xml:space="preserve">
IF($A$4&lt;=12,SUMIFS('ON Data'!F:F,'ON Data'!$D:$D,$A$4,'ON Data'!$E:$E,7),SUMIFS('ON Data'!F:F,'ON Data'!$E:$E,7))</f>
        <v>0</v>
      </c>
      <c r="C16" s="268">
        <f xml:space="preserve">
IF($A$4&lt;=12,SUMIFS('ON Data'!G:G,'ON Data'!$D:$D,$A$4,'ON Data'!$E:$E,7),SUMIFS('ON Data'!G:G,'ON Data'!$E:$E,7))</f>
        <v>0</v>
      </c>
      <c r="D16" s="269">
        <f xml:space="preserve">
IF($A$4&lt;=12,SUMIFS('ON Data'!H:H,'ON Data'!$D:$D,$A$4,'ON Data'!$E:$E,7),SUMIFS('ON Data'!H:H,'ON Data'!$E:$E,7))</f>
        <v>0</v>
      </c>
      <c r="E16" s="269">
        <f xml:space="preserve">
IF($A$4&lt;=12,SUMIFS('ON Data'!I:I,'ON Data'!$D:$D,$A$4,'ON Data'!$E:$E,7),SUMIFS('ON Data'!I:I,'ON Data'!$E:$E,7))</f>
        <v>0</v>
      </c>
      <c r="F16" s="269">
        <f xml:space="preserve">
IF($A$4&lt;=12,SUMIFS('ON Data'!K:K,'ON Data'!$D:$D,$A$4,'ON Data'!$E:$E,7),SUMIFS('ON Data'!K:K,'ON Data'!$E:$E,7))</f>
        <v>0</v>
      </c>
      <c r="G16" s="269">
        <f xml:space="preserve">
IF($A$4&lt;=12,SUMIFS('ON Data'!L:L,'ON Data'!$D:$D,$A$4,'ON Data'!$E:$E,7),SUMIFS('ON Data'!L:L,'ON Data'!$E:$E,7))</f>
        <v>0</v>
      </c>
      <c r="H16" s="269">
        <f xml:space="preserve">
IF($A$4&lt;=12,SUMIFS('ON Data'!M:M,'ON Data'!$D:$D,$A$4,'ON Data'!$E:$E,7),SUMIFS('ON Data'!M:M,'ON Data'!$E:$E,7))</f>
        <v>0</v>
      </c>
      <c r="I16" s="269">
        <f xml:space="preserve">
IF($A$4&lt;=12,SUMIFS('ON Data'!N:N,'ON Data'!$D:$D,$A$4,'ON Data'!$E:$E,7),SUMIFS('ON Data'!N:N,'ON Data'!$E:$E,7))</f>
        <v>0</v>
      </c>
      <c r="J16" s="269">
        <f xml:space="preserve">
IF($A$4&lt;=12,SUMIFS('ON Data'!O:O,'ON Data'!$D:$D,$A$4,'ON Data'!$E:$E,7),SUMIFS('ON Data'!O:O,'ON Data'!$E:$E,7))</f>
        <v>0</v>
      </c>
      <c r="K16" s="269">
        <f xml:space="preserve">
IF($A$4&lt;=12,SUMIFS('ON Data'!P:P,'ON Data'!$D:$D,$A$4,'ON Data'!$E:$E,7),SUMIFS('ON Data'!P:P,'ON Data'!$E:$E,7))</f>
        <v>0</v>
      </c>
      <c r="L16" s="269">
        <f xml:space="preserve">
IF($A$4&lt;=12,SUMIFS('ON Data'!Q:Q,'ON Data'!$D:$D,$A$4,'ON Data'!$E:$E,7),SUMIFS('ON Data'!Q:Q,'ON Data'!$E:$E,7))</f>
        <v>0</v>
      </c>
      <c r="M16" s="269">
        <f xml:space="preserve">
IF($A$4&lt;=12,SUMIFS('ON Data'!R:R,'ON Data'!$D:$D,$A$4,'ON Data'!$E:$E,7),SUMIFS('ON Data'!R:R,'ON Data'!$E:$E,7))</f>
        <v>0</v>
      </c>
      <c r="N16" s="269">
        <f xml:space="preserve">
IF($A$4&lt;=12,SUMIFS('ON Data'!S:S,'ON Data'!$D:$D,$A$4,'ON Data'!$E:$E,7),SUMIFS('ON Data'!S:S,'ON Data'!$E:$E,7))</f>
        <v>0</v>
      </c>
      <c r="O16" s="269">
        <f xml:space="preserve">
IF($A$4&lt;=12,SUMIFS('ON Data'!T:T,'ON Data'!$D:$D,$A$4,'ON Data'!$E:$E,7),SUMIFS('ON Data'!T:T,'ON Data'!$E:$E,7))</f>
        <v>0</v>
      </c>
      <c r="P16" s="269">
        <f xml:space="preserve">
IF($A$4&lt;=12,SUMIFS('ON Data'!U:U,'ON Data'!$D:$D,$A$4,'ON Data'!$E:$E,7),SUMIFS('ON Data'!U:U,'ON Data'!$E:$E,7))</f>
        <v>0</v>
      </c>
      <c r="Q16" s="269">
        <f xml:space="preserve">
IF($A$4&lt;=12,SUMIFS('ON Data'!V:V,'ON Data'!$D:$D,$A$4,'ON Data'!$E:$E,7),SUMIFS('ON Data'!V:V,'ON Data'!$E:$E,7))</f>
        <v>0</v>
      </c>
      <c r="R16" s="269">
        <f xml:space="preserve">
IF($A$4&lt;=12,SUMIFS('ON Data'!W:W,'ON Data'!$D:$D,$A$4,'ON Data'!$E:$E,7),SUMIFS('ON Data'!W:W,'ON Data'!$E:$E,7))</f>
        <v>0</v>
      </c>
      <c r="S16" s="269">
        <f xml:space="preserve">
IF($A$4&lt;=12,SUMIFS('ON Data'!X:X,'ON Data'!$D:$D,$A$4,'ON Data'!$E:$E,7),SUMIFS('ON Data'!X:X,'ON Data'!$E:$E,7))</f>
        <v>0</v>
      </c>
      <c r="T16" s="269">
        <f xml:space="preserve">
IF($A$4&lt;=12,SUMIFS('ON Data'!Y:Y,'ON Data'!$D:$D,$A$4,'ON Data'!$E:$E,7),SUMIFS('ON Data'!Y:Y,'ON Data'!$E:$E,7))</f>
        <v>0</v>
      </c>
      <c r="U16" s="269">
        <f xml:space="preserve">
IF($A$4&lt;=12,SUMIFS('ON Data'!Z:Z,'ON Data'!$D:$D,$A$4,'ON Data'!$E:$E,7),SUMIFS('ON Data'!Z:Z,'ON Data'!$E:$E,7))</f>
        <v>0</v>
      </c>
      <c r="V16" s="269">
        <f xml:space="preserve">
IF($A$4&lt;=12,SUMIFS('ON Data'!AA:AA,'ON Data'!$D:$D,$A$4,'ON Data'!$E:$E,7),SUMIFS('ON Data'!AA:AA,'ON Data'!$E:$E,7))</f>
        <v>0</v>
      </c>
      <c r="W16" s="269">
        <f xml:space="preserve">
IF($A$4&lt;=12,SUMIFS('ON Data'!AB:AB,'ON Data'!$D:$D,$A$4,'ON Data'!$E:$E,7),SUMIFS('ON Data'!AB:AB,'ON Data'!$E:$E,7))</f>
        <v>0</v>
      </c>
      <c r="X16" s="269">
        <f xml:space="preserve">
IF($A$4&lt;=12,SUMIFS('ON Data'!AC:AC,'ON Data'!$D:$D,$A$4,'ON Data'!$E:$E,7),SUMIFS('ON Data'!AC:AC,'ON Data'!$E:$E,7))</f>
        <v>0</v>
      </c>
      <c r="Y16" s="269">
        <f xml:space="preserve">
IF($A$4&lt;=12,SUMIFS('ON Data'!AD:AD,'ON Data'!$D:$D,$A$4,'ON Data'!$E:$E,7),SUMIFS('ON Data'!AD:AD,'ON Data'!$E:$E,7))</f>
        <v>0</v>
      </c>
      <c r="Z16" s="269">
        <f xml:space="preserve">
IF($A$4&lt;=12,SUMIFS('ON Data'!AE:AE,'ON Data'!$D:$D,$A$4,'ON Data'!$E:$E,7),SUMIFS('ON Data'!AE:AE,'ON Data'!$E:$E,7))</f>
        <v>0</v>
      </c>
      <c r="AA16" s="269">
        <f xml:space="preserve">
IF($A$4&lt;=12,SUMIFS('ON Data'!AF:AF,'ON Data'!$D:$D,$A$4,'ON Data'!$E:$E,7),SUMIFS('ON Data'!AF:AF,'ON Data'!$E:$E,7))</f>
        <v>0</v>
      </c>
      <c r="AB16" s="269">
        <f xml:space="preserve">
IF($A$4&lt;=12,SUMIFS('ON Data'!AG:AG,'ON Data'!$D:$D,$A$4,'ON Data'!$E:$E,7),SUMIFS('ON Data'!AG:AG,'ON Data'!$E:$E,7))</f>
        <v>0</v>
      </c>
      <c r="AC16" s="269">
        <f xml:space="preserve">
IF($A$4&lt;=12,SUMIFS('ON Data'!AH:AH,'ON Data'!$D:$D,$A$4,'ON Data'!$E:$E,7),SUMIFS('ON Data'!AH:AH,'ON Data'!$E:$E,7))</f>
        <v>0</v>
      </c>
      <c r="AD16" s="269">
        <f xml:space="preserve">
IF($A$4&lt;=12,SUMIFS('ON Data'!AI:AI,'ON Data'!$D:$D,$A$4,'ON Data'!$E:$E,7),SUMIFS('ON Data'!AI:AI,'ON Data'!$E:$E,7))</f>
        <v>0</v>
      </c>
      <c r="AE16" s="269">
        <f xml:space="preserve">
IF($A$4&lt;=12,SUMIFS('ON Data'!AJ:AJ,'ON Data'!$D:$D,$A$4,'ON Data'!$E:$E,7),SUMIFS('ON Data'!AJ:AJ,'ON Data'!$E:$E,7))</f>
        <v>0</v>
      </c>
      <c r="AF16" s="269">
        <f xml:space="preserve">
IF($A$4&lt;=12,SUMIFS('ON Data'!AK:AK,'ON Data'!$D:$D,$A$4,'ON Data'!$E:$E,7),SUMIFS('ON Data'!AK:AK,'ON Data'!$E:$E,7))</f>
        <v>0</v>
      </c>
      <c r="AG16" s="269">
        <f xml:space="preserve">
IF($A$4&lt;=12,SUMIFS('ON Data'!AL:AL,'ON Data'!$D:$D,$A$4,'ON Data'!$E:$E,7),SUMIFS('ON Data'!AL:AL,'ON Data'!$E:$E,7))</f>
        <v>0</v>
      </c>
      <c r="AH16" s="601">
        <f xml:space="preserve">
IF($A$4&lt;=12,SUMIFS('ON Data'!AN:AN,'ON Data'!$D:$D,$A$4,'ON Data'!$E:$E,7),SUMIFS('ON Data'!AN:AN,'ON Data'!$E:$E,7))</f>
        <v>0</v>
      </c>
      <c r="AI16" s="611"/>
    </row>
    <row r="17" spans="1:35" x14ac:dyDescent="0.3">
      <c r="A17" s="252" t="s">
        <v>200</v>
      </c>
      <c r="B17" s="267">
        <f xml:space="preserve">
IF($A$4&lt;=12,SUMIFS('ON Data'!F:F,'ON Data'!$D:$D,$A$4,'ON Data'!$E:$E,8),SUMIFS('ON Data'!F:F,'ON Data'!$E:$E,8))</f>
        <v>0</v>
      </c>
      <c r="C17" s="268">
        <f xml:space="preserve">
IF($A$4&lt;=12,SUMIFS('ON Data'!G:G,'ON Data'!$D:$D,$A$4,'ON Data'!$E:$E,8),SUMIFS('ON Data'!G:G,'ON Data'!$E:$E,8))</f>
        <v>0</v>
      </c>
      <c r="D17" s="269">
        <f xml:space="preserve">
IF($A$4&lt;=12,SUMIFS('ON Data'!H:H,'ON Data'!$D:$D,$A$4,'ON Data'!$E:$E,8),SUMIFS('ON Data'!H:H,'ON Data'!$E:$E,8))</f>
        <v>0</v>
      </c>
      <c r="E17" s="269">
        <f xml:space="preserve">
IF($A$4&lt;=12,SUMIFS('ON Data'!I:I,'ON Data'!$D:$D,$A$4,'ON Data'!$E:$E,8),SUMIFS('ON Data'!I:I,'ON Data'!$E:$E,8))</f>
        <v>0</v>
      </c>
      <c r="F17" s="269">
        <f xml:space="preserve">
IF($A$4&lt;=12,SUMIFS('ON Data'!K:K,'ON Data'!$D:$D,$A$4,'ON Data'!$E:$E,8),SUMIFS('ON Data'!K:K,'ON Data'!$E:$E,8))</f>
        <v>0</v>
      </c>
      <c r="G17" s="269">
        <f xml:space="preserve">
IF($A$4&lt;=12,SUMIFS('ON Data'!L:L,'ON Data'!$D:$D,$A$4,'ON Data'!$E:$E,8),SUMIFS('ON Data'!L:L,'ON Data'!$E:$E,8))</f>
        <v>0</v>
      </c>
      <c r="H17" s="269">
        <f xml:space="preserve">
IF($A$4&lt;=12,SUMIFS('ON Data'!M:M,'ON Data'!$D:$D,$A$4,'ON Data'!$E:$E,8),SUMIFS('ON Data'!M:M,'ON Data'!$E:$E,8))</f>
        <v>0</v>
      </c>
      <c r="I17" s="269">
        <f xml:space="preserve">
IF($A$4&lt;=12,SUMIFS('ON Data'!N:N,'ON Data'!$D:$D,$A$4,'ON Data'!$E:$E,8),SUMIFS('ON Data'!N:N,'ON Data'!$E:$E,8))</f>
        <v>0</v>
      </c>
      <c r="J17" s="269">
        <f xml:space="preserve">
IF($A$4&lt;=12,SUMIFS('ON Data'!O:O,'ON Data'!$D:$D,$A$4,'ON Data'!$E:$E,8),SUMIFS('ON Data'!O:O,'ON Data'!$E:$E,8))</f>
        <v>0</v>
      </c>
      <c r="K17" s="269">
        <f xml:space="preserve">
IF($A$4&lt;=12,SUMIFS('ON Data'!P:P,'ON Data'!$D:$D,$A$4,'ON Data'!$E:$E,8),SUMIFS('ON Data'!P:P,'ON Data'!$E:$E,8))</f>
        <v>0</v>
      </c>
      <c r="L17" s="269">
        <f xml:space="preserve">
IF($A$4&lt;=12,SUMIFS('ON Data'!Q:Q,'ON Data'!$D:$D,$A$4,'ON Data'!$E:$E,8),SUMIFS('ON Data'!Q:Q,'ON Data'!$E:$E,8))</f>
        <v>0</v>
      </c>
      <c r="M17" s="269">
        <f xml:space="preserve">
IF($A$4&lt;=12,SUMIFS('ON Data'!R:R,'ON Data'!$D:$D,$A$4,'ON Data'!$E:$E,8),SUMIFS('ON Data'!R:R,'ON Data'!$E:$E,8))</f>
        <v>0</v>
      </c>
      <c r="N17" s="269">
        <f xml:space="preserve">
IF($A$4&lt;=12,SUMIFS('ON Data'!S:S,'ON Data'!$D:$D,$A$4,'ON Data'!$E:$E,8),SUMIFS('ON Data'!S:S,'ON Data'!$E:$E,8))</f>
        <v>0</v>
      </c>
      <c r="O17" s="269">
        <f xml:space="preserve">
IF($A$4&lt;=12,SUMIFS('ON Data'!T:T,'ON Data'!$D:$D,$A$4,'ON Data'!$E:$E,8),SUMIFS('ON Data'!T:T,'ON Data'!$E:$E,8))</f>
        <v>0</v>
      </c>
      <c r="P17" s="269">
        <f xml:space="preserve">
IF($A$4&lt;=12,SUMIFS('ON Data'!U:U,'ON Data'!$D:$D,$A$4,'ON Data'!$E:$E,8),SUMIFS('ON Data'!U:U,'ON Data'!$E:$E,8))</f>
        <v>0</v>
      </c>
      <c r="Q17" s="269">
        <f xml:space="preserve">
IF($A$4&lt;=12,SUMIFS('ON Data'!V:V,'ON Data'!$D:$D,$A$4,'ON Data'!$E:$E,8),SUMIFS('ON Data'!V:V,'ON Data'!$E:$E,8))</f>
        <v>0</v>
      </c>
      <c r="R17" s="269">
        <f xml:space="preserve">
IF($A$4&lt;=12,SUMIFS('ON Data'!W:W,'ON Data'!$D:$D,$A$4,'ON Data'!$E:$E,8),SUMIFS('ON Data'!W:W,'ON Data'!$E:$E,8))</f>
        <v>0</v>
      </c>
      <c r="S17" s="269">
        <f xml:space="preserve">
IF($A$4&lt;=12,SUMIFS('ON Data'!X:X,'ON Data'!$D:$D,$A$4,'ON Data'!$E:$E,8),SUMIFS('ON Data'!X:X,'ON Data'!$E:$E,8))</f>
        <v>0</v>
      </c>
      <c r="T17" s="269">
        <f xml:space="preserve">
IF($A$4&lt;=12,SUMIFS('ON Data'!Y:Y,'ON Data'!$D:$D,$A$4,'ON Data'!$E:$E,8),SUMIFS('ON Data'!Y:Y,'ON Data'!$E:$E,8))</f>
        <v>0</v>
      </c>
      <c r="U17" s="269">
        <f xml:space="preserve">
IF($A$4&lt;=12,SUMIFS('ON Data'!Z:Z,'ON Data'!$D:$D,$A$4,'ON Data'!$E:$E,8),SUMIFS('ON Data'!Z:Z,'ON Data'!$E:$E,8))</f>
        <v>0</v>
      </c>
      <c r="V17" s="269">
        <f xml:space="preserve">
IF($A$4&lt;=12,SUMIFS('ON Data'!AA:AA,'ON Data'!$D:$D,$A$4,'ON Data'!$E:$E,8),SUMIFS('ON Data'!AA:AA,'ON Data'!$E:$E,8))</f>
        <v>0</v>
      </c>
      <c r="W17" s="269">
        <f xml:space="preserve">
IF($A$4&lt;=12,SUMIFS('ON Data'!AB:AB,'ON Data'!$D:$D,$A$4,'ON Data'!$E:$E,8),SUMIFS('ON Data'!AB:AB,'ON Data'!$E:$E,8))</f>
        <v>0</v>
      </c>
      <c r="X17" s="269">
        <f xml:space="preserve">
IF($A$4&lt;=12,SUMIFS('ON Data'!AC:AC,'ON Data'!$D:$D,$A$4,'ON Data'!$E:$E,8),SUMIFS('ON Data'!AC:AC,'ON Data'!$E:$E,8))</f>
        <v>0</v>
      </c>
      <c r="Y17" s="269">
        <f xml:space="preserve">
IF($A$4&lt;=12,SUMIFS('ON Data'!AD:AD,'ON Data'!$D:$D,$A$4,'ON Data'!$E:$E,8),SUMIFS('ON Data'!AD:AD,'ON Data'!$E:$E,8))</f>
        <v>0</v>
      </c>
      <c r="Z17" s="269">
        <f xml:space="preserve">
IF($A$4&lt;=12,SUMIFS('ON Data'!AE:AE,'ON Data'!$D:$D,$A$4,'ON Data'!$E:$E,8),SUMIFS('ON Data'!AE:AE,'ON Data'!$E:$E,8))</f>
        <v>0</v>
      </c>
      <c r="AA17" s="269">
        <f xml:space="preserve">
IF($A$4&lt;=12,SUMIFS('ON Data'!AF:AF,'ON Data'!$D:$D,$A$4,'ON Data'!$E:$E,8),SUMIFS('ON Data'!AF:AF,'ON Data'!$E:$E,8))</f>
        <v>0</v>
      </c>
      <c r="AB17" s="269">
        <f xml:space="preserve">
IF($A$4&lt;=12,SUMIFS('ON Data'!AG:AG,'ON Data'!$D:$D,$A$4,'ON Data'!$E:$E,8),SUMIFS('ON Data'!AG:AG,'ON Data'!$E:$E,8))</f>
        <v>0</v>
      </c>
      <c r="AC17" s="269">
        <f xml:space="preserve">
IF($A$4&lt;=12,SUMIFS('ON Data'!AH:AH,'ON Data'!$D:$D,$A$4,'ON Data'!$E:$E,8),SUMIFS('ON Data'!AH:AH,'ON Data'!$E:$E,8))</f>
        <v>0</v>
      </c>
      <c r="AD17" s="269">
        <f xml:space="preserve">
IF($A$4&lt;=12,SUMIFS('ON Data'!AI:AI,'ON Data'!$D:$D,$A$4,'ON Data'!$E:$E,8),SUMIFS('ON Data'!AI:AI,'ON Data'!$E:$E,8))</f>
        <v>0</v>
      </c>
      <c r="AE17" s="269">
        <f xml:space="preserve">
IF($A$4&lt;=12,SUMIFS('ON Data'!AJ:AJ,'ON Data'!$D:$D,$A$4,'ON Data'!$E:$E,8),SUMIFS('ON Data'!AJ:AJ,'ON Data'!$E:$E,8))</f>
        <v>0</v>
      </c>
      <c r="AF17" s="269">
        <f xml:space="preserve">
IF($A$4&lt;=12,SUMIFS('ON Data'!AK:AK,'ON Data'!$D:$D,$A$4,'ON Data'!$E:$E,8),SUMIFS('ON Data'!AK:AK,'ON Data'!$E:$E,8))</f>
        <v>0</v>
      </c>
      <c r="AG17" s="269">
        <f xml:space="preserve">
IF($A$4&lt;=12,SUMIFS('ON Data'!AL:AL,'ON Data'!$D:$D,$A$4,'ON Data'!$E:$E,8),SUMIFS('ON Data'!AL:AL,'ON Data'!$E:$E,8))</f>
        <v>0</v>
      </c>
      <c r="AH17" s="601">
        <f xml:space="preserve">
IF($A$4&lt;=12,SUMIFS('ON Data'!AN:AN,'ON Data'!$D:$D,$A$4,'ON Data'!$E:$E,8),SUMIFS('ON Data'!AN:AN,'ON Data'!$E:$E,8))</f>
        <v>0</v>
      </c>
      <c r="AI17" s="611"/>
    </row>
    <row r="18" spans="1:35" x14ac:dyDescent="0.3">
      <c r="A18" s="252" t="s">
        <v>201</v>
      </c>
      <c r="B18" s="267">
        <f xml:space="preserve">
B19-B16-B17</f>
        <v>74334</v>
      </c>
      <c r="C18" s="268">
        <f t="shared" ref="C18:G18" si="0" xml:space="preserve">
C19-C16-C17</f>
        <v>0</v>
      </c>
      <c r="D18" s="269">
        <f t="shared" si="0"/>
        <v>61334</v>
      </c>
      <c r="E18" s="269">
        <f t="shared" si="0"/>
        <v>0</v>
      </c>
      <c r="F18" s="269">
        <f t="shared" si="0"/>
        <v>10900</v>
      </c>
      <c r="G18" s="269">
        <f t="shared" si="0"/>
        <v>0</v>
      </c>
      <c r="H18" s="269">
        <f t="shared" ref="H18:AH18" si="1" xml:space="preserve">
H19-H16-H17</f>
        <v>0</v>
      </c>
      <c r="I18" s="269">
        <f t="shared" si="1"/>
        <v>0</v>
      </c>
      <c r="J18" s="269">
        <f t="shared" si="1"/>
        <v>0</v>
      </c>
      <c r="K18" s="269">
        <f t="shared" si="1"/>
        <v>0</v>
      </c>
      <c r="L18" s="269">
        <f t="shared" si="1"/>
        <v>0</v>
      </c>
      <c r="M18" s="269">
        <f t="shared" si="1"/>
        <v>0</v>
      </c>
      <c r="N18" s="269">
        <f t="shared" si="1"/>
        <v>0</v>
      </c>
      <c r="O18" s="269">
        <f t="shared" si="1"/>
        <v>0</v>
      </c>
      <c r="P18" s="269">
        <f t="shared" si="1"/>
        <v>0</v>
      </c>
      <c r="Q18" s="269">
        <f t="shared" si="1"/>
        <v>0</v>
      </c>
      <c r="R18" s="269">
        <f t="shared" si="1"/>
        <v>0</v>
      </c>
      <c r="S18" s="269">
        <f t="shared" si="1"/>
        <v>0</v>
      </c>
      <c r="T18" s="269">
        <f t="shared" si="1"/>
        <v>0</v>
      </c>
      <c r="U18" s="269">
        <f t="shared" si="1"/>
        <v>0</v>
      </c>
      <c r="V18" s="269">
        <f t="shared" si="1"/>
        <v>0</v>
      </c>
      <c r="W18" s="269">
        <f t="shared" si="1"/>
        <v>0</v>
      </c>
      <c r="X18" s="269">
        <f t="shared" si="1"/>
        <v>0</v>
      </c>
      <c r="Y18" s="269">
        <f t="shared" si="1"/>
        <v>0</v>
      </c>
      <c r="Z18" s="269">
        <f t="shared" si="1"/>
        <v>0</v>
      </c>
      <c r="AA18" s="269">
        <f t="shared" si="1"/>
        <v>0</v>
      </c>
      <c r="AB18" s="269">
        <f t="shared" si="1"/>
        <v>0</v>
      </c>
      <c r="AC18" s="269">
        <f t="shared" si="1"/>
        <v>0</v>
      </c>
      <c r="AD18" s="269">
        <f t="shared" si="1"/>
        <v>0</v>
      </c>
      <c r="AE18" s="269">
        <f t="shared" si="1"/>
        <v>0</v>
      </c>
      <c r="AF18" s="269">
        <f t="shared" si="1"/>
        <v>0</v>
      </c>
      <c r="AG18" s="269">
        <f t="shared" si="1"/>
        <v>0</v>
      </c>
      <c r="AH18" s="601">
        <f t="shared" si="1"/>
        <v>2100</v>
      </c>
      <c r="AI18" s="611"/>
    </row>
    <row r="19" spans="1:35" ht="15" thickBot="1" x14ac:dyDescent="0.35">
      <c r="A19" s="253" t="s">
        <v>202</v>
      </c>
      <c r="B19" s="276">
        <f xml:space="preserve">
IF($A$4&lt;=12,SUMIFS('ON Data'!F:F,'ON Data'!$D:$D,$A$4,'ON Data'!$E:$E,9),SUMIFS('ON Data'!F:F,'ON Data'!$E:$E,9))</f>
        <v>74334</v>
      </c>
      <c r="C19" s="277">
        <f xml:space="preserve">
IF($A$4&lt;=12,SUMIFS('ON Data'!G:G,'ON Data'!$D:$D,$A$4,'ON Data'!$E:$E,9),SUMIFS('ON Data'!G:G,'ON Data'!$E:$E,9))</f>
        <v>0</v>
      </c>
      <c r="D19" s="278">
        <f xml:space="preserve">
IF($A$4&lt;=12,SUMIFS('ON Data'!H:H,'ON Data'!$D:$D,$A$4,'ON Data'!$E:$E,9),SUMIFS('ON Data'!H:H,'ON Data'!$E:$E,9))</f>
        <v>61334</v>
      </c>
      <c r="E19" s="278">
        <f xml:space="preserve">
IF($A$4&lt;=12,SUMIFS('ON Data'!I:I,'ON Data'!$D:$D,$A$4,'ON Data'!$E:$E,9),SUMIFS('ON Data'!I:I,'ON Data'!$E:$E,9))</f>
        <v>0</v>
      </c>
      <c r="F19" s="278">
        <f xml:space="preserve">
IF($A$4&lt;=12,SUMIFS('ON Data'!K:K,'ON Data'!$D:$D,$A$4,'ON Data'!$E:$E,9),SUMIFS('ON Data'!K:K,'ON Data'!$E:$E,9))</f>
        <v>10900</v>
      </c>
      <c r="G19" s="278">
        <f xml:space="preserve">
IF($A$4&lt;=12,SUMIFS('ON Data'!L:L,'ON Data'!$D:$D,$A$4,'ON Data'!$E:$E,9),SUMIFS('ON Data'!L:L,'ON Data'!$E:$E,9))</f>
        <v>0</v>
      </c>
      <c r="H19" s="278">
        <f xml:space="preserve">
IF($A$4&lt;=12,SUMIFS('ON Data'!M:M,'ON Data'!$D:$D,$A$4,'ON Data'!$E:$E,9),SUMIFS('ON Data'!M:M,'ON Data'!$E:$E,9))</f>
        <v>0</v>
      </c>
      <c r="I19" s="278">
        <f xml:space="preserve">
IF($A$4&lt;=12,SUMIFS('ON Data'!N:N,'ON Data'!$D:$D,$A$4,'ON Data'!$E:$E,9),SUMIFS('ON Data'!N:N,'ON Data'!$E:$E,9))</f>
        <v>0</v>
      </c>
      <c r="J19" s="278">
        <f xml:space="preserve">
IF($A$4&lt;=12,SUMIFS('ON Data'!O:O,'ON Data'!$D:$D,$A$4,'ON Data'!$E:$E,9),SUMIFS('ON Data'!O:O,'ON Data'!$E:$E,9))</f>
        <v>0</v>
      </c>
      <c r="K19" s="278">
        <f xml:space="preserve">
IF($A$4&lt;=12,SUMIFS('ON Data'!P:P,'ON Data'!$D:$D,$A$4,'ON Data'!$E:$E,9),SUMIFS('ON Data'!P:P,'ON Data'!$E:$E,9))</f>
        <v>0</v>
      </c>
      <c r="L19" s="278">
        <f xml:space="preserve">
IF($A$4&lt;=12,SUMIFS('ON Data'!Q:Q,'ON Data'!$D:$D,$A$4,'ON Data'!$E:$E,9),SUMIFS('ON Data'!Q:Q,'ON Data'!$E:$E,9))</f>
        <v>0</v>
      </c>
      <c r="M19" s="278">
        <f xml:space="preserve">
IF($A$4&lt;=12,SUMIFS('ON Data'!R:R,'ON Data'!$D:$D,$A$4,'ON Data'!$E:$E,9),SUMIFS('ON Data'!R:R,'ON Data'!$E:$E,9))</f>
        <v>0</v>
      </c>
      <c r="N19" s="278">
        <f xml:space="preserve">
IF($A$4&lt;=12,SUMIFS('ON Data'!S:S,'ON Data'!$D:$D,$A$4,'ON Data'!$E:$E,9),SUMIFS('ON Data'!S:S,'ON Data'!$E:$E,9))</f>
        <v>0</v>
      </c>
      <c r="O19" s="278">
        <f xml:space="preserve">
IF($A$4&lt;=12,SUMIFS('ON Data'!T:T,'ON Data'!$D:$D,$A$4,'ON Data'!$E:$E,9),SUMIFS('ON Data'!T:T,'ON Data'!$E:$E,9))</f>
        <v>0</v>
      </c>
      <c r="P19" s="278">
        <f xml:space="preserve">
IF($A$4&lt;=12,SUMIFS('ON Data'!U:U,'ON Data'!$D:$D,$A$4,'ON Data'!$E:$E,9),SUMIFS('ON Data'!U:U,'ON Data'!$E:$E,9))</f>
        <v>0</v>
      </c>
      <c r="Q19" s="278">
        <f xml:space="preserve">
IF($A$4&lt;=12,SUMIFS('ON Data'!V:V,'ON Data'!$D:$D,$A$4,'ON Data'!$E:$E,9),SUMIFS('ON Data'!V:V,'ON Data'!$E:$E,9))</f>
        <v>0</v>
      </c>
      <c r="R19" s="278">
        <f xml:space="preserve">
IF($A$4&lt;=12,SUMIFS('ON Data'!W:W,'ON Data'!$D:$D,$A$4,'ON Data'!$E:$E,9),SUMIFS('ON Data'!W:W,'ON Data'!$E:$E,9))</f>
        <v>0</v>
      </c>
      <c r="S19" s="278">
        <f xml:space="preserve">
IF($A$4&lt;=12,SUMIFS('ON Data'!X:X,'ON Data'!$D:$D,$A$4,'ON Data'!$E:$E,9),SUMIFS('ON Data'!X:X,'ON Data'!$E:$E,9))</f>
        <v>0</v>
      </c>
      <c r="T19" s="278">
        <f xml:space="preserve">
IF($A$4&lt;=12,SUMIFS('ON Data'!Y:Y,'ON Data'!$D:$D,$A$4,'ON Data'!$E:$E,9),SUMIFS('ON Data'!Y:Y,'ON Data'!$E:$E,9))</f>
        <v>0</v>
      </c>
      <c r="U19" s="278">
        <f xml:space="preserve">
IF($A$4&lt;=12,SUMIFS('ON Data'!Z:Z,'ON Data'!$D:$D,$A$4,'ON Data'!$E:$E,9),SUMIFS('ON Data'!Z:Z,'ON Data'!$E:$E,9))</f>
        <v>0</v>
      </c>
      <c r="V19" s="278">
        <f xml:space="preserve">
IF($A$4&lt;=12,SUMIFS('ON Data'!AA:AA,'ON Data'!$D:$D,$A$4,'ON Data'!$E:$E,9),SUMIFS('ON Data'!AA:AA,'ON Data'!$E:$E,9))</f>
        <v>0</v>
      </c>
      <c r="W19" s="278">
        <f xml:space="preserve">
IF($A$4&lt;=12,SUMIFS('ON Data'!AB:AB,'ON Data'!$D:$D,$A$4,'ON Data'!$E:$E,9),SUMIFS('ON Data'!AB:AB,'ON Data'!$E:$E,9))</f>
        <v>0</v>
      </c>
      <c r="X19" s="278">
        <f xml:space="preserve">
IF($A$4&lt;=12,SUMIFS('ON Data'!AC:AC,'ON Data'!$D:$D,$A$4,'ON Data'!$E:$E,9),SUMIFS('ON Data'!AC:AC,'ON Data'!$E:$E,9))</f>
        <v>0</v>
      </c>
      <c r="Y19" s="278">
        <f xml:space="preserve">
IF($A$4&lt;=12,SUMIFS('ON Data'!AD:AD,'ON Data'!$D:$D,$A$4,'ON Data'!$E:$E,9),SUMIFS('ON Data'!AD:AD,'ON Data'!$E:$E,9))</f>
        <v>0</v>
      </c>
      <c r="Z19" s="278">
        <f xml:space="preserve">
IF($A$4&lt;=12,SUMIFS('ON Data'!AE:AE,'ON Data'!$D:$D,$A$4,'ON Data'!$E:$E,9),SUMIFS('ON Data'!AE:AE,'ON Data'!$E:$E,9))</f>
        <v>0</v>
      </c>
      <c r="AA19" s="278">
        <f xml:space="preserve">
IF($A$4&lt;=12,SUMIFS('ON Data'!AF:AF,'ON Data'!$D:$D,$A$4,'ON Data'!$E:$E,9),SUMIFS('ON Data'!AF:AF,'ON Data'!$E:$E,9))</f>
        <v>0</v>
      </c>
      <c r="AB19" s="278">
        <f xml:space="preserve">
IF($A$4&lt;=12,SUMIFS('ON Data'!AG:AG,'ON Data'!$D:$D,$A$4,'ON Data'!$E:$E,9),SUMIFS('ON Data'!AG:AG,'ON Data'!$E:$E,9))</f>
        <v>0</v>
      </c>
      <c r="AC19" s="278">
        <f xml:space="preserve">
IF($A$4&lt;=12,SUMIFS('ON Data'!AH:AH,'ON Data'!$D:$D,$A$4,'ON Data'!$E:$E,9),SUMIFS('ON Data'!AH:AH,'ON Data'!$E:$E,9))</f>
        <v>0</v>
      </c>
      <c r="AD19" s="278">
        <f xml:space="preserve">
IF($A$4&lt;=12,SUMIFS('ON Data'!AI:AI,'ON Data'!$D:$D,$A$4,'ON Data'!$E:$E,9),SUMIFS('ON Data'!AI:AI,'ON Data'!$E:$E,9))</f>
        <v>0</v>
      </c>
      <c r="AE19" s="278">
        <f xml:space="preserve">
IF($A$4&lt;=12,SUMIFS('ON Data'!AJ:AJ,'ON Data'!$D:$D,$A$4,'ON Data'!$E:$E,9),SUMIFS('ON Data'!AJ:AJ,'ON Data'!$E:$E,9))</f>
        <v>0</v>
      </c>
      <c r="AF19" s="278">
        <f xml:space="preserve">
IF($A$4&lt;=12,SUMIFS('ON Data'!AK:AK,'ON Data'!$D:$D,$A$4,'ON Data'!$E:$E,9),SUMIFS('ON Data'!AK:AK,'ON Data'!$E:$E,9))</f>
        <v>0</v>
      </c>
      <c r="AG19" s="278">
        <f xml:space="preserve">
IF($A$4&lt;=12,SUMIFS('ON Data'!AL:AL,'ON Data'!$D:$D,$A$4,'ON Data'!$E:$E,9),SUMIFS('ON Data'!AL:AL,'ON Data'!$E:$E,9))</f>
        <v>0</v>
      </c>
      <c r="AH19" s="604">
        <f xml:space="preserve">
IF($A$4&lt;=12,SUMIFS('ON Data'!AN:AN,'ON Data'!$D:$D,$A$4,'ON Data'!$E:$E,9),SUMIFS('ON Data'!AN:AN,'ON Data'!$E:$E,9))</f>
        <v>2100</v>
      </c>
      <c r="AI19" s="611"/>
    </row>
    <row r="20" spans="1:35" ht="15" collapsed="1" thickBot="1" x14ac:dyDescent="0.35">
      <c r="A20" s="254" t="s">
        <v>73</v>
      </c>
      <c r="B20" s="279">
        <f xml:space="preserve">
IF($A$4&lt;=12,SUMIFS('ON Data'!F:F,'ON Data'!$D:$D,$A$4,'ON Data'!$E:$E,6),SUMIFS('ON Data'!F:F,'ON Data'!$E:$E,6))</f>
        <v>2445442</v>
      </c>
      <c r="C20" s="280">
        <f xml:space="preserve">
IF($A$4&lt;=12,SUMIFS('ON Data'!G:G,'ON Data'!$D:$D,$A$4,'ON Data'!$E:$E,6),SUMIFS('ON Data'!G:G,'ON Data'!$E:$E,6))</f>
        <v>0</v>
      </c>
      <c r="D20" s="281">
        <f xml:space="preserve">
IF($A$4&lt;=12,SUMIFS('ON Data'!H:H,'ON Data'!$D:$D,$A$4,'ON Data'!$E:$E,6),SUMIFS('ON Data'!H:H,'ON Data'!$E:$E,6))</f>
        <v>1751391</v>
      </c>
      <c r="E20" s="281">
        <f xml:space="preserve">
IF($A$4&lt;=12,SUMIFS('ON Data'!I:I,'ON Data'!$D:$D,$A$4,'ON Data'!$E:$E,6),SUMIFS('ON Data'!I:I,'ON Data'!$E:$E,6))</f>
        <v>0</v>
      </c>
      <c r="F20" s="281">
        <f xml:space="preserve">
IF($A$4&lt;=12,SUMIFS('ON Data'!K:K,'ON Data'!$D:$D,$A$4,'ON Data'!$E:$E,6),SUMIFS('ON Data'!K:K,'ON Data'!$E:$E,6))</f>
        <v>561582</v>
      </c>
      <c r="G20" s="281">
        <f xml:space="preserve">
IF($A$4&lt;=12,SUMIFS('ON Data'!L:L,'ON Data'!$D:$D,$A$4,'ON Data'!$E:$E,6),SUMIFS('ON Data'!L:L,'ON Data'!$E:$E,6))</f>
        <v>0</v>
      </c>
      <c r="H20" s="281">
        <f xml:space="preserve">
IF($A$4&lt;=12,SUMIFS('ON Data'!M:M,'ON Data'!$D:$D,$A$4,'ON Data'!$E:$E,6),SUMIFS('ON Data'!M:M,'ON Data'!$E:$E,6))</f>
        <v>0</v>
      </c>
      <c r="I20" s="281">
        <f xml:space="preserve">
IF($A$4&lt;=12,SUMIFS('ON Data'!N:N,'ON Data'!$D:$D,$A$4,'ON Data'!$E:$E,6),SUMIFS('ON Data'!N:N,'ON Data'!$E:$E,6))</f>
        <v>0</v>
      </c>
      <c r="J20" s="281">
        <f xml:space="preserve">
IF($A$4&lt;=12,SUMIFS('ON Data'!O:O,'ON Data'!$D:$D,$A$4,'ON Data'!$E:$E,6),SUMIFS('ON Data'!O:O,'ON Data'!$E:$E,6))</f>
        <v>0</v>
      </c>
      <c r="K20" s="281">
        <f xml:space="preserve">
IF($A$4&lt;=12,SUMIFS('ON Data'!P:P,'ON Data'!$D:$D,$A$4,'ON Data'!$E:$E,6),SUMIFS('ON Data'!P:P,'ON Data'!$E:$E,6))</f>
        <v>0</v>
      </c>
      <c r="L20" s="281">
        <f xml:space="preserve">
IF($A$4&lt;=12,SUMIFS('ON Data'!Q:Q,'ON Data'!$D:$D,$A$4,'ON Data'!$E:$E,6),SUMIFS('ON Data'!Q:Q,'ON Data'!$E:$E,6))</f>
        <v>0</v>
      </c>
      <c r="M20" s="281">
        <f xml:space="preserve">
IF($A$4&lt;=12,SUMIFS('ON Data'!R:R,'ON Data'!$D:$D,$A$4,'ON Data'!$E:$E,6),SUMIFS('ON Data'!R:R,'ON Data'!$E:$E,6))</f>
        <v>0</v>
      </c>
      <c r="N20" s="281">
        <f xml:space="preserve">
IF($A$4&lt;=12,SUMIFS('ON Data'!S:S,'ON Data'!$D:$D,$A$4,'ON Data'!$E:$E,6),SUMIFS('ON Data'!S:S,'ON Data'!$E:$E,6))</f>
        <v>0</v>
      </c>
      <c r="O20" s="281">
        <f xml:space="preserve">
IF($A$4&lt;=12,SUMIFS('ON Data'!T:T,'ON Data'!$D:$D,$A$4,'ON Data'!$E:$E,6),SUMIFS('ON Data'!T:T,'ON Data'!$E:$E,6))</f>
        <v>0</v>
      </c>
      <c r="P20" s="281">
        <f xml:space="preserve">
IF($A$4&lt;=12,SUMIFS('ON Data'!U:U,'ON Data'!$D:$D,$A$4,'ON Data'!$E:$E,6),SUMIFS('ON Data'!U:U,'ON Data'!$E:$E,6))</f>
        <v>0</v>
      </c>
      <c r="Q20" s="281">
        <f xml:space="preserve">
IF($A$4&lt;=12,SUMIFS('ON Data'!V:V,'ON Data'!$D:$D,$A$4,'ON Data'!$E:$E,6),SUMIFS('ON Data'!V:V,'ON Data'!$E:$E,6))</f>
        <v>0</v>
      </c>
      <c r="R20" s="281">
        <f xml:space="preserve">
IF($A$4&lt;=12,SUMIFS('ON Data'!W:W,'ON Data'!$D:$D,$A$4,'ON Data'!$E:$E,6),SUMIFS('ON Data'!W:W,'ON Data'!$E:$E,6))</f>
        <v>0</v>
      </c>
      <c r="S20" s="281">
        <f xml:space="preserve">
IF($A$4&lt;=12,SUMIFS('ON Data'!X:X,'ON Data'!$D:$D,$A$4,'ON Data'!$E:$E,6),SUMIFS('ON Data'!X:X,'ON Data'!$E:$E,6))</f>
        <v>0</v>
      </c>
      <c r="T20" s="281">
        <f xml:space="preserve">
IF($A$4&lt;=12,SUMIFS('ON Data'!Y:Y,'ON Data'!$D:$D,$A$4,'ON Data'!$E:$E,6),SUMIFS('ON Data'!Y:Y,'ON Data'!$E:$E,6))</f>
        <v>0</v>
      </c>
      <c r="U20" s="281">
        <f xml:space="preserve">
IF($A$4&lt;=12,SUMIFS('ON Data'!Z:Z,'ON Data'!$D:$D,$A$4,'ON Data'!$E:$E,6),SUMIFS('ON Data'!Z:Z,'ON Data'!$E:$E,6))</f>
        <v>0</v>
      </c>
      <c r="V20" s="281">
        <f xml:space="preserve">
IF($A$4&lt;=12,SUMIFS('ON Data'!AA:AA,'ON Data'!$D:$D,$A$4,'ON Data'!$E:$E,6),SUMIFS('ON Data'!AA:AA,'ON Data'!$E:$E,6))</f>
        <v>0</v>
      </c>
      <c r="W20" s="281">
        <f xml:space="preserve">
IF($A$4&lt;=12,SUMIFS('ON Data'!AB:AB,'ON Data'!$D:$D,$A$4,'ON Data'!$E:$E,6),SUMIFS('ON Data'!AB:AB,'ON Data'!$E:$E,6))</f>
        <v>0</v>
      </c>
      <c r="X20" s="281">
        <f xml:space="preserve">
IF($A$4&lt;=12,SUMIFS('ON Data'!AC:AC,'ON Data'!$D:$D,$A$4,'ON Data'!$E:$E,6),SUMIFS('ON Data'!AC:AC,'ON Data'!$E:$E,6))</f>
        <v>0</v>
      </c>
      <c r="Y20" s="281">
        <f xml:space="preserve">
IF($A$4&lt;=12,SUMIFS('ON Data'!AD:AD,'ON Data'!$D:$D,$A$4,'ON Data'!$E:$E,6),SUMIFS('ON Data'!AD:AD,'ON Data'!$E:$E,6))</f>
        <v>0</v>
      </c>
      <c r="Z20" s="281">
        <f xml:space="preserve">
IF($A$4&lt;=12,SUMIFS('ON Data'!AE:AE,'ON Data'!$D:$D,$A$4,'ON Data'!$E:$E,6),SUMIFS('ON Data'!AE:AE,'ON Data'!$E:$E,6))</f>
        <v>0</v>
      </c>
      <c r="AA20" s="281">
        <f xml:space="preserve">
IF($A$4&lt;=12,SUMIFS('ON Data'!AF:AF,'ON Data'!$D:$D,$A$4,'ON Data'!$E:$E,6),SUMIFS('ON Data'!AF:AF,'ON Data'!$E:$E,6))</f>
        <v>0</v>
      </c>
      <c r="AB20" s="281">
        <f xml:space="preserve">
IF($A$4&lt;=12,SUMIFS('ON Data'!AG:AG,'ON Data'!$D:$D,$A$4,'ON Data'!$E:$E,6),SUMIFS('ON Data'!AG:AG,'ON Data'!$E:$E,6))</f>
        <v>0</v>
      </c>
      <c r="AC20" s="281">
        <f xml:space="preserve">
IF($A$4&lt;=12,SUMIFS('ON Data'!AH:AH,'ON Data'!$D:$D,$A$4,'ON Data'!$E:$E,6),SUMIFS('ON Data'!AH:AH,'ON Data'!$E:$E,6))</f>
        <v>0</v>
      </c>
      <c r="AD20" s="281">
        <f xml:space="preserve">
IF($A$4&lt;=12,SUMIFS('ON Data'!AI:AI,'ON Data'!$D:$D,$A$4,'ON Data'!$E:$E,6),SUMIFS('ON Data'!AI:AI,'ON Data'!$E:$E,6))</f>
        <v>623</v>
      </c>
      <c r="AE20" s="281">
        <f xml:space="preserve">
IF($A$4&lt;=12,SUMIFS('ON Data'!AJ:AJ,'ON Data'!$D:$D,$A$4,'ON Data'!$E:$E,6),SUMIFS('ON Data'!AJ:AJ,'ON Data'!$E:$E,6))</f>
        <v>0</v>
      </c>
      <c r="AF20" s="281">
        <f xml:space="preserve">
IF($A$4&lt;=12,SUMIFS('ON Data'!AK:AK,'ON Data'!$D:$D,$A$4,'ON Data'!$E:$E,6),SUMIFS('ON Data'!AK:AK,'ON Data'!$E:$E,6))</f>
        <v>0</v>
      </c>
      <c r="AG20" s="281">
        <f xml:space="preserve">
IF($A$4&lt;=12,SUMIFS('ON Data'!AL:AL,'ON Data'!$D:$D,$A$4,'ON Data'!$E:$E,6),SUMIFS('ON Data'!AL:AL,'ON Data'!$E:$E,6))</f>
        <v>0</v>
      </c>
      <c r="AH20" s="605">
        <f xml:space="preserve">
IF($A$4&lt;=12,SUMIFS('ON Data'!AN:AN,'ON Data'!$D:$D,$A$4,'ON Data'!$E:$E,6),SUMIFS('ON Data'!AN:AN,'ON Data'!$E:$E,6))</f>
        <v>131846</v>
      </c>
      <c r="AI20" s="611"/>
    </row>
    <row r="21" spans="1:35" ht="15" hidden="1" outlineLevel="1" thickBot="1" x14ac:dyDescent="0.35">
      <c r="A21" s="247" t="s">
        <v>108</v>
      </c>
      <c r="B21" s="267">
        <f xml:space="preserve">
IF($A$4&lt;=12,SUMIFS('ON Data'!F:F,'ON Data'!$D:$D,$A$4,'ON Data'!$E:$E,12),SUMIFS('ON Data'!F:F,'ON Data'!$E:$E,12))</f>
        <v>0</v>
      </c>
      <c r="C21" s="268">
        <f xml:space="preserve">
IF($A$4&lt;=12,SUMIFS('ON Data'!G:G,'ON Data'!$D:$D,$A$4,'ON Data'!$E:$E,12),SUMIFS('ON Data'!G:G,'ON Data'!$E:$E,12))</f>
        <v>0</v>
      </c>
      <c r="D21" s="269">
        <f xml:space="preserve">
IF($A$4&lt;=12,SUMIFS('ON Data'!H:H,'ON Data'!$D:$D,$A$4,'ON Data'!$E:$E,12),SUMIFS('ON Data'!H:H,'ON Data'!$E:$E,12))</f>
        <v>0</v>
      </c>
      <c r="E21" s="269">
        <f xml:space="preserve">
IF($A$4&lt;=12,SUMIFS('ON Data'!I:I,'ON Data'!$D:$D,$A$4,'ON Data'!$E:$E,12),SUMIFS('ON Data'!I:I,'ON Data'!$E:$E,12))</f>
        <v>0</v>
      </c>
      <c r="F21" s="269">
        <f xml:space="preserve">
IF($A$4&lt;=12,SUMIFS('ON Data'!K:K,'ON Data'!$D:$D,$A$4,'ON Data'!$E:$E,12),SUMIFS('ON Data'!K:K,'ON Data'!$E:$E,12))</f>
        <v>0</v>
      </c>
      <c r="G21" s="269">
        <f xml:space="preserve">
IF($A$4&lt;=12,SUMIFS('ON Data'!L:L,'ON Data'!$D:$D,$A$4,'ON Data'!$E:$E,12),SUMIFS('ON Data'!L:L,'ON Data'!$E:$E,12))</f>
        <v>0</v>
      </c>
      <c r="H21" s="269">
        <f xml:space="preserve">
IF($A$4&lt;=12,SUMIFS('ON Data'!M:M,'ON Data'!$D:$D,$A$4,'ON Data'!$E:$E,12),SUMIFS('ON Data'!M:M,'ON Data'!$E:$E,12))</f>
        <v>0</v>
      </c>
      <c r="I21" s="269">
        <f xml:space="preserve">
IF($A$4&lt;=12,SUMIFS('ON Data'!N:N,'ON Data'!$D:$D,$A$4,'ON Data'!$E:$E,12),SUMIFS('ON Data'!N:N,'ON Data'!$E:$E,12))</f>
        <v>0</v>
      </c>
      <c r="J21" s="269">
        <f xml:space="preserve">
IF($A$4&lt;=12,SUMIFS('ON Data'!O:O,'ON Data'!$D:$D,$A$4,'ON Data'!$E:$E,12),SUMIFS('ON Data'!O:O,'ON Data'!$E:$E,12))</f>
        <v>0</v>
      </c>
      <c r="K21" s="269">
        <f xml:space="preserve">
IF($A$4&lt;=12,SUMIFS('ON Data'!P:P,'ON Data'!$D:$D,$A$4,'ON Data'!$E:$E,12),SUMIFS('ON Data'!P:P,'ON Data'!$E:$E,12))</f>
        <v>0</v>
      </c>
      <c r="L21" s="269">
        <f xml:space="preserve">
IF($A$4&lt;=12,SUMIFS('ON Data'!Q:Q,'ON Data'!$D:$D,$A$4,'ON Data'!$E:$E,12),SUMIFS('ON Data'!Q:Q,'ON Data'!$E:$E,12))</f>
        <v>0</v>
      </c>
      <c r="M21" s="269">
        <f xml:space="preserve">
IF($A$4&lt;=12,SUMIFS('ON Data'!R:R,'ON Data'!$D:$D,$A$4,'ON Data'!$E:$E,12),SUMIFS('ON Data'!R:R,'ON Data'!$E:$E,12))</f>
        <v>0</v>
      </c>
      <c r="N21" s="269">
        <f xml:space="preserve">
IF($A$4&lt;=12,SUMIFS('ON Data'!S:S,'ON Data'!$D:$D,$A$4,'ON Data'!$E:$E,12),SUMIFS('ON Data'!S:S,'ON Data'!$E:$E,12))</f>
        <v>0</v>
      </c>
      <c r="O21" s="269">
        <f xml:space="preserve">
IF($A$4&lt;=12,SUMIFS('ON Data'!T:T,'ON Data'!$D:$D,$A$4,'ON Data'!$E:$E,12),SUMIFS('ON Data'!T:T,'ON Data'!$E:$E,12))</f>
        <v>0</v>
      </c>
      <c r="P21" s="269">
        <f xml:space="preserve">
IF($A$4&lt;=12,SUMIFS('ON Data'!U:U,'ON Data'!$D:$D,$A$4,'ON Data'!$E:$E,12),SUMIFS('ON Data'!U:U,'ON Data'!$E:$E,12))</f>
        <v>0</v>
      </c>
      <c r="Q21" s="269">
        <f xml:space="preserve">
IF($A$4&lt;=12,SUMIFS('ON Data'!V:V,'ON Data'!$D:$D,$A$4,'ON Data'!$E:$E,12),SUMIFS('ON Data'!V:V,'ON Data'!$E:$E,12))</f>
        <v>0</v>
      </c>
      <c r="R21" s="269">
        <f xml:space="preserve">
IF($A$4&lt;=12,SUMIFS('ON Data'!W:W,'ON Data'!$D:$D,$A$4,'ON Data'!$E:$E,12),SUMIFS('ON Data'!W:W,'ON Data'!$E:$E,12))</f>
        <v>0</v>
      </c>
      <c r="S21" s="269">
        <f xml:space="preserve">
IF($A$4&lt;=12,SUMIFS('ON Data'!X:X,'ON Data'!$D:$D,$A$4,'ON Data'!$E:$E,12),SUMIFS('ON Data'!X:X,'ON Data'!$E:$E,12))</f>
        <v>0</v>
      </c>
      <c r="T21" s="269">
        <f xml:space="preserve">
IF($A$4&lt;=12,SUMIFS('ON Data'!Y:Y,'ON Data'!$D:$D,$A$4,'ON Data'!$E:$E,12),SUMIFS('ON Data'!Y:Y,'ON Data'!$E:$E,12))</f>
        <v>0</v>
      </c>
      <c r="U21" s="269">
        <f xml:space="preserve">
IF($A$4&lt;=12,SUMIFS('ON Data'!Z:Z,'ON Data'!$D:$D,$A$4,'ON Data'!$E:$E,12),SUMIFS('ON Data'!Z:Z,'ON Data'!$E:$E,12))</f>
        <v>0</v>
      </c>
      <c r="V21" s="269">
        <f xml:space="preserve">
IF($A$4&lt;=12,SUMIFS('ON Data'!AA:AA,'ON Data'!$D:$D,$A$4,'ON Data'!$E:$E,12),SUMIFS('ON Data'!AA:AA,'ON Data'!$E:$E,12))</f>
        <v>0</v>
      </c>
      <c r="W21" s="269">
        <f xml:space="preserve">
IF($A$4&lt;=12,SUMIFS('ON Data'!AB:AB,'ON Data'!$D:$D,$A$4,'ON Data'!$E:$E,12),SUMIFS('ON Data'!AB:AB,'ON Data'!$E:$E,12))</f>
        <v>0</v>
      </c>
      <c r="X21" s="269">
        <f xml:space="preserve">
IF($A$4&lt;=12,SUMIFS('ON Data'!AC:AC,'ON Data'!$D:$D,$A$4,'ON Data'!$E:$E,12),SUMIFS('ON Data'!AC:AC,'ON Data'!$E:$E,12))</f>
        <v>0</v>
      </c>
      <c r="Y21" s="269">
        <f xml:space="preserve">
IF($A$4&lt;=12,SUMIFS('ON Data'!AD:AD,'ON Data'!$D:$D,$A$4,'ON Data'!$E:$E,12),SUMIFS('ON Data'!AD:AD,'ON Data'!$E:$E,12))</f>
        <v>0</v>
      </c>
      <c r="Z21" s="269">
        <f xml:space="preserve">
IF($A$4&lt;=12,SUMIFS('ON Data'!AE:AE,'ON Data'!$D:$D,$A$4,'ON Data'!$E:$E,12),SUMIFS('ON Data'!AE:AE,'ON Data'!$E:$E,12))</f>
        <v>0</v>
      </c>
      <c r="AA21" s="269">
        <f xml:space="preserve">
IF($A$4&lt;=12,SUMIFS('ON Data'!AF:AF,'ON Data'!$D:$D,$A$4,'ON Data'!$E:$E,12),SUMIFS('ON Data'!AF:AF,'ON Data'!$E:$E,12))</f>
        <v>0</v>
      </c>
      <c r="AB21" s="269">
        <f xml:space="preserve">
IF($A$4&lt;=12,SUMIFS('ON Data'!AG:AG,'ON Data'!$D:$D,$A$4,'ON Data'!$E:$E,12),SUMIFS('ON Data'!AG:AG,'ON Data'!$E:$E,12))</f>
        <v>0</v>
      </c>
      <c r="AC21" s="269">
        <f xml:space="preserve">
IF($A$4&lt;=12,SUMIFS('ON Data'!AH:AH,'ON Data'!$D:$D,$A$4,'ON Data'!$E:$E,12),SUMIFS('ON Data'!AH:AH,'ON Data'!$E:$E,12))</f>
        <v>0</v>
      </c>
      <c r="AD21" s="269">
        <f xml:space="preserve">
IF($A$4&lt;=12,SUMIFS('ON Data'!AI:AI,'ON Data'!$D:$D,$A$4,'ON Data'!$E:$E,12),SUMIFS('ON Data'!AI:AI,'ON Data'!$E:$E,12))</f>
        <v>0</v>
      </c>
      <c r="AE21" s="269">
        <f xml:space="preserve">
IF($A$4&lt;=12,SUMIFS('ON Data'!AJ:AJ,'ON Data'!$D:$D,$A$4,'ON Data'!$E:$E,12),SUMIFS('ON Data'!AJ:AJ,'ON Data'!$E:$E,12))</f>
        <v>0</v>
      </c>
      <c r="AF21" s="269">
        <f xml:space="preserve">
IF($A$4&lt;=12,SUMIFS('ON Data'!AK:AK,'ON Data'!$D:$D,$A$4,'ON Data'!$E:$E,12),SUMIFS('ON Data'!AK:AK,'ON Data'!$E:$E,12))</f>
        <v>0</v>
      </c>
      <c r="AG21" s="269">
        <f xml:space="preserve">
IF($A$4&lt;=12,SUMIFS('ON Data'!AL:AL,'ON Data'!$D:$D,$A$4,'ON Data'!$E:$E,12),SUMIFS('ON Data'!AL:AL,'ON Data'!$E:$E,12))</f>
        <v>0</v>
      </c>
      <c r="AH21" s="601">
        <f xml:space="preserve">
IF($A$4&lt;=12,SUMIFS('ON Data'!AN:AN,'ON Data'!$D:$D,$A$4,'ON Data'!$E:$E,12),SUMIFS('ON Data'!AN:AN,'ON Data'!$E:$E,12))</f>
        <v>0</v>
      </c>
      <c r="AI21" s="611"/>
    </row>
    <row r="22" spans="1:35" ht="15" hidden="1" outlineLevel="1" thickBot="1" x14ac:dyDescent="0.35">
      <c r="A22" s="247" t="s">
        <v>75</v>
      </c>
      <c r="B22" s="323" t="str">
        <f xml:space="preserve">
IF(OR(B21="",B21=0),"",B20/B21)</f>
        <v/>
      </c>
      <c r="C22" s="324" t="str">
        <f t="shared" ref="C22:G22" si="2" xml:space="preserve">
IF(OR(C21="",C21=0),"",C20/C21)</f>
        <v/>
      </c>
      <c r="D22" s="325" t="str">
        <f t="shared" si="2"/>
        <v/>
      </c>
      <c r="E22" s="325" t="str">
        <f t="shared" si="2"/>
        <v/>
      </c>
      <c r="F22" s="325" t="str">
        <f t="shared" si="2"/>
        <v/>
      </c>
      <c r="G22" s="325" t="str">
        <f t="shared" si="2"/>
        <v/>
      </c>
      <c r="H22" s="325" t="str">
        <f t="shared" ref="H22:AH22" si="3" xml:space="preserve">
IF(OR(H21="",H21=0),"",H20/H21)</f>
        <v/>
      </c>
      <c r="I22" s="325" t="str">
        <f t="shared" si="3"/>
        <v/>
      </c>
      <c r="J22" s="325" t="str">
        <f t="shared" si="3"/>
        <v/>
      </c>
      <c r="K22" s="325" t="str">
        <f t="shared" si="3"/>
        <v/>
      </c>
      <c r="L22" s="325" t="str">
        <f t="shared" si="3"/>
        <v/>
      </c>
      <c r="M22" s="325" t="str">
        <f t="shared" si="3"/>
        <v/>
      </c>
      <c r="N22" s="325" t="str">
        <f t="shared" si="3"/>
        <v/>
      </c>
      <c r="O22" s="325" t="str">
        <f t="shared" si="3"/>
        <v/>
      </c>
      <c r="P22" s="325" t="str">
        <f t="shared" si="3"/>
        <v/>
      </c>
      <c r="Q22" s="325" t="str">
        <f t="shared" si="3"/>
        <v/>
      </c>
      <c r="R22" s="325" t="str">
        <f t="shared" si="3"/>
        <v/>
      </c>
      <c r="S22" s="325" t="str">
        <f t="shared" si="3"/>
        <v/>
      </c>
      <c r="T22" s="325" t="str">
        <f t="shared" si="3"/>
        <v/>
      </c>
      <c r="U22" s="325" t="str">
        <f t="shared" si="3"/>
        <v/>
      </c>
      <c r="V22" s="325" t="str">
        <f t="shared" si="3"/>
        <v/>
      </c>
      <c r="W22" s="325" t="str">
        <f t="shared" si="3"/>
        <v/>
      </c>
      <c r="X22" s="325" t="str">
        <f t="shared" si="3"/>
        <v/>
      </c>
      <c r="Y22" s="325" t="str">
        <f t="shared" si="3"/>
        <v/>
      </c>
      <c r="Z22" s="325" t="str">
        <f t="shared" si="3"/>
        <v/>
      </c>
      <c r="AA22" s="325" t="str">
        <f t="shared" si="3"/>
        <v/>
      </c>
      <c r="AB22" s="325" t="str">
        <f t="shared" si="3"/>
        <v/>
      </c>
      <c r="AC22" s="325" t="str">
        <f t="shared" si="3"/>
        <v/>
      </c>
      <c r="AD22" s="325" t="str">
        <f t="shared" si="3"/>
        <v/>
      </c>
      <c r="AE22" s="325" t="str">
        <f t="shared" si="3"/>
        <v/>
      </c>
      <c r="AF22" s="325" t="str">
        <f t="shared" si="3"/>
        <v/>
      </c>
      <c r="AG22" s="325" t="str">
        <f t="shared" si="3"/>
        <v/>
      </c>
      <c r="AH22" s="606" t="str">
        <f t="shared" si="3"/>
        <v/>
      </c>
      <c r="AI22" s="611"/>
    </row>
    <row r="23" spans="1:35" ht="15" hidden="1" outlineLevel="1" thickBot="1" x14ac:dyDescent="0.35">
      <c r="A23" s="255" t="s">
        <v>68</v>
      </c>
      <c r="B23" s="270">
        <f xml:space="preserve">
IF(B21="","",B20-B21)</f>
        <v>2445442</v>
      </c>
      <c r="C23" s="271">
        <f t="shared" ref="C23:G23" si="4" xml:space="preserve">
IF(C21="","",C20-C21)</f>
        <v>0</v>
      </c>
      <c r="D23" s="272">
        <f t="shared" si="4"/>
        <v>1751391</v>
      </c>
      <c r="E23" s="272">
        <f t="shared" si="4"/>
        <v>0</v>
      </c>
      <c r="F23" s="272">
        <f t="shared" si="4"/>
        <v>561582</v>
      </c>
      <c r="G23" s="272">
        <f t="shared" si="4"/>
        <v>0</v>
      </c>
      <c r="H23" s="272">
        <f t="shared" ref="H23:AH23" si="5" xml:space="preserve">
IF(H21="","",H20-H21)</f>
        <v>0</v>
      </c>
      <c r="I23" s="272">
        <f t="shared" si="5"/>
        <v>0</v>
      </c>
      <c r="J23" s="272">
        <f t="shared" si="5"/>
        <v>0</v>
      </c>
      <c r="K23" s="272">
        <f t="shared" si="5"/>
        <v>0</v>
      </c>
      <c r="L23" s="272">
        <f t="shared" si="5"/>
        <v>0</v>
      </c>
      <c r="M23" s="272">
        <f t="shared" si="5"/>
        <v>0</v>
      </c>
      <c r="N23" s="272">
        <f t="shared" si="5"/>
        <v>0</v>
      </c>
      <c r="O23" s="272">
        <f t="shared" si="5"/>
        <v>0</v>
      </c>
      <c r="P23" s="272">
        <f t="shared" si="5"/>
        <v>0</v>
      </c>
      <c r="Q23" s="272">
        <f t="shared" si="5"/>
        <v>0</v>
      </c>
      <c r="R23" s="272">
        <f t="shared" si="5"/>
        <v>0</v>
      </c>
      <c r="S23" s="272">
        <f t="shared" si="5"/>
        <v>0</v>
      </c>
      <c r="T23" s="272">
        <f t="shared" si="5"/>
        <v>0</v>
      </c>
      <c r="U23" s="272">
        <f t="shared" si="5"/>
        <v>0</v>
      </c>
      <c r="V23" s="272">
        <f t="shared" si="5"/>
        <v>0</v>
      </c>
      <c r="W23" s="272">
        <f t="shared" si="5"/>
        <v>0</v>
      </c>
      <c r="X23" s="272">
        <f t="shared" si="5"/>
        <v>0</v>
      </c>
      <c r="Y23" s="272">
        <f t="shared" si="5"/>
        <v>0</v>
      </c>
      <c r="Z23" s="272">
        <f t="shared" si="5"/>
        <v>0</v>
      </c>
      <c r="AA23" s="272">
        <f t="shared" si="5"/>
        <v>0</v>
      </c>
      <c r="AB23" s="272">
        <f t="shared" si="5"/>
        <v>0</v>
      </c>
      <c r="AC23" s="272">
        <f t="shared" si="5"/>
        <v>0</v>
      </c>
      <c r="AD23" s="272">
        <f t="shared" si="5"/>
        <v>623</v>
      </c>
      <c r="AE23" s="272">
        <f t="shared" si="5"/>
        <v>0</v>
      </c>
      <c r="AF23" s="272">
        <f t="shared" si="5"/>
        <v>0</v>
      </c>
      <c r="AG23" s="272">
        <f t="shared" si="5"/>
        <v>0</v>
      </c>
      <c r="AH23" s="602">
        <f t="shared" si="5"/>
        <v>131846</v>
      </c>
      <c r="AI23" s="611"/>
    </row>
    <row r="24" spans="1:35" x14ac:dyDescent="0.3">
      <c r="A24" s="249" t="s">
        <v>203</v>
      </c>
      <c r="B24" s="296" t="s">
        <v>3</v>
      </c>
      <c r="C24" s="612" t="s">
        <v>214</v>
      </c>
      <c r="D24" s="586"/>
      <c r="E24" s="587"/>
      <c r="F24" s="587" t="s">
        <v>215</v>
      </c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  <c r="AC24" s="587"/>
      <c r="AD24" s="587"/>
      <c r="AE24" s="587"/>
      <c r="AF24" s="587"/>
      <c r="AG24" s="587"/>
      <c r="AH24" s="607" t="s">
        <v>216</v>
      </c>
      <c r="AI24" s="611"/>
    </row>
    <row r="25" spans="1:35" x14ac:dyDescent="0.3">
      <c r="A25" s="250" t="s">
        <v>73</v>
      </c>
      <c r="B25" s="267">
        <f xml:space="preserve">
SUM(C25:AH25)</f>
        <v>20400</v>
      </c>
      <c r="C25" s="613">
        <f xml:space="preserve">
IF($A$4&lt;=12,SUMIFS('ON Data'!H:H,'ON Data'!$D:$D,$A$4,'ON Data'!$E:$E,10),SUMIFS('ON Data'!H:H,'ON Data'!$E:$E,10))</f>
        <v>15000</v>
      </c>
      <c r="D25" s="588"/>
      <c r="E25" s="589"/>
      <c r="F25" s="589">
        <f xml:space="preserve">
IF($A$4&lt;=12,SUMIFS('ON Data'!K:K,'ON Data'!$D:$D,$A$4,'ON Data'!$E:$E,10),SUMIFS('ON Data'!K:K,'ON Data'!$E:$E,10))</f>
        <v>5400</v>
      </c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  <c r="AC25" s="589"/>
      <c r="AD25" s="589"/>
      <c r="AE25" s="589"/>
      <c r="AF25" s="589"/>
      <c r="AG25" s="589"/>
      <c r="AH25" s="608">
        <f xml:space="preserve">
IF($A$4&lt;=12,SUMIFS('ON Data'!AN:AN,'ON Data'!$D:$D,$A$4,'ON Data'!$E:$E,10),SUMIFS('ON Data'!AN:AN,'ON Data'!$E:$E,10))</f>
        <v>0</v>
      </c>
      <c r="AI25" s="611"/>
    </row>
    <row r="26" spans="1:35" x14ac:dyDescent="0.3">
      <c r="A26" s="256" t="s">
        <v>213</v>
      </c>
      <c r="B26" s="276">
        <f xml:space="preserve">
SUM(C26:AH26)</f>
        <v>14585.055840069106</v>
      </c>
      <c r="C26" s="613">
        <f xml:space="preserve">
IF($A$4&lt;=12,SUMIFS('ON Data'!H:H,'ON Data'!$D:$D,$A$4,'ON Data'!$E:$E,11),SUMIFS('ON Data'!H:H,'ON Data'!$E:$E,11))</f>
        <v>7918.3891734024392</v>
      </c>
      <c r="D26" s="588"/>
      <c r="E26" s="589"/>
      <c r="F26" s="590">
        <f xml:space="preserve">
IF($A$4&lt;=12,SUMIFS('ON Data'!K:K,'ON Data'!$D:$D,$A$4,'ON Data'!$E:$E,11),SUMIFS('ON Data'!K:K,'ON Data'!$E:$E,11))</f>
        <v>6666.666666666667</v>
      </c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608">
        <f xml:space="preserve">
IF($A$4&lt;=12,SUMIFS('ON Data'!AN:AN,'ON Data'!$D:$D,$A$4,'ON Data'!$E:$E,11),SUMIFS('ON Data'!AN:AN,'ON Data'!$E:$E,11))</f>
        <v>0</v>
      </c>
      <c r="AI26" s="611"/>
    </row>
    <row r="27" spans="1:35" x14ac:dyDescent="0.3">
      <c r="A27" s="256" t="s">
        <v>75</v>
      </c>
      <c r="B27" s="297">
        <f xml:space="preserve">
IF(B26=0,0,B25/B26)</f>
        <v>1.3986919367120738</v>
      </c>
      <c r="C27" s="614">
        <f xml:space="preserve">
IF(C26=0,0,C25/C26)</f>
        <v>1.8943246753246754</v>
      </c>
      <c r="D27" s="591"/>
      <c r="E27" s="592"/>
      <c r="F27" s="592">
        <f xml:space="preserve">
IF(F26=0,0,F25/F26)</f>
        <v>0.80999999999999994</v>
      </c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  <c r="AC27" s="592"/>
      <c r="AD27" s="592"/>
      <c r="AE27" s="592"/>
      <c r="AF27" s="592"/>
      <c r="AG27" s="592"/>
      <c r="AH27" s="609">
        <f xml:space="preserve">
IF(AH26=0,0,AH25/AH26)</f>
        <v>0</v>
      </c>
      <c r="AI27" s="611"/>
    </row>
    <row r="28" spans="1:35" ht="15" thickBot="1" x14ac:dyDescent="0.35">
      <c r="A28" s="256" t="s">
        <v>212</v>
      </c>
      <c r="B28" s="276">
        <f xml:space="preserve">
SUM(C28:AH28)</f>
        <v>-5814.9441599308939</v>
      </c>
      <c r="C28" s="615">
        <f xml:space="preserve">
C26-C25</f>
        <v>-7081.6108265975608</v>
      </c>
      <c r="D28" s="593"/>
      <c r="E28" s="594"/>
      <c r="F28" s="594">
        <f xml:space="preserve">
F26-F25</f>
        <v>1266.666666666667</v>
      </c>
      <c r="G28" s="594"/>
      <c r="H28" s="594"/>
      <c r="I28" s="594"/>
      <c r="J28" s="594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610">
        <f xml:space="preserve">
AH26-AH25</f>
        <v>0</v>
      </c>
      <c r="AI28" s="611"/>
    </row>
    <row r="29" spans="1:35" x14ac:dyDescent="0.3">
      <c r="A29" s="257"/>
      <c r="B29" s="257"/>
      <c r="C29" s="258"/>
      <c r="D29" s="257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7"/>
      <c r="AG29" s="257"/>
      <c r="AH29" s="257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3" t="s">
        <v>207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</row>
    <row r="33" spans="1:1" x14ac:dyDescent="0.3">
      <c r="A33" s="295" t="s">
        <v>217</v>
      </c>
    </row>
    <row r="34" spans="1:1" x14ac:dyDescent="0.3">
      <c r="A34" s="295" t="s">
        <v>218</v>
      </c>
    </row>
    <row r="35" spans="1:1" x14ac:dyDescent="0.3">
      <c r="A35" s="295" t="s">
        <v>219</v>
      </c>
    </row>
    <row r="36" spans="1:1" x14ac:dyDescent="0.3">
      <c r="A36" s="295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40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4789.3347707097446</v>
      </c>
      <c r="D4" s="164">
        <f ca="1">IF(ISERROR(VLOOKUP("Náklady celkem",INDIRECT("HI!$A:$G"),5,0)),0,VLOOKUP("Náklady celkem",INDIRECT("HI!$A:$G"),5,0))</f>
        <v>4398.3708800000031</v>
      </c>
      <c r="E4" s="165">
        <f ca="1">IF(C4=0,0,D4/C4)</f>
        <v>0.91836780901164616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62.548055602295662</v>
      </c>
      <c r="D7" s="172">
        <f>IF(ISERROR(HI!E5),"",HI!E5)</f>
        <v>53.241059999999997</v>
      </c>
      <c r="E7" s="169">
        <f t="shared" ref="E7:E15" si="0">IF(C7=0,0,D7/C7)</f>
        <v>0.85120247923495684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149</v>
      </c>
      <c r="C8" s="174">
        <v>0.9</v>
      </c>
      <c r="D8" s="174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317" t="str">
        <f>HYPERLINK("#'LŽ Statim'!A1","% podíl statimových žádanek")</f>
        <v>% podíl statimových žádanek</v>
      </c>
      <c r="B9" s="315" t="s">
        <v>259</v>
      </c>
      <c r="C9" s="316">
        <v>0.3</v>
      </c>
      <c r="D9" s="316">
        <f>IF('LŽ Statim'!G3="",0,'LŽ Statim'!G3)</f>
        <v>2.7397260273972601E-2</v>
      </c>
      <c r="E9" s="169">
        <f>IF(C9=0,0,D9/C9)</f>
        <v>9.1324200913242004E-2</v>
      </c>
    </row>
    <row r="10" spans="1:5" ht="14.4" customHeight="1" x14ac:dyDescent="0.3">
      <c r="A10" s="175" t="s">
        <v>158</v>
      </c>
      <c r="B10" s="171"/>
      <c r="C10" s="172"/>
      <c r="D10" s="172"/>
      <c r="E10" s="169"/>
    </row>
    <row r="11" spans="1:5" ht="14.4" customHeight="1" x14ac:dyDescent="0.3">
      <c r="A11" s="173" t="str">
        <f>HYPERLINK("#'Léky Recepty'!A1","% záchytu v lékárně (Úhrada Kč)")</f>
        <v>% záchytu v lékárně (Úhrada Kč)</v>
      </c>
      <c r="B11" s="171" t="s">
        <v>117</v>
      </c>
      <c r="C11" s="174">
        <v>0.6</v>
      </c>
      <c r="D11" s="174">
        <f>IF(ISERROR(VLOOKUP("Celkem",'Léky Recepty'!B:H,5,0)),0,VLOOKUP("Celkem",'Léky Recepty'!B:H,5,0))</f>
        <v>0.7412501105872662</v>
      </c>
      <c r="E11" s="169">
        <f t="shared" si="0"/>
        <v>1.2354168509787771</v>
      </c>
    </row>
    <row r="12" spans="1:5" ht="14.4" customHeight="1" x14ac:dyDescent="0.3">
      <c r="A12" s="173" t="str">
        <f>HYPERLINK("#'LRp PL'!A1","% plnění pozitivního listu")</f>
        <v>% plnění pozitivního listu</v>
      </c>
      <c r="B12" s="171" t="s">
        <v>150</v>
      </c>
      <c r="C12" s="174">
        <v>0.8</v>
      </c>
      <c r="D12" s="174">
        <f>IF(ISERROR(VLOOKUP("Celkem",'LRp PL'!A:F,5,0)),0,VLOOKUP("Celkem",'LRp PL'!A:F,5,0))</f>
        <v>0.99504737275660127</v>
      </c>
      <c r="E12" s="169">
        <f t="shared" si="0"/>
        <v>1.2438092159457514</v>
      </c>
    </row>
    <row r="13" spans="1:5" ht="14.4" customHeight="1" x14ac:dyDescent="0.3">
      <c r="A13" s="175" t="s">
        <v>159</v>
      </c>
      <c r="B13" s="171"/>
      <c r="C13" s="172"/>
      <c r="D13" s="172"/>
      <c r="E13" s="169"/>
    </row>
    <row r="14" spans="1:5" ht="14.4" customHeight="1" x14ac:dyDescent="0.3">
      <c r="A14" s="176" t="s">
        <v>163</v>
      </c>
      <c r="B14" s="171"/>
      <c r="C14" s="168"/>
      <c r="D14" s="168"/>
      <c r="E14" s="169"/>
    </row>
    <row r="15" spans="1:5" ht="14.4" customHeight="1" x14ac:dyDescent="0.3">
      <c r="A15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708.86805596244869</v>
      </c>
      <c r="D15" s="172">
        <f>IF(ISERROR(HI!E6),"",HI!E6)</f>
        <v>405.15715999999998</v>
      </c>
      <c r="E15" s="169">
        <f t="shared" si="0"/>
        <v>0.57155511042165319</v>
      </c>
    </row>
    <row r="16" spans="1:5" ht="14.4" customHeight="1" thickBot="1" x14ac:dyDescent="0.35">
      <c r="A16" s="178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3382.6665601208638</v>
      </c>
      <c r="D16" s="168">
        <f ca="1">IF(ISERROR(VLOOKUP("Osobní náklady (Kč) *",INDIRECT("HI!$A:$G"),5,0)),0,VLOOKUP("Osobní náklady (Kč) *",INDIRECT("HI!$A:$G"),5,0))</f>
        <v>3301.338700000003</v>
      </c>
      <c r="E16" s="169">
        <f ca="1">IF(C16=0,0,D16/C16)</f>
        <v>0.97595747062992966</v>
      </c>
    </row>
    <row r="17" spans="1:5" ht="14.4" customHeight="1" thickBot="1" x14ac:dyDescent="0.35">
      <c r="A17" s="182"/>
      <c r="B17" s="183"/>
      <c r="C17" s="184"/>
      <c r="D17" s="184"/>
      <c r="E17" s="185"/>
    </row>
    <row r="18" spans="1:5" ht="14.4" customHeight="1" thickBot="1" x14ac:dyDescent="0.35">
      <c r="A18" s="186" t="str">
        <f>HYPERLINK("#HI!A1","VÝNOSY CELKEM (v tisících)")</f>
        <v>VÝNOSY CELKEM (v tisících)</v>
      </c>
      <c r="B18" s="187"/>
      <c r="C18" s="188">
        <f ca="1">IF(ISERROR(VLOOKUP("Výnosy celkem",INDIRECT("HI!$A:$G"),6,0)),0,VLOOKUP("Výnosy celkem",INDIRECT("HI!$A:$G"),6,0))</f>
        <v>1220.758</v>
      </c>
      <c r="D18" s="188">
        <f ca="1">IF(ISERROR(VLOOKUP("Výnosy celkem",INDIRECT("HI!$A:$G"),5,0)),0,VLOOKUP("Výnosy celkem",INDIRECT("HI!$A:$G"),5,0))</f>
        <v>1450.0956799999999</v>
      </c>
      <c r="E18" s="189">
        <f t="shared" ref="E18:E23" ca="1" si="1">IF(C18=0,0,D18/C18)</f>
        <v>1.1878649822487339</v>
      </c>
    </row>
    <row r="19" spans="1:5" ht="14.4" customHeight="1" x14ac:dyDescent="0.3">
      <c r="A19" s="190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1220.758</v>
      </c>
      <c r="D19" s="168">
        <f ca="1">IF(ISERROR(VLOOKUP("Ambulance *",INDIRECT("HI!$A:$G"),5,0)),0,VLOOKUP("Ambulance *",INDIRECT("HI!$A:$G"),5,0))</f>
        <v>1450.0956799999999</v>
      </c>
      <c r="E19" s="169">
        <f t="shared" ca="1" si="1"/>
        <v>1.1878649822487339</v>
      </c>
    </row>
    <row r="20" spans="1:5" ht="14.4" customHeight="1" x14ac:dyDescent="0.3">
      <c r="A20" s="191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4">
        <v>1</v>
      </c>
      <c r="D20" s="174">
        <f>IF(ISERROR(VLOOKUP("Celkem:",'ZV Vykáz.-A'!$A:$S,7,0)),"",VLOOKUP("Celkem:",'ZV Vykáz.-A'!$A:$S,7,0))</f>
        <v>1.1878649822487339</v>
      </c>
      <c r="E20" s="169">
        <f t="shared" si="1"/>
        <v>1.1878649822487339</v>
      </c>
    </row>
    <row r="21" spans="1:5" ht="14.4" customHeight="1" x14ac:dyDescent="0.3">
      <c r="A21" s="191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4">
        <v>0.85</v>
      </c>
      <c r="D21" s="174">
        <f>IF(ISERROR(VLOOKUP("Celkem:",'ZV Vykáz.-H'!$A:$S,7,0)),"",VLOOKUP("Celkem:",'ZV Vykáz.-H'!$A:$S,7,0))</f>
        <v>1.8829180283953926</v>
      </c>
      <c r="E21" s="169">
        <f t="shared" si="1"/>
        <v>2.2151976804651676</v>
      </c>
    </row>
    <row r="22" spans="1:5" ht="14.4" customHeight="1" x14ac:dyDescent="0.3">
      <c r="A22" s="192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4" t="e">
        <f>IF(#REF!&gt;1,95%,95%-2*ABS(#REF!-#REF!))</f>
        <v>#REF!</v>
      </c>
      <c r="D23" s="174">
        <f>IF(ISERROR(VLOOKUP("Celkem:",'ZV Vyžád.'!$A:$M,7,0)),"",VLOOKUP("Celkem:",'ZV Vyžád.'!$A:$M,7,0))</f>
        <v>2.7937693022697972E-2</v>
      </c>
      <c r="E23" s="169" t="e">
        <f t="shared" si="1"/>
        <v>#REF!</v>
      </c>
    </row>
    <row r="24" spans="1:5" ht="14.4" customHeight="1" thickBot="1" x14ac:dyDescent="0.35">
      <c r="A24" s="194" t="s">
        <v>160</v>
      </c>
      <c r="B24" s="179"/>
      <c r="C24" s="180"/>
      <c r="D24" s="180"/>
      <c r="E24" s="181"/>
    </row>
    <row r="25" spans="1:5" ht="14.4" customHeight="1" thickBot="1" x14ac:dyDescent="0.35">
      <c r="A25" s="195"/>
      <c r="B25" s="196"/>
      <c r="C25" s="197"/>
      <c r="D25" s="197"/>
      <c r="E25" s="198"/>
    </row>
    <row r="26" spans="1:5" ht="14.4" customHeight="1" thickBot="1" x14ac:dyDescent="0.35">
      <c r="A26" s="199" t="s">
        <v>161</v>
      </c>
      <c r="B26" s="200"/>
      <c r="C26" s="201"/>
      <c r="D26" s="201"/>
      <c r="E26" s="202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2"/>
  <sheetViews>
    <sheetView showGridLines="0" showRowColHeaders="0" workbookViewId="0"/>
  </sheetViews>
  <sheetFormatPr defaultRowHeight="14.4" x14ac:dyDescent="0.3"/>
  <cols>
    <col min="1" max="16384" width="8.88671875" style="236"/>
  </cols>
  <sheetData>
    <row r="1" spans="1:41" x14ac:dyDescent="0.3">
      <c r="A1" s="236" t="s">
        <v>1453</v>
      </c>
    </row>
    <row r="2" spans="1:41" x14ac:dyDescent="0.3">
      <c r="A2" s="240" t="s">
        <v>286</v>
      </c>
    </row>
    <row r="3" spans="1:41" x14ac:dyDescent="0.3">
      <c r="A3" s="236" t="s">
        <v>177</v>
      </c>
      <c r="B3" s="261">
        <v>2015</v>
      </c>
      <c r="D3" s="237">
        <f>MAX(D5:D1048576)</f>
        <v>4</v>
      </c>
      <c r="F3" s="237">
        <f>SUMIF($E5:$E1048576,"&lt;10",F5:F1048576)</f>
        <v>2528464.2999999998</v>
      </c>
      <c r="G3" s="237">
        <f t="shared" ref="G3:AO3" si="0">SUMIF($E5:$E1048576,"&lt;10",G5:G1048576)</f>
        <v>0</v>
      </c>
      <c r="H3" s="237">
        <f t="shared" si="0"/>
        <v>1817131.3</v>
      </c>
      <c r="I3" s="237">
        <f t="shared" si="0"/>
        <v>0</v>
      </c>
      <c r="J3" s="237">
        <f t="shared" si="0"/>
        <v>0</v>
      </c>
      <c r="K3" s="237">
        <f t="shared" si="0"/>
        <v>575746</v>
      </c>
      <c r="L3" s="237">
        <f t="shared" si="0"/>
        <v>0</v>
      </c>
      <c r="M3" s="237">
        <f t="shared" si="0"/>
        <v>0</v>
      </c>
      <c r="N3" s="237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7">
        <f t="shared" si="0"/>
        <v>0</v>
      </c>
      <c r="T3" s="237">
        <f t="shared" si="0"/>
        <v>0</v>
      </c>
      <c r="U3" s="237">
        <f t="shared" si="0"/>
        <v>0</v>
      </c>
      <c r="V3" s="237">
        <f t="shared" si="0"/>
        <v>0</v>
      </c>
      <c r="W3" s="237">
        <f t="shared" si="0"/>
        <v>0</v>
      </c>
      <c r="X3" s="237">
        <f t="shared" si="0"/>
        <v>0</v>
      </c>
      <c r="Y3" s="237">
        <f t="shared" si="0"/>
        <v>0</v>
      </c>
      <c r="Z3" s="237">
        <f t="shared" si="0"/>
        <v>0</v>
      </c>
      <c r="AA3" s="237">
        <f t="shared" si="0"/>
        <v>0</v>
      </c>
      <c r="AB3" s="237">
        <f t="shared" si="0"/>
        <v>0</v>
      </c>
      <c r="AC3" s="237">
        <f t="shared" si="0"/>
        <v>0</v>
      </c>
      <c r="AD3" s="237">
        <f t="shared" si="0"/>
        <v>0</v>
      </c>
      <c r="AE3" s="237">
        <f t="shared" si="0"/>
        <v>0</v>
      </c>
      <c r="AF3" s="237">
        <f t="shared" si="0"/>
        <v>0</v>
      </c>
      <c r="AG3" s="237">
        <f t="shared" si="0"/>
        <v>0</v>
      </c>
      <c r="AH3" s="237">
        <f t="shared" si="0"/>
        <v>0</v>
      </c>
      <c r="AI3" s="237">
        <f t="shared" si="0"/>
        <v>623</v>
      </c>
      <c r="AJ3" s="237">
        <f t="shared" si="0"/>
        <v>0</v>
      </c>
      <c r="AK3" s="237">
        <f t="shared" si="0"/>
        <v>0</v>
      </c>
      <c r="AL3" s="237">
        <f t="shared" si="0"/>
        <v>0</v>
      </c>
      <c r="AM3" s="237">
        <f t="shared" si="0"/>
        <v>0</v>
      </c>
      <c r="AN3" s="237">
        <f t="shared" si="0"/>
        <v>134964</v>
      </c>
      <c r="AO3" s="237">
        <f t="shared" si="0"/>
        <v>0</v>
      </c>
    </row>
    <row r="4" spans="1:41" x14ac:dyDescent="0.3">
      <c r="A4" s="236" t="s">
        <v>178</v>
      </c>
      <c r="B4" s="261">
        <v>1</v>
      </c>
      <c r="C4" s="238" t="s">
        <v>5</v>
      </c>
      <c r="D4" s="239" t="s">
        <v>67</v>
      </c>
      <c r="E4" s="239" t="s">
        <v>172</v>
      </c>
      <c r="F4" s="239" t="s">
        <v>3</v>
      </c>
      <c r="G4" s="239" t="s">
        <v>173</v>
      </c>
      <c r="H4" s="239" t="s">
        <v>174</v>
      </c>
      <c r="I4" s="239" t="s">
        <v>175</v>
      </c>
      <c r="J4" s="239" t="s">
        <v>176</v>
      </c>
      <c r="K4" s="239">
        <v>305</v>
      </c>
      <c r="L4" s="239">
        <v>306</v>
      </c>
      <c r="M4" s="239">
        <v>407</v>
      </c>
      <c r="N4" s="239">
        <v>408</v>
      </c>
      <c r="O4" s="239">
        <v>409</v>
      </c>
      <c r="P4" s="239">
        <v>410</v>
      </c>
      <c r="Q4" s="239">
        <v>415</v>
      </c>
      <c r="R4" s="239">
        <v>416</v>
      </c>
      <c r="S4" s="239">
        <v>418</v>
      </c>
      <c r="T4" s="239">
        <v>419</v>
      </c>
      <c r="U4" s="239">
        <v>420</v>
      </c>
      <c r="V4" s="239">
        <v>421</v>
      </c>
      <c r="W4" s="239">
        <v>522</v>
      </c>
      <c r="X4" s="239">
        <v>523</v>
      </c>
      <c r="Y4" s="239">
        <v>524</v>
      </c>
      <c r="Z4" s="239">
        <v>525</v>
      </c>
      <c r="AA4" s="239">
        <v>526</v>
      </c>
      <c r="AB4" s="239">
        <v>527</v>
      </c>
      <c r="AC4" s="239">
        <v>528</v>
      </c>
      <c r="AD4" s="239">
        <v>629</v>
      </c>
      <c r="AE4" s="239">
        <v>630</v>
      </c>
      <c r="AF4" s="239">
        <v>636</v>
      </c>
      <c r="AG4" s="239">
        <v>637</v>
      </c>
      <c r="AH4" s="239">
        <v>640</v>
      </c>
      <c r="AI4" s="239">
        <v>642</v>
      </c>
      <c r="AJ4" s="239">
        <v>743</v>
      </c>
      <c r="AK4" s="239">
        <v>745</v>
      </c>
      <c r="AL4" s="239">
        <v>746</v>
      </c>
      <c r="AM4" s="239">
        <v>747</v>
      </c>
      <c r="AN4" s="239">
        <v>930</v>
      </c>
      <c r="AO4" s="239">
        <v>940</v>
      </c>
    </row>
    <row r="5" spans="1:41" x14ac:dyDescent="0.3">
      <c r="A5" s="236" t="s">
        <v>179</v>
      </c>
      <c r="B5" s="261">
        <v>2</v>
      </c>
      <c r="C5" s="236">
        <v>29</v>
      </c>
      <c r="D5" s="236">
        <v>1</v>
      </c>
      <c r="E5" s="236">
        <v>1</v>
      </c>
      <c r="F5" s="236">
        <v>12.95</v>
      </c>
      <c r="G5" s="236">
        <v>0</v>
      </c>
      <c r="H5" s="236">
        <v>6.45</v>
      </c>
      <c r="I5" s="236">
        <v>0</v>
      </c>
      <c r="J5" s="236">
        <v>0</v>
      </c>
      <c r="K5" s="236">
        <v>5</v>
      </c>
      <c r="L5" s="236">
        <v>0</v>
      </c>
      <c r="M5" s="236">
        <v>0</v>
      </c>
      <c r="N5" s="236">
        <v>0</v>
      </c>
      <c r="O5" s="236">
        <v>0</v>
      </c>
      <c r="P5" s="236">
        <v>0</v>
      </c>
      <c r="Q5" s="236">
        <v>0</v>
      </c>
      <c r="R5" s="236">
        <v>0</v>
      </c>
      <c r="S5" s="236">
        <v>0</v>
      </c>
      <c r="T5" s="236">
        <v>0</v>
      </c>
      <c r="U5" s="236">
        <v>0</v>
      </c>
      <c r="V5" s="236">
        <v>0</v>
      </c>
      <c r="W5" s="236">
        <v>0</v>
      </c>
      <c r="X5" s="236">
        <v>0</v>
      </c>
      <c r="Y5" s="236">
        <v>0</v>
      </c>
      <c r="Z5" s="236">
        <v>0</v>
      </c>
      <c r="AA5" s="236">
        <v>0</v>
      </c>
      <c r="AB5" s="236">
        <v>0</v>
      </c>
      <c r="AC5" s="236">
        <v>0</v>
      </c>
      <c r="AD5" s="236">
        <v>0</v>
      </c>
      <c r="AE5" s="236">
        <v>0</v>
      </c>
      <c r="AF5" s="236">
        <v>0</v>
      </c>
      <c r="AG5" s="236">
        <v>0</v>
      </c>
      <c r="AH5" s="236">
        <v>0</v>
      </c>
      <c r="AI5" s="236">
        <v>0</v>
      </c>
      <c r="AJ5" s="236">
        <v>0</v>
      </c>
      <c r="AK5" s="236">
        <v>0</v>
      </c>
      <c r="AL5" s="236">
        <v>0</v>
      </c>
      <c r="AM5" s="236">
        <v>0</v>
      </c>
      <c r="AN5" s="236">
        <v>1.5</v>
      </c>
      <c r="AO5" s="236">
        <v>0</v>
      </c>
    </row>
    <row r="6" spans="1:41" x14ac:dyDescent="0.3">
      <c r="A6" s="236" t="s">
        <v>180</v>
      </c>
      <c r="B6" s="261">
        <v>3</v>
      </c>
      <c r="C6" s="236">
        <v>29</v>
      </c>
      <c r="D6" s="236">
        <v>1</v>
      </c>
      <c r="E6" s="236">
        <v>2</v>
      </c>
      <c r="F6" s="236">
        <v>2120</v>
      </c>
      <c r="G6" s="236">
        <v>0</v>
      </c>
      <c r="H6" s="236">
        <v>1064</v>
      </c>
      <c r="I6" s="236">
        <v>0</v>
      </c>
      <c r="J6" s="236">
        <v>0</v>
      </c>
      <c r="K6" s="236">
        <v>792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36">
        <v>0</v>
      </c>
      <c r="V6" s="236">
        <v>0</v>
      </c>
      <c r="W6" s="236">
        <v>0</v>
      </c>
      <c r="X6" s="236">
        <v>0</v>
      </c>
      <c r="Y6" s="236">
        <v>0</v>
      </c>
      <c r="Z6" s="236">
        <v>0</v>
      </c>
      <c r="AA6" s="236">
        <v>0</v>
      </c>
      <c r="AB6" s="236">
        <v>0</v>
      </c>
      <c r="AC6" s="236">
        <v>0</v>
      </c>
      <c r="AD6" s="236">
        <v>0</v>
      </c>
      <c r="AE6" s="236">
        <v>0</v>
      </c>
      <c r="AF6" s="236">
        <v>0</v>
      </c>
      <c r="AG6" s="236">
        <v>0</v>
      </c>
      <c r="AH6" s="236">
        <v>0</v>
      </c>
      <c r="AI6" s="236">
        <v>0</v>
      </c>
      <c r="AJ6" s="236">
        <v>0</v>
      </c>
      <c r="AK6" s="236">
        <v>0</v>
      </c>
      <c r="AL6" s="236">
        <v>0</v>
      </c>
      <c r="AM6" s="236">
        <v>0</v>
      </c>
      <c r="AN6" s="236">
        <v>264</v>
      </c>
      <c r="AO6" s="236">
        <v>0</v>
      </c>
    </row>
    <row r="7" spans="1:41" x14ac:dyDescent="0.3">
      <c r="A7" s="236" t="s">
        <v>181</v>
      </c>
      <c r="B7" s="261">
        <v>4</v>
      </c>
      <c r="C7" s="236">
        <v>29</v>
      </c>
      <c r="D7" s="236">
        <v>1</v>
      </c>
      <c r="E7" s="236">
        <v>3</v>
      </c>
      <c r="F7" s="236">
        <v>4</v>
      </c>
      <c r="G7" s="236">
        <v>0</v>
      </c>
      <c r="H7" s="236">
        <v>4</v>
      </c>
      <c r="I7" s="236">
        <v>0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36">
        <v>0</v>
      </c>
      <c r="V7" s="236">
        <v>0</v>
      </c>
      <c r="W7" s="236">
        <v>0</v>
      </c>
      <c r="X7" s="236">
        <v>0</v>
      </c>
      <c r="Y7" s="236">
        <v>0</v>
      </c>
      <c r="Z7" s="236">
        <v>0</v>
      </c>
      <c r="AA7" s="236">
        <v>0</v>
      </c>
      <c r="AB7" s="236">
        <v>0</v>
      </c>
      <c r="AC7" s="236">
        <v>0</v>
      </c>
      <c r="AD7" s="236">
        <v>0</v>
      </c>
      <c r="AE7" s="236">
        <v>0</v>
      </c>
      <c r="AF7" s="236">
        <v>0</v>
      </c>
      <c r="AG7" s="236">
        <v>0</v>
      </c>
      <c r="AH7" s="236">
        <v>0</v>
      </c>
      <c r="AI7" s="236">
        <v>0</v>
      </c>
      <c r="AJ7" s="236">
        <v>0</v>
      </c>
      <c r="AK7" s="236">
        <v>0</v>
      </c>
      <c r="AL7" s="236">
        <v>0</v>
      </c>
      <c r="AM7" s="236">
        <v>0</v>
      </c>
      <c r="AN7" s="236">
        <v>0</v>
      </c>
      <c r="AO7" s="236">
        <v>0</v>
      </c>
    </row>
    <row r="8" spans="1:41" x14ac:dyDescent="0.3">
      <c r="A8" s="236" t="s">
        <v>182</v>
      </c>
      <c r="B8" s="261">
        <v>5</v>
      </c>
      <c r="C8" s="236">
        <v>29</v>
      </c>
      <c r="D8" s="236">
        <v>1</v>
      </c>
      <c r="E8" s="236">
        <v>4</v>
      </c>
      <c r="F8" s="236">
        <v>89</v>
      </c>
      <c r="G8" s="236">
        <v>0</v>
      </c>
      <c r="H8" s="236">
        <v>89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36">
        <v>0</v>
      </c>
      <c r="V8" s="236">
        <v>0</v>
      </c>
      <c r="W8" s="236">
        <v>0</v>
      </c>
      <c r="X8" s="236">
        <v>0</v>
      </c>
      <c r="Y8" s="236">
        <v>0</v>
      </c>
      <c r="Z8" s="236">
        <v>0</v>
      </c>
      <c r="AA8" s="236">
        <v>0</v>
      </c>
      <c r="AB8" s="236">
        <v>0</v>
      </c>
      <c r="AC8" s="236">
        <v>0</v>
      </c>
      <c r="AD8" s="236">
        <v>0</v>
      </c>
      <c r="AE8" s="236">
        <v>0</v>
      </c>
      <c r="AF8" s="236">
        <v>0</v>
      </c>
      <c r="AG8" s="236">
        <v>0</v>
      </c>
      <c r="AH8" s="236">
        <v>0</v>
      </c>
      <c r="AI8" s="236">
        <v>0</v>
      </c>
      <c r="AJ8" s="236">
        <v>0</v>
      </c>
      <c r="AK8" s="236">
        <v>0</v>
      </c>
      <c r="AL8" s="236">
        <v>0</v>
      </c>
      <c r="AM8" s="236">
        <v>0</v>
      </c>
      <c r="AN8" s="236">
        <v>0</v>
      </c>
      <c r="AO8" s="236">
        <v>0</v>
      </c>
    </row>
    <row r="9" spans="1:41" x14ac:dyDescent="0.3">
      <c r="A9" s="236" t="s">
        <v>183</v>
      </c>
      <c r="B9" s="261">
        <v>6</v>
      </c>
      <c r="C9" s="236">
        <v>29</v>
      </c>
      <c r="D9" s="236">
        <v>1</v>
      </c>
      <c r="E9" s="236">
        <v>6</v>
      </c>
      <c r="F9" s="236">
        <v>597855</v>
      </c>
      <c r="G9" s="236">
        <v>0</v>
      </c>
      <c r="H9" s="236">
        <v>429979</v>
      </c>
      <c r="I9" s="236">
        <v>0</v>
      </c>
      <c r="J9" s="236">
        <v>0</v>
      </c>
      <c r="K9" s="236">
        <v>135431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0</v>
      </c>
      <c r="R9" s="236">
        <v>0</v>
      </c>
      <c r="S9" s="236">
        <v>0</v>
      </c>
      <c r="T9" s="236">
        <v>0</v>
      </c>
      <c r="U9" s="236">
        <v>0</v>
      </c>
      <c r="V9" s="236">
        <v>0</v>
      </c>
      <c r="W9" s="236">
        <v>0</v>
      </c>
      <c r="X9" s="236">
        <v>0</v>
      </c>
      <c r="Y9" s="236">
        <v>0</v>
      </c>
      <c r="Z9" s="236">
        <v>0</v>
      </c>
      <c r="AA9" s="236">
        <v>0</v>
      </c>
      <c r="AB9" s="236">
        <v>0</v>
      </c>
      <c r="AC9" s="236">
        <v>0</v>
      </c>
      <c r="AD9" s="236">
        <v>0</v>
      </c>
      <c r="AE9" s="236">
        <v>0</v>
      </c>
      <c r="AF9" s="236">
        <v>0</v>
      </c>
      <c r="AG9" s="236">
        <v>0</v>
      </c>
      <c r="AH9" s="236">
        <v>0</v>
      </c>
      <c r="AI9" s="236">
        <v>0</v>
      </c>
      <c r="AJ9" s="236">
        <v>0</v>
      </c>
      <c r="AK9" s="236">
        <v>0</v>
      </c>
      <c r="AL9" s="236">
        <v>0</v>
      </c>
      <c r="AM9" s="236">
        <v>0</v>
      </c>
      <c r="AN9" s="236">
        <v>32445</v>
      </c>
      <c r="AO9" s="236">
        <v>0</v>
      </c>
    </row>
    <row r="10" spans="1:41" x14ac:dyDescent="0.3">
      <c r="A10" s="236" t="s">
        <v>184</v>
      </c>
      <c r="B10" s="261">
        <v>7</v>
      </c>
      <c r="C10" s="236">
        <v>29</v>
      </c>
      <c r="D10" s="236">
        <v>1</v>
      </c>
      <c r="E10" s="236">
        <v>9</v>
      </c>
      <c r="F10" s="236">
        <v>3311</v>
      </c>
      <c r="G10" s="236">
        <v>0</v>
      </c>
      <c r="H10" s="236">
        <v>2811</v>
      </c>
      <c r="I10" s="236">
        <v>0</v>
      </c>
      <c r="J10" s="236">
        <v>0</v>
      </c>
      <c r="K10" s="236">
        <v>500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36">
        <v>0</v>
      </c>
      <c r="R10" s="236">
        <v>0</v>
      </c>
      <c r="S10" s="236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  <c r="AF10" s="236">
        <v>0</v>
      </c>
      <c r="AG10" s="236">
        <v>0</v>
      </c>
      <c r="AH10" s="236">
        <v>0</v>
      </c>
      <c r="AI10" s="236">
        <v>0</v>
      </c>
      <c r="AJ10" s="236">
        <v>0</v>
      </c>
      <c r="AK10" s="236">
        <v>0</v>
      </c>
      <c r="AL10" s="236">
        <v>0</v>
      </c>
      <c r="AM10" s="236">
        <v>0</v>
      </c>
      <c r="AN10" s="236">
        <v>0</v>
      </c>
      <c r="AO10" s="236">
        <v>0</v>
      </c>
    </row>
    <row r="11" spans="1:41" x14ac:dyDescent="0.3">
      <c r="A11" s="236" t="s">
        <v>185</v>
      </c>
      <c r="B11" s="261">
        <v>8</v>
      </c>
      <c r="C11" s="236">
        <v>29</v>
      </c>
      <c r="D11" s="236">
        <v>1</v>
      </c>
      <c r="E11" s="236">
        <v>10</v>
      </c>
      <c r="F11" s="236">
        <v>18400</v>
      </c>
      <c r="G11" s="236">
        <v>0</v>
      </c>
      <c r="H11" s="236">
        <v>15000</v>
      </c>
      <c r="I11" s="236">
        <v>0</v>
      </c>
      <c r="J11" s="236">
        <v>0</v>
      </c>
      <c r="K11" s="236">
        <v>3400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36">
        <v>0</v>
      </c>
      <c r="V11" s="236">
        <v>0</v>
      </c>
      <c r="W11" s="236">
        <v>0</v>
      </c>
      <c r="X11" s="236">
        <v>0</v>
      </c>
      <c r="Y11" s="236">
        <v>0</v>
      </c>
      <c r="Z11" s="236">
        <v>0</v>
      </c>
      <c r="AA11" s="236">
        <v>0</v>
      </c>
      <c r="AB11" s="236">
        <v>0</v>
      </c>
      <c r="AC11" s="236">
        <v>0</v>
      </c>
      <c r="AD11" s="236">
        <v>0</v>
      </c>
      <c r="AE11" s="236">
        <v>0</v>
      </c>
      <c r="AF11" s="236">
        <v>0</v>
      </c>
      <c r="AG11" s="236">
        <v>0</v>
      </c>
      <c r="AH11" s="236">
        <v>0</v>
      </c>
      <c r="AI11" s="236">
        <v>0</v>
      </c>
      <c r="AJ11" s="236">
        <v>0</v>
      </c>
      <c r="AK11" s="236">
        <v>0</v>
      </c>
      <c r="AL11" s="236">
        <v>0</v>
      </c>
      <c r="AM11" s="236">
        <v>0</v>
      </c>
      <c r="AN11" s="236">
        <v>0</v>
      </c>
      <c r="AO11" s="236">
        <v>0</v>
      </c>
    </row>
    <row r="12" spans="1:41" x14ac:dyDescent="0.3">
      <c r="A12" s="236" t="s">
        <v>186</v>
      </c>
      <c r="B12" s="261">
        <v>9</v>
      </c>
      <c r="C12" s="236">
        <v>29</v>
      </c>
      <c r="D12" s="236">
        <v>1</v>
      </c>
      <c r="E12" s="236">
        <v>11</v>
      </c>
      <c r="F12" s="236">
        <v>3646.2639600172765</v>
      </c>
      <c r="G12" s="236">
        <v>0</v>
      </c>
      <c r="H12" s="236">
        <v>1979.5972933506098</v>
      </c>
      <c r="I12" s="236">
        <v>0</v>
      </c>
      <c r="J12" s="236">
        <v>0</v>
      </c>
      <c r="K12" s="236">
        <v>1666.6666666666667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0</v>
      </c>
      <c r="R12" s="236">
        <v>0</v>
      </c>
      <c r="S12" s="236">
        <v>0</v>
      </c>
      <c r="T12" s="236">
        <v>0</v>
      </c>
      <c r="U12" s="236">
        <v>0</v>
      </c>
      <c r="V12" s="236">
        <v>0</v>
      </c>
      <c r="W12" s="236">
        <v>0</v>
      </c>
      <c r="X12" s="236">
        <v>0</v>
      </c>
      <c r="Y12" s="236">
        <v>0</v>
      </c>
      <c r="Z12" s="236">
        <v>0</v>
      </c>
      <c r="AA12" s="236">
        <v>0</v>
      </c>
      <c r="AB12" s="236">
        <v>0</v>
      </c>
      <c r="AC12" s="236">
        <v>0</v>
      </c>
      <c r="AD12" s="236">
        <v>0</v>
      </c>
      <c r="AE12" s="236">
        <v>0</v>
      </c>
      <c r="AF12" s="236">
        <v>0</v>
      </c>
      <c r="AG12" s="236">
        <v>0</v>
      </c>
      <c r="AH12" s="236">
        <v>0</v>
      </c>
      <c r="AI12" s="236">
        <v>0</v>
      </c>
      <c r="AJ12" s="236">
        <v>0</v>
      </c>
      <c r="AK12" s="236">
        <v>0</v>
      </c>
      <c r="AL12" s="236">
        <v>0</v>
      </c>
      <c r="AM12" s="236">
        <v>0</v>
      </c>
      <c r="AN12" s="236">
        <v>0</v>
      </c>
      <c r="AO12" s="236">
        <v>0</v>
      </c>
    </row>
    <row r="13" spans="1:41" x14ac:dyDescent="0.3">
      <c r="A13" s="236" t="s">
        <v>187</v>
      </c>
      <c r="B13" s="261">
        <v>10</v>
      </c>
      <c r="C13" s="236">
        <v>29</v>
      </c>
      <c r="D13" s="236">
        <v>2</v>
      </c>
      <c r="E13" s="236">
        <v>1</v>
      </c>
      <c r="F13" s="236">
        <v>12.95</v>
      </c>
      <c r="G13" s="236">
        <v>0</v>
      </c>
      <c r="H13" s="236">
        <v>6.45</v>
      </c>
      <c r="I13" s="236">
        <v>0</v>
      </c>
      <c r="J13" s="236">
        <v>0</v>
      </c>
      <c r="K13" s="236">
        <v>5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0</v>
      </c>
      <c r="AN13" s="236">
        <v>1.5</v>
      </c>
      <c r="AO13" s="236">
        <v>0</v>
      </c>
    </row>
    <row r="14" spans="1:41" x14ac:dyDescent="0.3">
      <c r="A14" s="236" t="s">
        <v>188</v>
      </c>
      <c r="B14" s="261">
        <v>11</v>
      </c>
      <c r="C14" s="236">
        <v>29</v>
      </c>
      <c r="D14" s="236">
        <v>2</v>
      </c>
      <c r="E14" s="236">
        <v>2</v>
      </c>
      <c r="F14" s="236">
        <v>1820</v>
      </c>
      <c r="G14" s="236">
        <v>0</v>
      </c>
      <c r="H14" s="236">
        <v>832</v>
      </c>
      <c r="I14" s="236">
        <v>0</v>
      </c>
      <c r="J14" s="236">
        <v>0</v>
      </c>
      <c r="K14" s="236">
        <v>760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  <c r="AF14" s="236">
        <v>0</v>
      </c>
      <c r="AG14" s="236">
        <v>0</v>
      </c>
      <c r="AH14" s="236">
        <v>0</v>
      </c>
      <c r="AI14" s="236">
        <v>0</v>
      </c>
      <c r="AJ14" s="236">
        <v>0</v>
      </c>
      <c r="AK14" s="236">
        <v>0</v>
      </c>
      <c r="AL14" s="236">
        <v>0</v>
      </c>
      <c r="AM14" s="236">
        <v>0</v>
      </c>
      <c r="AN14" s="236">
        <v>228</v>
      </c>
      <c r="AO14" s="236">
        <v>0</v>
      </c>
    </row>
    <row r="15" spans="1:41" x14ac:dyDescent="0.3">
      <c r="A15" s="236" t="s">
        <v>189</v>
      </c>
      <c r="B15" s="261">
        <v>12</v>
      </c>
      <c r="C15" s="236">
        <v>29</v>
      </c>
      <c r="D15" s="236">
        <v>2</v>
      </c>
      <c r="E15" s="236">
        <v>3</v>
      </c>
      <c r="F15" s="236">
        <v>4</v>
      </c>
      <c r="G15" s="236">
        <v>0</v>
      </c>
      <c r="H15" s="236">
        <v>4</v>
      </c>
      <c r="I15" s="236">
        <v>0</v>
      </c>
      <c r="J15" s="236">
        <v>0</v>
      </c>
      <c r="K15" s="236">
        <v>0</v>
      </c>
      <c r="L15" s="236">
        <v>0</v>
      </c>
      <c r="M15" s="236">
        <v>0</v>
      </c>
      <c r="N15" s="236">
        <v>0</v>
      </c>
      <c r="O15" s="236">
        <v>0</v>
      </c>
      <c r="P15" s="236">
        <v>0</v>
      </c>
      <c r="Q15" s="236">
        <v>0</v>
      </c>
      <c r="R15" s="236">
        <v>0</v>
      </c>
      <c r="S15" s="236">
        <v>0</v>
      </c>
      <c r="T15" s="236">
        <v>0</v>
      </c>
      <c r="U15" s="236">
        <v>0</v>
      </c>
      <c r="V15" s="236">
        <v>0</v>
      </c>
      <c r="W15" s="236">
        <v>0</v>
      </c>
      <c r="X15" s="236">
        <v>0</v>
      </c>
      <c r="Y15" s="236">
        <v>0</v>
      </c>
      <c r="Z15" s="236">
        <v>0</v>
      </c>
      <c r="AA15" s="236">
        <v>0</v>
      </c>
      <c r="AB15" s="236">
        <v>0</v>
      </c>
      <c r="AC15" s="236">
        <v>0</v>
      </c>
      <c r="AD15" s="236">
        <v>0</v>
      </c>
      <c r="AE15" s="236">
        <v>0</v>
      </c>
      <c r="AF15" s="236">
        <v>0</v>
      </c>
      <c r="AG15" s="236">
        <v>0</v>
      </c>
      <c r="AH15" s="236">
        <v>0</v>
      </c>
      <c r="AI15" s="236">
        <v>0</v>
      </c>
      <c r="AJ15" s="236">
        <v>0</v>
      </c>
      <c r="AK15" s="236">
        <v>0</v>
      </c>
      <c r="AL15" s="236">
        <v>0</v>
      </c>
      <c r="AM15" s="236">
        <v>0</v>
      </c>
      <c r="AN15" s="236">
        <v>0</v>
      </c>
      <c r="AO15" s="236">
        <v>0</v>
      </c>
    </row>
    <row r="16" spans="1:41" x14ac:dyDescent="0.3">
      <c r="A16" s="236" t="s">
        <v>177</v>
      </c>
      <c r="B16" s="261">
        <v>2015</v>
      </c>
      <c r="C16" s="236">
        <v>29</v>
      </c>
      <c r="D16" s="236">
        <v>2</v>
      </c>
      <c r="E16" s="236">
        <v>4</v>
      </c>
      <c r="F16" s="236">
        <v>63.5</v>
      </c>
      <c r="G16" s="236">
        <v>0</v>
      </c>
      <c r="H16" s="236">
        <v>63.5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36">
        <v>0</v>
      </c>
      <c r="V16" s="236">
        <v>0</v>
      </c>
      <c r="W16" s="236">
        <v>0</v>
      </c>
      <c r="X16" s="236">
        <v>0</v>
      </c>
      <c r="Y16" s="236">
        <v>0</v>
      </c>
      <c r="Z16" s="236">
        <v>0</v>
      </c>
      <c r="AA16" s="236">
        <v>0</v>
      </c>
      <c r="AB16" s="236">
        <v>0</v>
      </c>
      <c r="AC16" s="236">
        <v>0</v>
      </c>
      <c r="AD16" s="236">
        <v>0</v>
      </c>
      <c r="AE16" s="236">
        <v>0</v>
      </c>
      <c r="AF16" s="236">
        <v>0</v>
      </c>
      <c r="AG16" s="236">
        <v>0</v>
      </c>
      <c r="AH16" s="236">
        <v>0</v>
      </c>
      <c r="AI16" s="236">
        <v>0</v>
      </c>
      <c r="AJ16" s="236">
        <v>0</v>
      </c>
      <c r="AK16" s="236">
        <v>0</v>
      </c>
      <c r="AL16" s="236">
        <v>0</v>
      </c>
      <c r="AM16" s="236">
        <v>0</v>
      </c>
      <c r="AN16" s="236">
        <v>0</v>
      </c>
      <c r="AO16" s="236">
        <v>0</v>
      </c>
    </row>
    <row r="17" spans="3:41" x14ac:dyDescent="0.3">
      <c r="C17" s="236">
        <v>29</v>
      </c>
      <c r="D17" s="236">
        <v>2</v>
      </c>
      <c r="E17" s="236">
        <v>6</v>
      </c>
      <c r="F17" s="236">
        <v>610601</v>
      </c>
      <c r="G17" s="236">
        <v>0</v>
      </c>
      <c r="H17" s="236">
        <v>439296</v>
      </c>
      <c r="I17" s="236">
        <v>0</v>
      </c>
      <c r="J17" s="236">
        <v>0</v>
      </c>
      <c r="K17" s="236">
        <v>138321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  <c r="AF17" s="236">
        <v>0</v>
      </c>
      <c r="AG17" s="236">
        <v>0</v>
      </c>
      <c r="AH17" s="236">
        <v>0</v>
      </c>
      <c r="AI17" s="236">
        <v>0</v>
      </c>
      <c r="AJ17" s="236">
        <v>0</v>
      </c>
      <c r="AK17" s="236">
        <v>0</v>
      </c>
      <c r="AL17" s="236">
        <v>0</v>
      </c>
      <c r="AM17" s="236">
        <v>0</v>
      </c>
      <c r="AN17" s="236">
        <v>32984</v>
      </c>
      <c r="AO17" s="236">
        <v>0</v>
      </c>
    </row>
    <row r="18" spans="3:41" x14ac:dyDescent="0.3">
      <c r="C18" s="236">
        <v>29</v>
      </c>
      <c r="D18" s="236">
        <v>2</v>
      </c>
      <c r="E18" s="236">
        <v>9</v>
      </c>
      <c r="F18" s="236">
        <v>32471</v>
      </c>
      <c r="G18" s="236">
        <v>0</v>
      </c>
      <c r="H18" s="236">
        <v>27871</v>
      </c>
      <c r="I18" s="236">
        <v>0</v>
      </c>
      <c r="J18" s="236">
        <v>0</v>
      </c>
      <c r="K18" s="236">
        <v>4000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36">
        <v>0</v>
      </c>
      <c r="V18" s="236">
        <v>0</v>
      </c>
      <c r="W18" s="236">
        <v>0</v>
      </c>
      <c r="X18" s="236">
        <v>0</v>
      </c>
      <c r="Y18" s="236">
        <v>0</v>
      </c>
      <c r="Z18" s="236">
        <v>0</v>
      </c>
      <c r="AA18" s="236">
        <v>0</v>
      </c>
      <c r="AB18" s="236">
        <v>0</v>
      </c>
      <c r="AC18" s="236">
        <v>0</v>
      </c>
      <c r="AD18" s="236">
        <v>0</v>
      </c>
      <c r="AE18" s="236">
        <v>0</v>
      </c>
      <c r="AF18" s="236">
        <v>0</v>
      </c>
      <c r="AG18" s="236">
        <v>0</v>
      </c>
      <c r="AH18" s="236">
        <v>0</v>
      </c>
      <c r="AI18" s="236">
        <v>0</v>
      </c>
      <c r="AJ18" s="236">
        <v>0</v>
      </c>
      <c r="AK18" s="236">
        <v>0</v>
      </c>
      <c r="AL18" s="236">
        <v>0</v>
      </c>
      <c r="AM18" s="236">
        <v>0</v>
      </c>
      <c r="AN18" s="236">
        <v>600</v>
      </c>
      <c r="AO18" s="236">
        <v>0</v>
      </c>
    </row>
    <row r="19" spans="3:41" x14ac:dyDescent="0.3">
      <c r="C19" s="236">
        <v>29</v>
      </c>
      <c r="D19" s="236">
        <v>2</v>
      </c>
      <c r="E19" s="236">
        <v>10</v>
      </c>
      <c r="F19" s="236">
        <v>2000</v>
      </c>
      <c r="G19" s="236">
        <v>0</v>
      </c>
      <c r="H19" s="236">
        <v>0</v>
      </c>
      <c r="I19" s="236">
        <v>0</v>
      </c>
      <c r="J19" s="236">
        <v>0</v>
      </c>
      <c r="K19" s="236">
        <v>2000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236">
        <v>0</v>
      </c>
      <c r="R19" s="236">
        <v>0</v>
      </c>
      <c r="S19" s="236">
        <v>0</v>
      </c>
      <c r="T19" s="236">
        <v>0</v>
      </c>
      <c r="U19" s="236">
        <v>0</v>
      </c>
      <c r="V19" s="236">
        <v>0</v>
      </c>
      <c r="W19" s="236">
        <v>0</v>
      </c>
      <c r="X19" s="236">
        <v>0</v>
      </c>
      <c r="Y19" s="236">
        <v>0</v>
      </c>
      <c r="Z19" s="236">
        <v>0</v>
      </c>
      <c r="AA19" s="236">
        <v>0</v>
      </c>
      <c r="AB19" s="236">
        <v>0</v>
      </c>
      <c r="AC19" s="236">
        <v>0</v>
      </c>
      <c r="AD19" s="236">
        <v>0</v>
      </c>
      <c r="AE19" s="236">
        <v>0</v>
      </c>
      <c r="AF19" s="236">
        <v>0</v>
      </c>
      <c r="AG19" s="236">
        <v>0</v>
      </c>
      <c r="AH19" s="236">
        <v>0</v>
      </c>
      <c r="AI19" s="236">
        <v>0</v>
      </c>
      <c r="AJ19" s="236">
        <v>0</v>
      </c>
      <c r="AK19" s="236">
        <v>0</v>
      </c>
      <c r="AL19" s="236">
        <v>0</v>
      </c>
      <c r="AM19" s="236">
        <v>0</v>
      </c>
      <c r="AN19" s="236">
        <v>0</v>
      </c>
      <c r="AO19" s="236">
        <v>0</v>
      </c>
    </row>
    <row r="20" spans="3:41" x14ac:dyDescent="0.3">
      <c r="C20" s="236">
        <v>29</v>
      </c>
      <c r="D20" s="236">
        <v>2</v>
      </c>
      <c r="E20" s="236">
        <v>11</v>
      </c>
      <c r="F20" s="236">
        <v>3646.2639600172765</v>
      </c>
      <c r="G20" s="236">
        <v>0</v>
      </c>
      <c r="H20" s="236">
        <v>1979.5972933506098</v>
      </c>
      <c r="I20" s="236">
        <v>0</v>
      </c>
      <c r="J20" s="236">
        <v>0</v>
      </c>
      <c r="K20" s="236">
        <v>1666.6666666666667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  <c r="AF20" s="236">
        <v>0</v>
      </c>
      <c r="AG20" s="236">
        <v>0</v>
      </c>
      <c r="AH20" s="236">
        <v>0</v>
      </c>
      <c r="AI20" s="236">
        <v>0</v>
      </c>
      <c r="AJ20" s="236">
        <v>0</v>
      </c>
      <c r="AK20" s="236">
        <v>0</v>
      </c>
      <c r="AL20" s="236">
        <v>0</v>
      </c>
      <c r="AM20" s="236">
        <v>0</v>
      </c>
      <c r="AN20" s="236">
        <v>0</v>
      </c>
      <c r="AO20" s="236">
        <v>0</v>
      </c>
    </row>
    <row r="21" spans="3:41" x14ac:dyDescent="0.3">
      <c r="C21" s="236">
        <v>29</v>
      </c>
      <c r="D21" s="236">
        <v>3</v>
      </c>
      <c r="E21" s="236">
        <v>1</v>
      </c>
      <c r="F21" s="236">
        <v>12.95</v>
      </c>
      <c r="G21" s="236">
        <v>0</v>
      </c>
      <c r="H21" s="236">
        <v>6.45</v>
      </c>
      <c r="I21" s="236">
        <v>0</v>
      </c>
      <c r="J21" s="236">
        <v>0</v>
      </c>
      <c r="K21" s="236">
        <v>5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0</v>
      </c>
      <c r="X21" s="236">
        <v>0</v>
      </c>
      <c r="Y21" s="236">
        <v>0</v>
      </c>
      <c r="Z21" s="236">
        <v>0</v>
      </c>
      <c r="AA21" s="236">
        <v>0</v>
      </c>
      <c r="AB21" s="236">
        <v>0</v>
      </c>
      <c r="AC21" s="236">
        <v>0</v>
      </c>
      <c r="AD21" s="236">
        <v>0</v>
      </c>
      <c r="AE21" s="236">
        <v>0</v>
      </c>
      <c r="AF21" s="236">
        <v>0</v>
      </c>
      <c r="AG21" s="236">
        <v>0</v>
      </c>
      <c r="AH21" s="236">
        <v>0</v>
      </c>
      <c r="AI21" s="236">
        <v>0</v>
      </c>
      <c r="AJ21" s="236">
        <v>0</v>
      </c>
      <c r="AK21" s="236">
        <v>0</v>
      </c>
      <c r="AL21" s="236">
        <v>0</v>
      </c>
      <c r="AM21" s="236">
        <v>0</v>
      </c>
      <c r="AN21" s="236">
        <v>1.5</v>
      </c>
      <c r="AO21" s="236">
        <v>0</v>
      </c>
    </row>
    <row r="22" spans="3:41" x14ac:dyDescent="0.3">
      <c r="C22" s="236">
        <v>29</v>
      </c>
      <c r="D22" s="236">
        <v>3</v>
      </c>
      <c r="E22" s="236">
        <v>2</v>
      </c>
      <c r="F22" s="236">
        <v>2192</v>
      </c>
      <c r="G22" s="236">
        <v>0</v>
      </c>
      <c r="H22" s="236">
        <v>1080</v>
      </c>
      <c r="I22" s="236">
        <v>0</v>
      </c>
      <c r="J22" s="236">
        <v>0</v>
      </c>
      <c r="K22" s="236">
        <v>844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36">
        <v>0</v>
      </c>
      <c r="V22" s="236">
        <v>0</v>
      </c>
      <c r="W22" s="236">
        <v>0</v>
      </c>
      <c r="X22" s="236">
        <v>0</v>
      </c>
      <c r="Y22" s="236">
        <v>0</v>
      </c>
      <c r="Z22" s="236">
        <v>0</v>
      </c>
      <c r="AA22" s="236">
        <v>0</v>
      </c>
      <c r="AB22" s="236">
        <v>0</v>
      </c>
      <c r="AC22" s="236">
        <v>0</v>
      </c>
      <c r="AD22" s="236">
        <v>0</v>
      </c>
      <c r="AE22" s="236">
        <v>0</v>
      </c>
      <c r="AF22" s="236">
        <v>0</v>
      </c>
      <c r="AG22" s="236">
        <v>0</v>
      </c>
      <c r="AH22" s="236">
        <v>0</v>
      </c>
      <c r="AI22" s="236">
        <v>0</v>
      </c>
      <c r="AJ22" s="236">
        <v>0</v>
      </c>
      <c r="AK22" s="236">
        <v>0</v>
      </c>
      <c r="AL22" s="236">
        <v>0</v>
      </c>
      <c r="AM22" s="236">
        <v>0</v>
      </c>
      <c r="AN22" s="236">
        <v>268</v>
      </c>
      <c r="AO22" s="236">
        <v>0</v>
      </c>
    </row>
    <row r="23" spans="3:41" x14ac:dyDescent="0.3">
      <c r="C23" s="236">
        <v>29</v>
      </c>
      <c r="D23" s="236">
        <v>3</v>
      </c>
      <c r="E23" s="236">
        <v>4</v>
      </c>
      <c r="F23" s="236">
        <v>94</v>
      </c>
      <c r="G23" s="236">
        <v>0</v>
      </c>
      <c r="H23" s="236">
        <v>94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>
        <v>0</v>
      </c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236">
        <v>0</v>
      </c>
      <c r="AG23" s="236">
        <v>0</v>
      </c>
      <c r="AH23" s="236">
        <v>0</v>
      </c>
      <c r="AI23" s="236">
        <v>0</v>
      </c>
      <c r="AJ23" s="236">
        <v>0</v>
      </c>
      <c r="AK23" s="236">
        <v>0</v>
      </c>
      <c r="AL23" s="236">
        <v>0</v>
      </c>
      <c r="AM23" s="236">
        <v>0</v>
      </c>
      <c r="AN23" s="236">
        <v>0</v>
      </c>
      <c r="AO23" s="236">
        <v>0</v>
      </c>
    </row>
    <row r="24" spans="3:41" x14ac:dyDescent="0.3">
      <c r="C24" s="236">
        <v>29</v>
      </c>
      <c r="D24" s="236">
        <v>3</v>
      </c>
      <c r="E24" s="236">
        <v>6</v>
      </c>
      <c r="F24" s="236">
        <v>624582</v>
      </c>
      <c r="G24" s="236">
        <v>0</v>
      </c>
      <c r="H24" s="236">
        <v>446842</v>
      </c>
      <c r="I24" s="236">
        <v>0</v>
      </c>
      <c r="J24" s="236">
        <v>0</v>
      </c>
      <c r="K24" s="236">
        <v>144395</v>
      </c>
      <c r="L24" s="236">
        <v>0</v>
      </c>
      <c r="M24" s="236">
        <v>0</v>
      </c>
      <c r="N24" s="236">
        <v>0</v>
      </c>
      <c r="O24" s="236">
        <v>0</v>
      </c>
      <c r="P24" s="236">
        <v>0</v>
      </c>
      <c r="Q24" s="236">
        <v>0</v>
      </c>
      <c r="R24" s="236">
        <v>0</v>
      </c>
      <c r="S24" s="236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  <c r="AF24" s="236">
        <v>0</v>
      </c>
      <c r="AG24" s="236">
        <v>0</v>
      </c>
      <c r="AH24" s="236">
        <v>0</v>
      </c>
      <c r="AI24" s="236">
        <v>0</v>
      </c>
      <c r="AJ24" s="236">
        <v>0</v>
      </c>
      <c r="AK24" s="236">
        <v>0</v>
      </c>
      <c r="AL24" s="236">
        <v>0</v>
      </c>
      <c r="AM24" s="236">
        <v>0</v>
      </c>
      <c r="AN24" s="236">
        <v>33345</v>
      </c>
      <c r="AO24" s="236">
        <v>0</v>
      </c>
    </row>
    <row r="25" spans="3:41" x14ac:dyDescent="0.3">
      <c r="C25" s="236">
        <v>29</v>
      </c>
      <c r="D25" s="236">
        <v>3</v>
      </c>
      <c r="E25" s="236">
        <v>9</v>
      </c>
      <c r="F25" s="236">
        <v>21274</v>
      </c>
      <c r="G25" s="236">
        <v>0</v>
      </c>
      <c r="H25" s="236">
        <v>17074</v>
      </c>
      <c r="I25" s="236">
        <v>0</v>
      </c>
      <c r="J25" s="236">
        <v>0</v>
      </c>
      <c r="K25" s="236">
        <v>3300</v>
      </c>
      <c r="L25" s="236">
        <v>0</v>
      </c>
      <c r="M25" s="236">
        <v>0</v>
      </c>
      <c r="N25" s="236">
        <v>0</v>
      </c>
      <c r="O25" s="236">
        <v>0</v>
      </c>
      <c r="P25" s="236">
        <v>0</v>
      </c>
      <c r="Q25" s="236">
        <v>0</v>
      </c>
      <c r="R25" s="236">
        <v>0</v>
      </c>
      <c r="S25" s="236">
        <v>0</v>
      </c>
      <c r="T25" s="236">
        <v>0</v>
      </c>
      <c r="U25" s="236">
        <v>0</v>
      </c>
      <c r="V25" s="236">
        <v>0</v>
      </c>
      <c r="W25" s="236">
        <v>0</v>
      </c>
      <c r="X25" s="236">
        <v>0</v>
      </c>
      <c r="Y25" s="236">
        <v>0</v>
      </c>
      <c r="Z25" s="236">
        <v>0</v>
      </c>
      <c r="AA25" s="236">
        <v>0</v>
      </c>
      <c r="AB25" s="236">
        <v>0</v>
      </c>
      <c r="AC25" s="236">
        <v>0</v>
      </c>
      <c r="AD25" s="236">
        <v>0</v>
      </c>
      <c r="AE25" s="236">
        <v>0</v>
      </c>
      <c r="AF25" s="236">
        <v>0</v>
      </c>
      <c r="AG25" s="236">
        <v>0</v>
      </c>
      <c r="AH25" s="236">
        <v>0</v>
      </c>
      <c r="AI25" s="236">
        <v>0</v>
      </c>
      <c r="AJ25" s="236">
        <v>0</v>
      </c>
      <c r="AK25" s="236">
        <v>0</v>
      </c>
      <c r="AL25" s="236">
        <v>0</v>
      </c>
      <c r="AM25" s="236">
        <v>0</v>
      </c>
      <c r="AN25" s="236">
        <v>900</v>
      </c>
      <c r="AO25" s="236">
        <v>0</v>
      </c>
    </row>
    <row r="26" spans="3:41" x14ac:dyDescent="0.3">
      <c r="C26" s="236">
        <v>29</v>
      </c>
      <c r="D26" s="236">
        <v>3</v>
      </c>
      <c r="E26" s="236">
        <v>11</v>
      </c>
      <c r="F26" s="236">
        <v>3646.2639600172765</v>
      </c>
      <c r="G26" s="236">
        <v>0</v>
      </c>
      <c r="H26" s="236">
        <v>1979.5972933506098</v>
      </c>
      <c r="I26" s="236">
        <v>0</v>
      </c>
      <c r="J26" s="236">
        <v>0</v>
      </c>
      <c r="K26" s="236">
        <v>1666.6666666666667</v>
      </c>
      <c r="L26" s="236">
        <v>0</v>
      </c>
      <c r="M26" s="236">
        <v>0</v>
      </c>
      <c r="N26" s="236">
        <v>0</v>
      </c>
      <c r="O26" s="236">
        <v>0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36">
        <v>0</v>
      </c>
      <c r="V26" s="236">
        <v>0</v>
      </c>
      <c r="W26" s="236">
        <v>0</v>
      </c>
      <c r="X26" s="236">
        <v>0</v>
      </c>
      <c r="Y26" s="236">
        <v>0</v>
      </c>
      <c r="Z26" s="236">
        <v>0</v>
      </c>
      <c r="AA26" s="236">
        <v>0</v>
      </c>
      <c r="AB26" s="236">
        <v>0</v>
      </c>
      <c r="AC26" s="236">
        <v>0</v>
      </c>
      <c r="AD26" s="236">
        <v>0</v>
      </c>
      <c r="AE26" s="236">
        <v>0</v>
      </c>
      <c r="AF26" s="236">
        <v>0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  <c r="AL26" s="236">
        <v>0</v>
      </c>
      <c r="AM26" s="236">
        <v>0</v>
      </c>
      <c r="AN26" s="236">
        <v>0</v>
      </c>
      <c r="AO26" s="236">
        <v>0</v>
      </c>
    </row>
    <row r="27" spans="3:41" x14ac:dyDescent="0.3">
      <c r="C27" s="236">
        <v>29</v>
      </c>
      <c r="D27" s="236">
        <v>4</v>
      </c>
      <c r="E27" s="236">
        <v>1</v>
      </c>
      <c r="F27" s="236">
        <v>12.95</v>
      </c>
      <c r="G27" s="236">
        <v>0</v>
      </c>
      <c r="H27" s="236">
        <v>6.45</v>
      </c>
      <c r="I27" s="236">
        <v>0</v>
      </c>
      <c r="J27" s="236">
        <v>0</v>
      </c>
      <c r="K27" s="236">
        <v>5</v>
      </c>
      <c r="L27" s="236">
        <v>0</v>
      </c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0</v>
      </c>
      <c r="S27" s="236">
        <v>0</v>
      </c>
      <c r="T27" s="236">
        <v>0</v>
      </c>
      <c r="U27" s="236">
        <v>0</v>
      </c>
      <c r="V27" s="236">
        <v>0</v>
      </c>
      <c r="W27" s="236">
        <v>0</v>
      </c>
      <c r="X27" s="236">
        <v>0</v>
      </c>
      <c r="Y27" s="236">
        <v>0</v>
      </c>
      <c r="Z27" s="236">
        <v>0</v>
      </c>
      <c r="AA27" s="236">
        <v>0</v>
      </c>
      <c r="AB27" s="236">
        <v>0</v>
      </c>
      <c r="AC27" s="236">
        <v>0</v>
      </c>
      <c r="AD27" s="236">
        <v>0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  <c r="AK27" s="236">
        <v>0</v>
      </c>
      <c r="AL27" s="236">
        <v>0</v>
      </c>
      <c r="AM27" s="236">
        <v>0</v>
      </c>
      <c r="AN27" s="236">
        <v>1.5</v>
      </c>
      <c r="AO27" s="236">
        <v>0</v>
      </c>
    </row>
    <row r="28" spans="3:41" x14ac:dyDescent="0.3">
      <c r="C28" s="236">
        <v>29</v>
      </c>
      <c r="D28" s="236">
        <v>4</v>
      </c>
      <c r="E28" s="236">
        <v>2</v>
      </c>
      <c r="F28" s="236">
        <v>2172</v>
      </c>
      <c r="G28" s="236">
        <v>0</v>
      </c>
      <c r="H28" s="236">
        <v>1072</v>
      </c>
      <c r="I28" s="236">
        <v>0</v>
      </c>
      <c r="J28" s="236">
        <v>0</v>
      </c>
      <c r="K28" s="236">
        <v>848</v>
      </c>
      <c r="L28" s="236">
        <v>0</v>
      </c>
      <c r="M28" s="236">
        <v>0</v>
      </c>
      <c r="N28" s="236">
        <v>0</v>
      </c>
      <c r="O28" s="236">
        <v>0</v>
      </c>
      <c r="P28" s="236">
        <v>0</v>
      </c>
      <c r="Q28" s="236">
        <v>0</v>
      </c>
      <c r="R28" s="236">
        <v>0</v>
      </c>
      <c r="S28" s="236">
        <v>0</v>
      </c>
      <c r="T28" s="236">
        <v>0</v>
      </c>
      <c r="U28" s="236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6">
        <v>0</v>
      </c>
      <c r="AD28" s="236">
        <v>0</v>
      </c>
      <c r="AE28" s="236">
        <v>0</v>
      </c>
      <c r="AF28" s="236">
        <v>0</v>
      </c>
      <c r="AG28" s="236">
        <v>0</v>
      </c>
      <c r="AH28" s="236">
        <v>0</v>
      </c>
      <c r="AI28" s="236">
        <v>0</v>
      </c>
      <c r="AJ28" s="236">
        <v>0</v>
      </c>
      <c r="AK28" s="236">
        <v>0</v>
      </c>
      <c r="AL28" s="236">
        <v>0</v>
      </c>
      <c r="AM28" s="236">
        <v>0</v>
      </c>
      <c r="AN28" s="236">
        <v>252</v>
      </c>
      <c r="AO28" s="236">
        <v>0</v>
      </c>
    </row>
    <row r="29" spans="3:41" x14ac:dyDescent="0.3">
      <c r="C29" s="236">
        <v>29</v>
      </c>
      <c r="D29" s="236">
        <v>4</v>
      </c>
      <c r="E29" s="236">
        <v>4</v>
      </c>
      <c r="F29" s="236">
        <v>78</v>
      </c>
      <c r="G29" s="236">
        <v>0</v>
      </c>
      <c r="H29" s="236">
        <v>78</v>
      </c>
      <c r="I29" s="236">
        <v>0</v>
      </c>
      <c r="J29" s="236">
        <v>0</v>
      </c>
      <c r="K29" s="236">
        <v>0</v>
      </c>
      <c r="L29" s="236">
        <v>0</v>
      </c>
      <c r="M29" s="236">
        <v>0</v>
      </c>
      <c r="N29" s="236">
        <v>0</v>
      </c>
      <c r="O29" s="236">
        <v>0</v>
      </c>
      <c r="P29" s="236">
        <v>0</v>
      </c>
      <c r="Q29" s="236">
        <v>0</v>
      </c>
      <c r="R29" s="236">
        <v>0</v>
      </c>
      <c r="S29" s="236">
        <v>0</v>
      </c>
      <c r="T29" s="236">
        <v>0</v>
      </c>
      <c r="U29" s="236">
        <v>0</v>
      </c>
      <c r="V29" s="236">
        <v>0</v>
      </c>
      <c r="W29" s="236">
        <v>0</v>
      </c>
      <c r="X29" s="236">
        <v>0</v>
      </c>
      <c r="Y29" s="236">
        <v>0</v>
      </c>
      <c r="Z29" s="236">
        <v>0</v>
      </c>
      <c r="AA29" s="236">
        <v>0</v>
      </c>
      <c r="AB29" s="236">
        <v>0</v>
      </c>
      <c r="AC29" s="236">
        <v>0</v>
      </c>
      <c r="AD29" s="236">
        <v>0</v>
      </c>
      <c r="AE29" s="236">
        <v>0</v>
      </c>
      <c r="AF29" s="236">
        <v>0</v>
      </c>
      <c r="AG29" s="236">
        <v>0</v>
      </c>
      <c r="AH29" s="236">
        <v>0</v>
      </c>
      <c r="AI29" s="236">
        <v>0</v>
      </c>
      <c r="AJ29" s="236">
        <v>0</v>
      </c>
      <c r="AK29" s="236">
        <v>0</v>
      </c>
      <c r="AL29" s="236">
        <v>0</v>
      </c>
      <c r="AM29" s="236">
        <v>0</v>
      </c>
      <c r="AN29" s="236">
        <v>0</v>
      </c>
      <c r="AO29" s="236">
        <v>0</v>
      </c>
    </row>
    <row r="30" spans="3:41" x14ac:dyDescent="0.3">
      <c r="C30" s="236">
        <v>29</v>
      </c>
      <c r="D30" s="236">
        <v>4</v>
      </c>
      <c r="E30" s="236">
        <v>6</v>
      </c>
      <c r="F30" s="236">
        <v>612404</v>
      </c>
      <c r="G30" s="236">
        <v>0</v>
      </c>
      <c r="H30" s="236">
        <v>435274</v>
      </c>
      <c r="I30" s="236">
        <v>0</v>
      </c>
      <c r="J30" s="236">
        <v>0</v>
      </c>
      <c r="K30" s="236">
        <v>143435</v>
      </c>
      <c r="L30" s="236">
        <v>0</v>
      </c>
      <c r="M30" s="236">
        <v>0</v>
      </c>
      <c r="N30" s="236">
        <v>0</v>
      </c>
      <c r="O30" s="236">
        <v>0</v>
      </c>
      <c r="P30" s="236">
        <v>0</v>
      </c>
      <c r="Q30" s="236">
        <v>0</v>
      </c>
      <c r="R30" s="236">
        <v>0</v>
      </c>
      <c r="S30" s="236">
        <v>0</v>
      </c>
      <c r="T30" s="236">
        <v>0</v>
      </c>
      <c r="U30" s="236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6">
        <v>0</v>
      </c>
      <c r="AD30" s="236">
        <v>0</v>
      </c>
      <c r="AE30" s="236">
        <v>0</v>
      </c>
      <c r="AF30" s="236">
        <v>0</v>
      </c>
      <c r="AG30" s="236">
        <v>0</v>
      </c>
      <c r="AH30" s="236">
        <v>0</v>
      </c>
      <c r="AI30" s="236">
        <v>623</v>
      </c>
      <c r="AJ30" s="236">
        <v>0</v>
      </c>
      <c r="AK30" s="236">
        <v>0</v>
      </c>
      <c r="AL30" s="236">
        <v>0</v>
      </c>
      <c r="AM30" s="236">
        <v>0</v>
      </c>
      <c r="AN30" s="236">
        <v>33072</v>
      </c>
      <c r="AO30" s="236">
        <v>0</v>
      </c>
    </row>
    <row r="31" spans="3:41" x14ac:dyDescent="0.3">
      <c r="C31" s="236">
        <v>29</v>
      </c>
      <c r="D31" s="236">
        <v>4</v>
      </c>
      <c r="E31" s="236">
        <v>9</v>
      </c>
      <c r="F31" s="236">
        <v>17278</v>
      </c>
      <c r="G31" s="236">
        <v>0</v>
      </c>
      <c r="H31" s="236">
        <v>13578</v>
      </c>
      <c r="I31" s="236">
        <v>0</v>
      </c>
      <c r="J31" s="236">
        <v>0</v>
      </c>
      <c r="K31" s="236">
        <v>3100</v>
      </c>
      <c r="L31" s="236">
        <v>0</v>
      </c>
      <c r="M31" s="236">
        <v>0</v>
      </c>
      <c r="N31" s="236">
        <v>0</v>
      </c>
      <c r="O31" s="236">
        <v>0</v>
      </c>
      <c r="P31" s="236">
        <v>0</v>
      </c>
      <c r="Q31" s="236">
        <v>0</v>
      </c>
      <c r="R31" s="236">
        <v>0</v>
      </c>
      <c r="S31" s="236">
        <v>0</v>
      </c>
      <c r="T31" s="236">
        <v>0</v>
      </c>
      <c r="U31" s="236">
        <v>0</v>
      </c>
      <c r="V31" s="236">
        <v>0</v>
      </c>
      <c r="W31" s="236">
        <v>0</v>
      </c>
      <c r="X31" s="236">
        <v>0</v>
      </c>
      <c r="Y31" s="236">
        <v>0</v>
      </c>
      <c r="Z31" s="236">
        <v>0</v>
      </c>
      <c r="AA31" s="236">
        <v>0</v>
      </c>
      <c r="AB31" s="236">
        <v>0</v>
      </c>
      <c r="AC31" s="236">
        <v>0</v>
      </c>
      <c r="AD31" s="236">
        <v>0</v>
      </c>
      <c r="AE31" s="236">
        <v>0</v>
      </c>
      <c r="AF31" s="236">
        <v>0</v>
      </c>
      <c r="AG31" s="236">
        <v>0</v>
      </c>
      <c r="AH31" s="236">
        <v>0</v>
      </c>
      <c r="AI31" s="236">
        <v>0</v>
      </c>
      <c r="AJ31" s="236">
        <v>0</v>
      </c>
      <c r="AK31" s="236">
        <v>0</v>
      </c>
      <c r="AL31" s="236">
        <v>0</v>
      </c>
      <c r="AM31" s="236">
        <v>0</v>
      </c>
      <c r="AN31" s="236">
        <v>600</v>
      </c>
      <c r="AO31" s="236">
        <v>0</v>
      </c>
    </row>
    <row r="32" spans="3:41" x14ac:dyDescent="0.3">
      <c r="C32" s="236">
        <v>29</v>
      </c>
      <c r="D32" s="236">
        <v>4</v>
      </c>
      <c r="E32" s="236">
        <v>11</v>
      </c>
      <c r="F32" s="236">
        <v>3646.2639600172765</v>
      </c>
      <c r="G32" s="236">
        <v>0</v>
      </c>
      <c r="H32" s="236">
        <v>1979.5972933506098</v>
      </c>
      <c r="I32" s="236">
        <v>0</v>
      </c>
      <c r="J32" s="236">
        <v>0</v>
      </c>
      <c r="K32" s="236">
        <v>1666.6666666666667</v>
      </c>
      <c r="L32" s="236">
        <v>0</v>
      </c>
      <c r="M32" s="236">
        <v>0</v>
      </c>
      <c r="N32" s="236">
        <v>0</v>
      </c>
      <c r="O32" s="236">
        <v>0</v>
      </c>
      <c r="P32" s="236">
        <v>0</v>
      </c>
      <c r="Q32" s="236">
        <v>0</v>
      </c>
      <c r="R32" s="236">
        <v>0</v>
      </c>
      <c r="S32" s="236">
        <v>0</v>
      </c>
      <c r="T32" s="236">
        <v>0</v>
      </c>
      <c r="U32" s="236">
        <v>0</v>
      </c>
      <c r="V32" s="236">
        <v>0</v>
      </c>
      <c r="W32" s="236">
        <v>0</v>
      </c>
      <c r="X32" s="236">
        <v>0</v>
      </c>
      <c r="Y32" s="236">
        <v>0</v>
      </c>
      <c r="Z32" s="236">
        <v>0</v>
      </c>
      <c r="AA32" s="236">
        <v>0</v>
      </c>
      <c r="AB32" s="236">
        <v>0</v>
      </c>
      <c r="AC32" s="236">
        <v>0</v>
      </c>
      <c r="AD32" s="236">
        <v>0</v>
      </c>
      <c r="AE32" s="236">
        <v>0</v>
      </c>
      <c r="AF32" s="236">
        <v>0</v>
      </c>
      <c r="AG32" s="236">
        <v>0</v>
      </c>
      <c r="AH32" s="236">
        <v>0</v>
      </c>
      <c r="AI32" s="236">
        <v>0</v>
      </c>
      <c r="AJ32" s="236">
        <v>0</v>
      </c>
      <c r="AK32" s="236">
        <v>0</v>
      </c>
      <c r="AL32" s="236">
        <v>0</v>
      </c>
      <c r="AM32" s="236">
        <v>0</v>
      </c>
      <c r="AN32" s="236">
        <v>0</v>
      </c>
      <c r="AO32" s="23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402" t="s">
        <v>1456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40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5" t="s">
        <v>132</v>
      </c>
      <c r="B3" s="226">
        <f>SUBTOTAL(9,B6:B1048576)/2</f>
        <v>1220758</v>
      </c>
      <c r="C3" s="227">
        <f t="shared" ref="C3:R3" si="0">SUBTOTAL(9,C6:C1048576)</f>
        <v>5</v>
      </c>
      <c r="D3" s="227">
        <f>SUBTOTAL(9,D6:D1048576)/2</f>
        <v>1244636</v>
      </c>
      <c r="E3" s="227">
        <f t="shared" si="0"/>
        <v>3.4186213858588768</v>
      </c>
      <c r="F3" s="227">
        <f>SUBTOTAL(9,F6:F1048576)/2</f>
        <v>1450095.68</v>
      </c>
      <c r="G3" s="228">
        <f>IF(B3&lt;&gt;0,F3/B3,"")</f>
        <v>1.1878649822487339</v>
      </c>
      <c r="H3" s="229">
        <f t="shared" si="0"/>
        <v>10090.060000000001</v>
      </c>
      <c r="I3" s="227">
        <f t="shared" si="0"/>
        <v>1</v>
      </c>
      <c r="J3" s="227">
        <f t="shared" si="0"/>
        <v>12646.050000000005</v>
      </c>
      <c r="K3" s="227">
        <f t="shared" si="0"/>
        <v>1.2533176215007644</v>
      </c>
      <c r="L3" s="227">
        <f t="shared" si="0"/>
        <v>15512.809999999998</v>
      </c>
      <c r="M3" s="230">
        <f>IF(H3&lt;&gt;0,L3/H3,"")</f>
        <v>1.5374348616361049</v>
      </c>
      <c r="N3" s="226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16"/>
      <c r="B5" s="617">
        <v>2013</v>
      </c>
      <c r="C5" s="618"/>
      <c r="D5" s="618">
        <v>2014</v>
      </c>
      <c r="E5" s="618"/>
      <c r="F5" s="618">
        <v>2015</v>
      </c>
      <c r="G5" s="619" t="s">
        <v>2</v>
      </c>
      <c r="H5" s="617">
        <v>2013</v>
      </c>
      <c r="I5" s="618"/>
      <c r="J5" s="618">
        <v>2014</v>
      </c>
      <c r="K5" s="618"/>
      <c r="L5" s="618">
        <v>2015</v>
      </c>
      <c r="M5" s="619" t="s">
        <v>2</v>
      </c>
      <c r="N5" s="617">
        <v>2013</v>
      </c>
      <c r="O5" s="618"/>
      <c r="P5" s="618">
        <v>2014</v>
      </c>
      <c r="Q5" s="618"/>
      <c r="R5" s="618">
        <v>2015</v>
      </c>
      <c r="S5" s="619" t="s">
        <v>2</v>
      </c>
    </row>
    <row r="6" spans="1:19" ht="14.4" customHeight="1" x14ac:dyDescent="0.3">
      <c r="A6" s="577" t="s">
        <v>1454</v>
      </c>
      <c r="B6" s="620">
        <v>1216806</v>
      </c>
      <c r="C6" s="546">
        <v>1</v>
      </c>
      <c r="D6" s="620">
        <v>1244636</v>
      </c>
      <c r="E6" s="546">
        <v>1.0228713533628204</v>
      </c>
      <c r="F6" s="620">
        <v>1450095.68</v>
      </c>
      <c r="G6" s="551">
        <v>1.1917229862443151</v>
      </c>
      <c r="H6" s="620">
        <v>10090.060000000001</v>
      </c>
      <c r="I6" s="546">
        <v>1</v>
      </c>
      <c r="J6" s="620">
        <v>12646.050000000005</v>
      </c>
      <c r="K6" s="546">
        <v>1.2533176215007644</v>
      </c>
      <c r="L6" s="620">
        <v>15512.809999999998</v>
      </c>
      <c r="M6" s="551">
        <v>1.5374348616361049</v>
      </c>
      <c r="N6" s="620"/>
      <c r="O6" s="546"/>
      <c r="P6" s="620"/>
      <c r="Q6" s="546"/>
      <c r="R6" s="620"/>
      <c r="S6" s="125"/>
    </row>
    <row r="7" spans="1:19" ht="14.4" customHeight="1" thickBot="1" x14ac:dyDescent="0.35">
      <c r="A7" s="622" t="s">
        <v>1455</v>
      </c>
      <c r="B7" s="621">
        <v>3952</v>
      </c>
      <c r="C7" s="561">
        <v>1</v>
      </c>
      <c r="D7" s="621"/>
      <c r="E7" s="561"/>
      <c r="F7" s="621"/>
      <c r="G7" s="566"/>
      <c r="H7" s="621"/>
      <c r="I7" s="561"/>
      <c r="J7" s="621"/>
      <c r="K7" s="561"/>
      <c r="L7" s="621"/>
      <c r="M7" s="566"/>
      <c r="N7" s="621"/>
      <c r="O7" s="561"/>
      <c r="P7" s="621"/>
      <c r="Q7" s="561"/>
      <c r="R7" s="621"/>
      <c r="S7" s="567"/>
    </row>
    <row r="8" spans="1:19" ht="14.4" customHeight="1" thickBot="1" x14ac:dyDescent="0.35"/>
    <row r="9" spans="1:19" ht="14.4" customHeight="1" x14ac:dyDescent="0.3">
      <c r="A9" s="577" t="s">
        <v>474</v>
      </c>
      <c r="B9" s="620">
        <v>560129</v>
      </c>
      <c r="C9" s="546">
        <v>1</v>
      </c>
      <c r="D9" s="620">
        <v>602140</v>
      </c>
      <c r="E9" s="546">
        <v>1.0750023655265126</v>
      </c>
      <c r="F9" s="620">
        <v>641103.34</v>
      </c>
      <c r="G9" s="551">
        <v>1.1445637344254627</v>
      </c>
      <c r="H9" s="620"/>
      <c r="I9" s="546"/>
      <c r="J9" s="620"/>
      <c r="K9" s="546"/>
      <c r="L9" s="620"/>
      <c r="M9" s="551"/>
      <c r="N9" s="620"/>
      <c r="O9" s="546"/>
      <c r="P9" s="620"/>
      <c r="Q9" s="546"/>
      <c r="R9" s="620"/>
      <c r="S9" s="125"/>
    </row>
    <row r="10" spans="1:19" ht="14.4" customHeight="1" x14ac:dyDescent="0.3">
      <c r="A10" s="578" t="s">
        <v>479</v>
      </c>
      <c r="B10" s="623">
        <v>549090</v>
      </c>
      <c r="C10" s="553">
        <v>1</v>
      </c>
      <c r="D10" s="623">
        <v>621411</v>
      </c>
      <c r="E10" s="553">
        <v>1.1317106485275639</v>
      </c>
      <c r="F10" s="623">
        <v>781418.34</v>
      </c>
      <c r="G10" s="558">
        <v>1.4231152270119651</v>
      </c>
      <c r="H10" s="623"/>
      <c r="I10" s="553"/>
      <c r="J10" s="623"/>
      <c r="K10" s="553"/>
      <c r="L10" s="623"/>
      <c r="M10" s="558"/>
      <c r="N10" s="623"/>
      <c r="O10" s="553"/>
      <c r="P10" s="623"/>
      <c r="Q10" s="553"/>
      <c r="R10" s="623"/>
      <c r="S10" s="559"/>
    </row>
    <row r="11" spans="1:19" ht="14.4" customHeight="1" thickBot="1" x14ac:dyDescent="0.35">
      <c r="A11" s="622" t="s">
        <v>482</v>
      </c>
      <c r="B11" s="621">
        <v>111539</v>
      </c>
      <c r="C11" s="561">
        <v>1</v>
      </c>
      <c r="D11" s="621">
        <v>21085</v>
      </c>
      <c r="E11" s="561">
        <v>0.18903701844197993</v>
      </c>
      <c r="F11" s="621">
        <v>27574</v>
      </c>
      <c r="G11" s="566">
        <v>0.24721397896699809</v>
      </c>
      <c r="H11" s="621"/>
      <c r="I11" s="561"/>
      <c r="J11" s="621"/>
      <c r="K11" s="561"/>
      <c r="L11" s="621"/>
      <c r="M11" s="566"/>
      <c r="N11" s="621"/>
      <c r="O11" s="561"/>
      <c r="P11" s="621"/>
      <c r="Q11" s="561"/>
      <c r="R11" s="621"/>
      <c r="S11" s="567"/>
    </row>
    <row r="12" spans="1:19" ht="14.4" customHeight="1" x14ac:dyDescent="0.3">
      <c r="A12" s="526" t="s">
        <v>644</v>
      </c>
    </row>
    <row r="13" spans="1:19" ht="14.4" customHeight="1" x14ac:dyDescent="0.3">
      <c r="A13" s="527" t="s">
        <v>645</v>
      </c>
    </row>
    <row r="14" spans="1:19" ht="14.4" customHeight="1" x14ac:dyDescent="0.3">
      <c r="A14" s="526" t="s">
        <v>1457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2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1461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40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5" t="s">
        <v>132</v>
      </c>
      <c r="B3" s="320">
        <f t="shared" ref="B3:G3" si="0">SUBTOTAL(9,B6:B1048576)</f>
        <v>7740</v>
      </c>
      <c r="C3" s="321">
        <f t="shared" si="0"/>
        <v>7694</v>
      </c>
      <c r="D3" s="321">
        <f t="shared" si="0"/>
        <v>8885</v>
      </c>
      <c r="E3" s="229">
        <f t="shared" si="0"/>
        <v>1220758</v>
      </c>
      <c r="F3" s="227">
        <f t="shared" si="0"/>
        <v>1244636</v>
      </c>
      <c r="G3" s="322">
        <f t="shared" si="0"/>
        <v>1450095.6800000002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616"/>
      <c r="B5" s="617">
        <v>2013</v>
      </c>
      <c r="C5" s="618">
        <v>2014</v>
      </c>
      <c r="D5" s="618">
        <v>2015</v>
      </c>
      <c r="E5" s="617">
        <v>2013</v>
      </c>
      <c r="F5" s="618">
        <v>2014</v>
      </c>
      <c r="G5" s="624">
        <v>2015</v>
      </c>
    </row>
    <row r="6" spans="1:7" ht="14.4" customHeight="1" x14ac:dyDescent="0.3">
      <c r="A6" s="577" t="s">
        <v>1458</v>
      </c>
      <c r="B6" s="119">
        <v>1763</v>
      </c>
      <c r="C6" s="119">
        <v>21</v>
      </c>
      <c r="D6" s="119">
        <v>2710</v>
      </c>
      <c r="E6" s="620">
        <v>204038</v>
      </c>
      <c r="F6" s="620">
        <v>2145</v>
      </c>
      <c r="G6" s="625">
        <v>34472.009999999995</v>
      </c>
    </row>
    <row r="7" spans="1:7" ht="14.4" customHeight="1" x14ac:dyDescent="0.3">
      <c r="A7" s="578" t="s">
        <v>647</v>
      </c>
      <c r="B7" s="570">
        <v>583</v>
      </c>
      <c r="C7" s="570">
        <v>610</v>
      </c>
      <c r="D7" s="570">
        <v>1378</v>
      </c>
      <c r="E7" s="623">
        <v>107915</v>
      </c>
      <c r="F7" s="623">
        <v>115128</v>
      </c>
      <c r="G7" s="626">
        <v>348163</v>
      </c>
    </row>
    <row r="8" spans="1:7" ht="14.4" customHeight="1" x14ac:dyDescent="0.3">
      <c r="A8" s="578" t="s">
        <v>648</v>
      </c>
      <c r="B8" s="570">
        <v>1185</v>
      </c>
      <c r="C8" s="570">
        <v>1255</v>
      </c>
      <c r="D8" s="570">
        <v>747</v>
      </c>
      <c r="E8" s="623">
        <v>197211</v>
      </c>
      <c r="F8" s="623">
        <v>192014</v>
      </c>
      <c r="G8" s="626">
        <v>178176</v>
      </c>
    </row>
    <row r="9" spans="1:7" ht="14.4" customHeight="1" x14ac:dyDescent="0.3">
      <c r="A9" s="578" t="s">
        <v>1459</v>
      </c>
      <c r="B9" s="570">
        <v>813</v>
      </c>
      <c r="C9" s="570">
        <v>803</v>
      </c>
      <c r="D9" s="570">
        <v>19</v>
      </c>
      <c r="E9" s="623">
        <v>111179</v>
      </c>
      <c r="F9" s="623">
        <v>129162</v>
      </c>
      <c r="G9" s="626">
        <v>7493</v>
      </c>
    </row>
    <row r="10" spans="1:7" ht="14.4" customHeight="1" x14ac:dyDescent="0.3">
      <c r="A10" s="578" t="s">
        <v>1460</v>
      </c>
      <c r="B10" s="570"/>
      <c r="C10" s="570">
        <v>1484</v>
      </c>
      <c r="D10" s="570">
        <v>523</v>
      </c>
      <c r="E10" s="623"/>
      <c r="F10" s="623">
        <v>258571</v>
      </c>
      <c r="G10" s="626">
        <v>112274.67</v>
      </c>
    </row>
    <row r="11" spans="1:7" ht="14.4" customHeight="1" x14ac:dyDescent="0.3">
      <c r="A11" s="578" t="s">
        <v>649</v>
      </c>
      <c r="B11" s="570">
        <v>1089</v>
      </c>
      <c r="C11" s="570">
        <v>1042</v>
      </c>
      <c r="D11" s="570">
        <v>790</v>
      </c>
      <c r="E11" s="623">
        <v>167353</v>
      </c>
      <c r="F11" s="623">
        <v>128718</v>
      </c>
      <c r="G11" s="626">
        <v>165135</v>
      </c>
    </row>
    <row r="12" spans="1:7" ht="14.4" customHeight="1" x14ac:dyDescent="0.3">
      <c r="A12" s="578" t="s">
        <v>650</v>
      </c>
      <c r="B12" s="570">
        <v>1143</v>
      </c>
      <c r="C12" s="570">
        <v>754</v>
      </c>
      <c r="D12" s="570">
        <v>473</v>
      </c>
      <c r="E12" s="623">
        <v>209510</v>
      </c>
      <c r="F12" s="623">
        <v>152047</v>
      </c>
      <c r="G12" s="626">
        <v>125743</v>
      </c>
    </row>
    <row r="13" spans="1:7" ht="14.4" customHeight="1" x14ac:dyDescent="0.3">
      <c r="A13" s="578" t="s">
        <v>652</v>
      </c>
      <c r="B13" s="570">
        <v>620</v>
      </c>
      <c r="C13" s="570">
        <v>1059</v>
      </c>
      <c r="D13" s="570">
        <v>1634</v>
      </c>
      <c r="E13" s="623">
        <v>126182</v>
      </c>
      <c r="F13" s="623">
        <v>181902</v>
      </c>
      <c r="G13" s="626">
        <v>331515</v>
      </c>
    </row>
    <row r="14" spans="1:7" ht="14.4" customHeight="1" thickBot="1" x14ac:dyDescent="0.35">
      <c r="A14" s="622" t="s">
        <v>651</v>
      </c>
      <c r="B14" s="572">
        <v>544</v>
      </c>
      <c r="C14" s="572">
        <v>666</v>
      </c>
      <c r="D14" s="572">
        <v>611</v>
      </c>
      <c r="E14" s="621">
        <v>97370</v>
      </c>
      <c r="F14" s="621">
        <v>84949</v>
      </c>
      <c r="G14" s="627">
        <v>147124</v>
      </c>
    </row>
    <row r="15" spans="1:7" ht="14.4" customHeight="1" x14ac:dyDescent="0.3">
      <c r="A15" s="526" t="s">
        <v>644</v>
      </c>
    </row>
    <row r="16" spans="1:7" ht="14.4" customHeight="1" x14ac:dyDescent="0.3">
      <c r="A16" s="527" t="s">
        <v>645</v>
      </c>
    </row>
    <row r="17" spans="1:1" ht="14.4" customHeight="1" x14ac:dyDescent="0.3">
      <c r="A17" s="526" t="s">
        <v>1457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customWidth="1"/>
    <col min="4" max="4" width="50.88671875" style="133" bestFit="1" customWidth="1"/>
    <col min="5" max="6" width="11.109375" style="212" customWidth="1"/>
    <col min="7" max="8" width="9.33203125" style="133" hidden="1" customWidth="1"/>
    <col min="9" max="10" width="11.109375" style="212" customWidth="1"/>
    <col min="11" max="12" width="9.33203125" style="133" hidden="1" customWidth="1"/>
    <col min="13" max="14" width="11.109375" style="212" customWidth="1"/>
    <col min="15" max="15" width="11.109375" style="215" customWidth="1"/>
    <col min="16" max="16" width="11.109375" style="212" customWidth="1"/>
    <col min="17" max="16384" width="8.88671875" style="133"/>
  </cols>
  <sheetData>
    <row r="1" spans="1:16" ht="18.600000000000001" customHeight="1" thickBot="1" x14ac:dyDescent="0.4">
      <c r="A1" s="330" t="s">
        <v>1655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</row>
    <row r="2" spans="1:16" ht="14.4" customHeight="1" thickBot="1" x14ac:dyDescent="0.35">
      <c r="A2" s="240" t="s">
        <v>286</v>
      </c>
      <c r="B2" s="134"/>
      <c r="C2" s="319"/>
      <c r="D2" s="134"/>
      <c r="E2" s="233"/>
      <c r="F2" s="233"/>
      <c r="G2" s="134"/>
      <c r="H2" s="134"/>
      <c r="I2" s="233"/>
      <c r="J2" s="233"/>
      <c r="K2" s="134"/>
      <c r="L2" s="134"/>
      <c r="M2" s="233"/>
      <c r="N2" s="233"/>
      <c r="O2" s="234"/>
      <c r="P2" s="233"/>
    </row>
    <row r="3" spans="1:16" ht="14.4" customHeight="1" thickBot="1" x14ac:dyDescent="0.35">
      <c r="D3" s="87" t="s">
        <v>132</v>
      </c>
      <c r="E3" s="103">
        <f t="shared" ref="E3:N3" si="0">SUBTOTAL(9,E6:E1048576)</f>
        <v>7798.0599999999995</v>
      </c>
      <c r="F3" s="104">
        <f t="shared" si="0"/>
        <v>1230848.06</v>
      </c>
      <c r="G3" s="74"/>
      <c r="H3" s="74"/>
      <c r="I3" s="104">
        <f t="shared" si="0"/>
        <v>7776.4</v>
      </c>
      <c r="J3" s="104">
        <f t="shared" si="0"/>
        <v>1257282.05</v>
      </c>
      <c r="K3" s="74"/>
      <c r="L3" s="74"/>
      <c r="M3" s="104">
        <f t="shared" si="0"/>
        <v>8982.91</v>
      </c>
      <c r="N3" s="104">
        <f t="shared" si="0"/>
        <v>1465608.49</v>
      </c>
      <c r="O3" s="75">
        <f>IF(F3=0,0,N3/F3)</f>
        <v>1.1907306333163492</v>
      </c>
      <c r="P3" s="105">
        <f>IF(M3=0,0,N3/M3)</f>
        <v>163.15520137683669</v>
      </c>
    </row>
    <row r="4" spans="1:16" ht="14.4" customHeight="1" x14ac:dyDescent="0.3">
      <c r="A4" s="411" t="s">
        <v>96</v>
      </c>
      <c r="B4" s="412" t="s">
        <v>97</v>
      </c>
      <c r="C4" s="417" t="s">
        <v>71</v>
      </c>
      <c r="D4" s="413" t="s">
        <v>70</v>
      </c>
      <c r="E4" s="414">
        <v>2013</v>
      </c>
      <c r="F4" s="415"/>
      <c r="G4" s="102"/>
      <c r="H4" s="102"/>
      <c r="I4" s="414">
        <v>2014</v>
      </c>
      <c r="J4" s="415"/>
      <c r="K4" s="102"/>
      <c r="L4" s="102"/>
      <c r="M4" s="414">
        <v>2015</v>
      </c>
      <c r="N4" s="415"/>
      <c r="O4" s="416" t="s">
        <v>2</v>
      </c>
      <c r="P4" s="410" t="s">
        <v>99</v>
      </c>
    </row>
    <row r="5" spans="1:16" ht="14.4" customHeight="1" thickBot="1" x14ac:dyDescent="0.35">
      <c r="A5" s="628"/>
      <c r="B5" s="629"/>
      <c r="C5" s="630"/>
      <c r="D5" s="631"/>
      <c r="E5" s="632" t="s">
        <v>72</v>
      </c>
      <c r="F5" s="633" t="s">
        <v>14</v>
      </c>
      <c r="G5" s="634"/>
      <c r="H5" s="634"/>
      <c r="I5" s="632" t="s">
        <v>72</v>
      </c>
      <c r="J5" s="633" t="s">
        <v>14</v>
      </c>
      <c r="K5" s="634"/>
      <c r="L5" s="634"/>
      <c r="M5" s="632" t="s">
        <v>72</v>
      </c>
      <c r="N5" s="633" t="s">
        <v>14</v>
      </c>
      <c r="O5" s="635"/>
      <c r="P5" s="636"/>
    </row>
    <row r="6" spans="1:16" ht="14.4" customHeight="1" x14ac:dyDescent="0.3">
      <c r="A6" s="545" t="s">
        <v>1462</v>
      </c>
      <c r="B6" s="546" t="s">
        <v>1463</v>
      </c>
      <c r="C6" s="546" t="s">
        <v>1464</v>
      </c>
      <c r="D6" s="546" t="s">
        <v>1465</v>
      </c>
      <c r="E6" s="119"/>
      <c r="F6" s="119"/>
      <c r="G6" s="546"/>
      <c r="H6" s="546"/>
      <c r="I6" s="119">
        <v>10.9</v>
      </c>
      <c r="J6" s="119">
        <v>1229.5199999999998</v>
      </c>
      <c r="K6" s="546"/>
      <c r="L6" s="546">
        <v>112.79999999999997</v>
      </c>
      <c r="M6" s="119">
        <v>22.4</v>
      </c>
      <c r="N6" s="119">
        <v>2600.6400000000003</v>
      </c>
      <c r="O6" s="551"/>
      <c r="P6" s="569">
        <v>116.10000000000002</v>
      </c>
    </row>
    <row r="7" spans="1:16" ht="14.4" customHeight="1" x14ac:dyDescent="0.3">
      <c r="A7" s="552" t="s">
        <v>1462</v>
      </c>
      <c r="B7" s="553" t="s">
        <v>1463</v>
      </c>
      <c r="C7" s="553" t="s">
        <v>1466</v>
      </c>
      <c r="D7" s="553" t="s">
        <v>1467</v>
      </c>
      <c r="E7" s="570">
        <v>48.6</v>
      </c>
      <c r="F7" s="570">
        <v>7658.6499999999978</v>
      </c>
      <c r="G7" s="553">
        <v>1</v>
      </c>
      <c r="H7" s="553">
        <v>157.585390946502</v>
      </c>
      <c r="I7" s="570">
        <v>54.100000000000009</v>
      </c>
      <c r="J7" s="570">
        <v>8542.7999999999975</v>
      </c>
      <c r="K7" s="553">
        <v>1.1154446279696812</v>
      </c>
      <c r="L7" s="553">
        <v>157.90757855822542</v>
      </c>
      <c r="M7" s="570">
        <v>58.110000000000035</v>
      </c>
      <c r="N7" s="570">
        <v>8746.4300000000039</v>
      </c>
      <c r="O7" s="558">
        <v>1.1420328647999329</v>
      </c>
      <c r="P7" s="571">
        <v>150.51505764928581</v>
      </c>
    </row>
    <row r="8" spans="1:16" ht="14.4" customHeight="1" x14ac:dyDescent="0.3">
      <c r="A8" s="552" t="s">
        <v>1462</v>
      </c>
      <c r="B8" s="553" t="s">
        <v>1463</v>
      </c>
      <c r="C8" s="553" t="s">
        <v>1468</v>
      </c>
      <c r="D8" s="553" t="s">
        <v>1469</v>
      </c>
      <c r="E8" s="570">
        <v>6.4600000000000009</v>
      </c>
      <c r="F8" s="570">
        <v>1712.5400000000002</v>
      </c>
      <c r="G8" s="553">
        <v>1</v>
      </c>
      <c r="H8" s="553">
        <v>265.09907120743031</v>
      </c>
      <c r="I8" s="570">
        <v>6.4000000000000012</v>
      </c>
      <c r="J8" s="570">
        <v>1696.6399999999999</v>
      </c>
      <c r="K8" s="553">
        <v>0.99071554533032791</v>
      </c>
      <c r="L8" s="553">
        <v>265.09999999999991</v>
      </c>
      <c r="M8" s="570">
        <v>15.399999999999999</v>
      </c>
      <c r="N8" s="570">
        <v>3904.6700000000005</v>
      </c>
      <c r="O8" s="558">
        <v>2.2800460135237719</v>
      </c>
      <c r="P8" s="571">
        <v>253.55000000000007</v>
      </c>
    </row>
    <row r="9" spans="1:16" ht="14.4" customHeight="1" x14ac:dyDescent="0.3">
      <c r="A9" s="552" t="s">
        <v>1462</v>
      </c>
      <c r="B9" s="553" t="s">
        <v>1463</v>
      </c>
      <c r="C9" s="553" t="s">
        <v>1470</v>
      </c>
      <c r="D9" s="553" t="s">
        <v>1471</v>
      </c>
      <c r="E9" s="570"/>
      <c r="F9" s="570"/>
      <c r="G9" s="553"/>
      <c r="H9" s="553"/>
      <c r="I9" s="570">
        <v>0.1</v>
      </c>
      <c r="J9" s="570">
        <v>10.54</v>
      </c>
      <c r="K9" s="553"/>
      <c r="L9" s="553">
        <v>105.39999999999999</v>
      </c>
      <c r="M9" s="570"/>
      <c r="N9" s="570"/>
      <c r="O9" s="558"/>
      <c r="P9" s="571"/>
    </row>
    <row r="10" spans="1:16" ht="14.4" customHeight="1" x14ac:dyDescent="0.3">
      <c r="A10" s="552" t="s">
        <v>1462</v>
      </c>
      <c r="B10" s="553" t="s">
        <v>1463</v>
      </c>
      <c r="C10" s="553" t="s">
        <v>1472</v>
      </c>
      <c r="D10" s="553" t="s">
        <v>588</v>
      </c>
      <c r="E10" s="570"/>
      <c r="F10" s="570"/>
      <c r="G10" s="553"/>
      <c r="H10" s="553"/>
      <c r="I10" s="570">
        <v>0.1</v>
      </c>
      <c r="J10" s="570">
        <v>40.42</v>
      </c>
      <c r="K10" s="553"/>
      <c r="L10" s="553">
        <v>404.2</v>
      </c>
      <c r="M10" s="570"/>
      <c r="N10" s="570"/>
      <c r="O10" s="558"/>
      <c r="P10" s="571"/>
    </row>
    <row r="11" spans="1:16" ht="14.4" customHeight="1" x14ac:dyDescent="0.3">
      <c r="A11" s="552" t="s">
        <v>1462</v>
      </c>
      <c r="B11" s="553" t="s">
        <v>1463</v>
      </c>
      <c r="C11" s="553" t="s">
        <v>1473</v>
      </c>
      <c r="D11" s="553" t="s">
        <v>1474</v>
      </c>
      <c r="E11" s="570"/>
      <c r="F11" s="570"/>
      <c r="G11" s="553"/>
      <c r="H11" s="553"/>
      <c r="I11" s="570">
        <v>0.2</v>
      </c>
      <c r="J11" s="570">
        <v>75.95</v>
      </c>
      <c r="K11" s="553"/>
      <c r="L11" s="553">
        <v>379.75</v>
      </c>
      <c r="M11" s="570"/>
      <c r="N11" s="570"/>
      <c r="O11" s="558"/>
      <c r="P11" s="571"/>
    </row>
    <row r="12" spans="1:16" ht="14.4" customHeight="1" x14ac:dyDescent="0.3">
      <c r="A12" s="552" t="s">
        <v>1462</v>
      </c>
      <c r="B12" s="553" t="s">
        <v>1463</v>
      </c>
      <c r="C12" s="553" t="s">
        <v>1475</v>
      </c>
      <c r="D12" s="553" t="s">
        <v>1476</v>
      </c>
      <c r="E12" s="570">
        <v>0.1</v>
      </c>
      <c r="F12" s="570">
        <v>7.75</v>
      </c>
      <c r="G12" s="553">
        <v>1</v>
      </c>
      <c r="H12" s="553">
        <v>77.5</v>
      </c>
      <c r="I12" s="570"/>
      <c r="J12" s="570"/>
      <c r="K12" s="553"/>
      <c r="L12" s="553"/>
      <c r="M12" s="570"/>
      <c r="N12" s="570"/>
      <c r="O12" s="558"/>
      <c r="P12" s="571"/>
    </row>
    <row r="13" spans="1:16" ht="14.4" customHeight="1" x14ac:dyDescent="0.3">
      <c r="A13" s="552" t="s">
        <v>1462</v>
      </c>
      <c r="B13" s="553" t="s">
        <v>1463</v>
      </c>
      <c r="C13" s="553" t="s">
        <v>1477</v>
      </c>
      <c r="D13" s="553" t="s">
        <v>1478</v>
      </c>
      <c r="E13" s="570">
        <v>0.4</v>
      </c>
      <c r="F13" s="570">
        <v>278.16000000000003</v>
      </c>
      <c r="G13" s="553">
        <v>1</v>
      </c>
      <c r="H13" s="553">
        <v>695.4</v>
      </c>
      <c r="I13" s="570"/>
      <c r="J13" s="570"/>
      <c r="K13" s="553"/>
      <c r="L13" s="553"/>
      <c r="M13" s="570"/>
      <c r="N13" s="570"/>
      <c r="O13" s="558"/>
      <c r="P13" s="571"/>
    </row>
    <row r="14" spans="1:16" ht="14.4" customHeight="1" x14ac:dyDescent="0.3">
      <c r="A14" s="552" t="s">
        <v>1462</v>
      </c>
      <c r="B14" s="553" t="s">
        <v>1463</v>
      </c>
      <c r="C14" s="553" t="s">
        <v>1479</v>
      </c>
      <c r="D14" s="553" t="s">
        <v>596</v>
      </c>
      <c r="E14" s="570">
        <v>0.5</v>
      </c>
      <c r="F14" s="570">
        <v>50.400000000000006</v>
      </c>
      <c r="G14" s="553">
        <v>1</v>
      </c>
      <c r="H14" s="553">
        <v>100.80000000000001</v>
      </c>
      <c r="I14" s="570">
        <v>0.6</v>
      </c>
      <c r="J14" s="570">
        <v>60.48</v>
      </c>
      <c r="K14" s="553">
        <v>1.1999999999999997</v>
      </c>
      <c r="L14" s="553">
        <v>100.8</v>
      </c>
      <c r="M14" s="570">
        <v>0.7</v>
      </c>
      <c r="N14" s="570">
        <v>94.85</v>
      </c>
      <c r="O14" s="558">
        <v>1.8819444444444442</v>
      </c>
      <c r="P14" s="571">
        <v>135.5</v>
      </c>
    </row>
    <row r="15" spans="1:16" ht="14.4" customHeight="1" x14ac:dyDescent="0.3">
      <c r="A15" s="552" t="s">
        <v>1462</v>
      </c>
      <c r="B15" s="553" t="s">
        <v>1463</v>
      </c>
      <c r="C15" s="553" t="s">
        <v>1480</v>
      </c>
      <c r="D15" s="553" t="s">
        <v>530</v>
      </c>
      <c r="E15" s="570"/>
      <c r="F15" s="570"/>
      <c r="G15" s="553"/>
      <c r="H15" s="553"/>
      <c r="I15" s="570">
        <v>3</v>
      </c>
      <c r="J15" s="570">
        <v>454.68</v>
      </c>
      <c r="K15" s="553"/>
      <c r="L15" s="553">
        <v>151.56</v>
      </c>
      <c r="M15" s="570">
        <v>1.1000000000000001</v>
      </c>
      <c r="N15" s="570">
        <v>159.46</v>
      </c>
      <c r="O15" s="558"/>
      <c r="P15" s="571">
        <v>144.96363636363637</v>
      </c>
    </row>
    <row r="16" spans="1:16" ht="14.4" customHeight="1" x14ac:dyDescent="0.3">
      <c r="A16" s="552" t="s">
        <v>1462</v>
      </c>
      <c r="B16" s="553" t="s">
        <v>1463</v>
      </c>
      <c r="C16" s="553" t="s">
        <v>1481</v>
      </c>
      <c r="D16" s="553" t="s">
        <v>489</v>
      </c>
      <c r="E16" s="570"/>
      <c r="F16" s="570"/>
      <c r="G16" s="553"/>
      <c r="H16" s="553"/>
      <c r="I16" s="570"/>
      <c r="J16" s="570"/>
      <c r="K16" s="553"/>
      <c r="L16" s="553"/>
      <c r="M16" s="570">
        <v>0.2</v>
      </c>
      <c r="N16" s="570">
        <v>6.76</v>
      </c>
      <c r="O16" s="558"/>
      <c r="P16" s="571">
        <v>33.799999999999997</v>
      </c>
    </row>
    <row r="17" spans="1:16" ht="14.4" customHeight="1" x14ac:dyDescent="0.3">
      <c r="A17" s="552" t="s">
        <v>1462</v>
      </c>
      <c r="B17" s="553" t="s">
        <v>1482</v>
      </c>
      <c r="C17" s="553" t="s">
        <v>1483</v>
      </c>
      <c r="D17" s="553" t="s">
        <v>1484</v>
      </c>
      <c r="E17" s="570"/>
      <c r="F17" s="570"/>
      <c r="G17" s="553"/>
      <c r="H17" s="553"/>
      <c r="I17" s="570">
        <v>4</v>
      </c>
      <c r="J17" s="570">
        <v>360.64</v>
      </c>
      <c r="K17" s="553"/>
      <c r="L17" s="553">
        <v>90.16</v>
      </c>
      <c r="M17" s="570"/>
      <c r="N17" s="570"/>
      <c r="O17" s="558"/>
      <c r="P17" s="571"/>
    </row>
    <row r="18" spans="1:16" ht="14.4" customHeight="1" x14ac:dyDescent="0.3">
      <c r="A18" s="552" t="s">
        <v>1462</v>
      </c>
      <c r="B18" s="553" t="s">
        <v>1482</v>
      </c>
      <c r="C18" s="553" t="s">
        <v>1485</v>
      </c>
      <c r="D18" s="553" t="s">
        <v>1486</v>
      </c>
      <c r="E18" s="570"/>
      <c r="F18" s="570"/>
      <c r="G18" s="553"/>
      <c r="H18" s="553"/>
      <c r="I18" s="570">
        <v>1</v>
      </c>
      <c r="J18" s="570">
        <v>58.6</v>
      </c>
      <c r="K18" s="553"/>
      <c r="L18" s="553">
        <v>58.6</v>
      </c>
      <c r="M18" s="570"/>
      <c r="N18" s="570"/>
      <c r="O18" s="558"/>
      <c r="P18" s="571"/>
    </row>
    <row r="19" spans="1:16" ht="14.4" customHeight="1" x14ac:dyDescent="0.3">
      <c r="A19" s="552" t="s">
        <v>1462</v>
      </c>
      <c r="B19" s="553" t="s">
        <v>1482</v>
      </c>
      <c r="C19" s="553" t="s">
        <v>1487</v>
      </c>
      <c r="D19" s="553" t="s">
        <v>1488</v>
      </c>
      <c r="E19" s="570">
        <v>2</v>
      </c>
      <c r="F19" s="570">
        <v>382.56</v>
      </c>
      <c r="G19" s="553">
        <v>1</v>
      </c>
      <c r="H19" s="553">
        <v>191.28</v>
      </c>
      <c r="I19" s="570"/>
      <c r="J19" s="570"/>
      <c r="K19" s="553"/>
      <c r="L19" s="553"/>
      <c r="M19" s="570"/>
      <c r="N19" s="570"/>
      <c r="O19" s="558"/>
      <c r="P19" s="571"/>
    </row>
    <row r="20" spans="1:16" ht="14.4" customHeight="1" x14ac:dyDescent="0.3">
      <c r="A20" s="552" t="s">
        <v>1462</v>
      </c>
      <c r="B20" s="553" t="s">
        <v>1482</v>
      </c>
      <c r="C20" s="553" t="s">
        <v>1489</v>
      </c>
      <c r="D20" s="553" t="s">
        <v>1490</v>
      </c>
      <c r="E20" s="570"/>
      <c r="F20" s="570"/>
      <c r="G20" s="553"/>
      <c r="H20" s="553"/>
      <c r="I20" s="570">
        <v>2</v>
      </c>
      <c r="J20" s="570">
        <v>115.78</v>
      </c>
      <c r="K20" s="553"/>
      <c r="L20" s="553">
        <v>57.89</v>
      </c>
      <c r="M20" s="570"/>
      <c r="N20" s="570"/>
      <c r="O20" s="558"/>
      <c r="P20" s="571"/>
    </row>
    <row r="21" spans="1:16" ht="14.4" customHeight="1" x14ac:dyDescent="0.3">
      <c r="A21" s="552" t="s">
        <v>1462</v>
      </c>
      <c r="B21" s="553" t="s">
        <v>1491</v>
      </c>
      <c r="C21" s="553" t="s">
        <v>1492</v>
      </c>
      <c r="D21" s="553" t="s">
        <v>1493</v>
      </c>
      <c r="E21" s="570">
        <v>2</v>
      </c>
      <c r="F21" s="570">
        <v>256</v>
      </c>
      <c r="G21" s="553">
        <v>1</v>
      </c>
      <c r="H21" s="553">
        <v>128</v>
      </c>
      <c r="I21" s="570">
        <v>1</v>
      </c>
      <c r="J21" s="570">
        <v>128</v>
      </c>
      <c r="K21" s="553">
        <v>0.5</v>
      </c>
      <c r="L21" s="553">
        <v>128</v>
      </c>
      <c r="M21" s="570"/>
      <c r="N21" s="570"/>
      <c r="O21" s="558"/>
      <c r="P21" s="571"/>
    </row>
    <row r="22" spans="1:16" ht="14.4" customHeight="1" x14ac:dyDescent="0.3">
      <c r="A22" s="552" t="s">
        <v>1462</v>
      </c>
      <c r="B22" s="553" t="s">
        <v>1491</v>
      </c>
      <c r="C22" s="553" t="s">
        <v>1494</v>
      </c>
      <c r="D22" s="553" t="s">
        <v>1495</v>
      </c>
      <c r="E22" s="570">
        <v>1</v>
      </c>
      <c r="F22" s="570">
        <v>73</v>
      </c>
      <c r="G22" s="553">
        <v>1</v>
      </c>
      <c r="H22" s="553">
        <v>73</v>
      </c>
      <c r="I22" s="570">
        <v>2</v>
      </c>
      <c r="J22" s="570">
        <v>146</v>
      </c>
      <c r="K22" s="553">
        <v>2</v>
      </c>
      <c r="L22" s="553">
        <v>73</v>
      </c>
      <c r="M22" s="570">
        <v>5</v>
      </c>
      <c r="N22" s="570">
        <v>370</v>
      </c>
      <c r="O22" s="558">
        <v>5.0684931506849313</v>
      </c>
      <c r="P22" s="571">
        <v>74</v>
      </c>
    </row>
    <row r="23" spans="1:16" ht="14.4" customHeight="1" x14ac:dyDescent="0.3">
      <c r="A23" s="552" t="s">
        <v>1462</v>
      </c>
      <c r="B23" s="553" t="s">
        <v>1491</v>
      </c>
      <c r="C23" s="553" t="s">
        <v>1496</v>
      </c>
      <c r="D23" s="553" t="s">
        <v>1497</v>
      </c>
      <c r="E23" s="570"/>
      <c r="F23" s="570"/>
      <c r="G23" s="553"/>
      <c r="H23" s="553"/>
      <c r="I23" s="570">
        <v>1</v>
      </c>
      <c r="J23" s="570">
        <v>156</v>
      </c>
      <c r="K23" s="553"/>
      <c r="L23" s="553">
        <v>156</v>
      </c>
      <c r="M23" s="570"/>
      <c r="N23" s="570"/>
      <c r="O23" s="558"/>
      <c r="P23" s="571"/>
    </row>
    <row r="24" spans="1:16" ht="14.4" customHeight="1" x14ac:dyDescent="0.3">
      <c r="A24" s="552" t="s">
        <v>1462</v>
      </c>
      <c r="B24" s="553" t="s">
        <v>1491</v>
      </c>
      <c r="C24" s="553" t="s">
        <v>1498</v>
      </c>
      <c r="D24" s="553" t="s">
        <v>1499</v>
      </c>
      <c r="E24" s="570">
        <v>6</v>
      </c>
      <c r="F24" s="570">
        <v>480</v>
      </c>
      <c r="G24" s="553">
        <v>1</v>
      </c>
      <c r="H24" s="553">
        <v>80</v>
      </c>
      <c r="I24" s="570">
        <v>175</v>
      </c>
      <c r="J24" s="570">
        <v>14013</v>
      </c>
      <c r="K24" s="553">
        <v>29.193750000000001</v>
      </c>
      <c r="L24" s="553">
        <v>80.074285714285708</v>
      </c>
      <c r="M24" s="570">
        <v>347</v>
      </c>
      <c r="N24" s="570">
        <v>28107</v>
      </c>
      <c r="O24" s="558">
        <v>58.556249999999999</v>
      </c>
      <c r="P24" s="571">
        <v>81</v>
      </c>
    </row>
    <row r="25" spans="1:16" ht="14.4" customHeight="1" x14ac:dyDescent="0.3">
      <c r="A25" s="552" t="s">
        <v>1462</v>
      </c>
      <c r="B25" s="553" t="s">
        <v>1491</v>
      </c>
      <c r="C25" s="553" t="s">
        <v>1500</v>
      </c>
      <c r="D25" s="553" t="s">
        <v>1501</v>
      </c>
      <c r="E25" s="570">
        <v>764</v>
      </c>
      <c r="F25" s="570">
        <v>78692</v>
      </c>
      <c r="G25" s="553">
        <v>1</v>
      </c>
      <c r="H25" s="553">
        <v>103</v>
      </c>
      <c r="I25" s="570">
        <v>925</v>
      </c>
      <c r="J25" s="570">
        <v>95617</v>
      </c>
      <c r="K25" s="553">
        <v>1.2150790423422966</v>
      </c>
      <c r="L25" s="553">
        <v>103.36972972972973</v>
      </c>
      <c r="M25" s="570">
        <v>737</v>
      </c>
      <c r="N25" s="570">
        <v>76648</v>
      </c>
      <c r="O25" s="558">
        <v>0.97402531388197022</v>
      </c>
      <c r="P25" s="571">
        <v>104</v>
      </c>
    </row>
    <row r="26" spans="1:16" ht="14.4" customHeight="1" x14ac:dyDescent="0.3">
      <c r="A26" s="552" t="s">
        <v>1462</v>
      </c>
      <c r="B26" s="553" t="s">
        <v>1491</v>
      </c>
      <c r="C26" s="553" t="s">
        <v>1502</v>
      </c>
      <c r="D26" s="553" t="s">
        <v>1503</v>
      </c>
      <c r="E26" s="570">
        <v>561</v>
      </c>
      <c r="F26" s="570">
        <v>19074</v>
      </c>
      <c r="G26" s="553">
        <v>1</v>
      </c>
      <c r="H26" s="553">
        <v>34</v>
      </c>
      <c r="I26" s="570">
        <v>904</v>
      </c>
      <c r="J26" s="570">
        <v>30977</v>
      </c>
      <c r="K26" s="553">
        <v>1.6240432001677676</v>
      </c>
      <c r="L26" s="553">
        <v>34.266592920353979</v>
      </c>
      <c r="M26" s="570">
        <v>168</v>
      </c>
      <c r="N26" s="570">
        <v>5880</v>
      </c>
      <c r="O26" s="558">
        <v>0.30827304183705567</v>
      </c>
      <c r="P26" s="571">
        <v>35</v>
      </c>
    </row>
    <row r="27" spans="1:16" ht="14.4" customHeight="1" x14ac:dyDescent="0.3">
      <c r="A27" s="552" t="s">
        <v>1462</v>
      </c>
      <c r="B27" s="553" t="s">
        <v>1491</v>
      </c>
      <c r="C27" s="553" t="s">
        <v>1504</v>
      </c>
      <c r="D27" s="553" t="s">
        <v>1505</v>
      </c>
      <c r="E27" s="570"/>
      <c r="F27" s="570"/>
      <c r="G27" s="553"/>
      <c r="H27" s="553"/>
      <c r="I27" s="570">
        <v>1</v>
      </c>
      <c r="J27" s="570">
        <v>5</v>
      </c>
      <c r="K27" s="553"/>
      <c r="L27" s="553">
        <v>5</v>
      </c>
      <c r="M27" s="570">
        <v>2</v>
      </c>
      <c r="N27" s="570">
        <v>10</v>
      </c>
      <c r="O27" s="558"/>
      <c r="P27" s="571">
        <v>5</v>
      </c>
    </row>
    <row r="28" spans="1:16" ht="14.4" customHeight="1" x14ac:dyDescent="0.3">
      <c r="A28" s="552" t="s">
        <v>1462</v>
      </c>
      <c r="B28" s="553" t="s">
        <v>1491</v>
      </c>
      <c r="C28" s="553" t="s">
        <v>1506</v>
      </c>
      <c r="D28" s="553" t="s">
        <v>1507</v>
      </c>
      <c r="E28" s="570"/>
      <c r="F28" s="570"/>
      <c r="G28" s="553"/>
      <c r="H28" s="553"/>
      <c r="I28" s="570">
        <v>1</v>
      </c>
      <c r="J28" s="570">
        <v>5</v>
      </c>
      <c r="K28" s="553"/>
      <c r="L28" s="553">
        <v>5</v>
      </c>
      <c r="M28" s="570">
        <v>2</v>
      </c>
      <c r="N28" s="570">
        <v>10</v>
      </c>
      <c r="O28" s="558"/>
      <c r="P28" s="571">
        <v>5</v>
      </c>
    </row>
    <row r="29" spans="1:16" ht="14.4" customHeight="1" x14ac:dyDescent="0.3">
      <c r="A29" s="552" t="s">
        <v>1462</v>
      </c>
      <c r="B29" s="553" t="s">
        <v>1491</v>
      </c>
      <c r="C29" s="553" t="s">
        <v>1508</v>
      </c>
      <c r="D29" s="553" t="s">
        <v>1509</v>
      </c>
      <c r="E29" s="570">
        <v>75</v>
      </c>
      <c r="F29" s="570">
        <v>47850</v>
      </c>
      <c r="G29" s="553">
        <v>1</v>
      </c>
      <c r="H29" s="553">
        <v>638</v>
      </c>
      <c r="I29" s="570">
        <v>22</v>
      </c>
      <c r="J29" s="570">
        <v>14039</v>
      </c>
      <c r="K29" s="553">
        <v>0.29339602925809821</v>
      </c>
      <c r="L29" s="553">
        <v>638.13636363636363</v>
      </c>
      <c r="M29" s="570">
        <v>13</v>
      </c>
      <c r="N29" s="570">
        <v>8346</v>
      </c>
      <c r="O29" s="558">
        <v>0.17442006269592478</v>
      </c>
      <c r="P29" s="571">
        <v>642</v>
      </c>
    </row>
    <row r="30" spans="1:16" ht="14.4" customHeight="1" x14ac:dyDescent="0.3">
      <c r="A30" s="552" t="s">
        <v>1462</v>
      </c>
      <c r="B30" s="553" t="s">
        <v>1491</v>
      </c>
      <c r="C30" s="553" t="s">
        <v>1510</v>
      </c>
      <c r="D30" s="553" t="s">
        <v>1511</v>
      </c>
      <c r="E30" s="570"/>
      <c r="F30" s="570"/>
      <c r="G30" s="553"/>
      <c r="H30" s="553"/>
      <c r="I30" s="570">
        <v>1</v>
      </c>
      <c r="J30" s="570">
        <v>164</v>
      </c>
      <c r="K30" s="553"/>
      <c r="L30" s="553">
        <v>164</v>
      </c>
      <c r="M30" s="570"/>
      <c r="N30" s="570"/>
      <c r="O30" s="558"/>
      <c r="P30" s="571"/>
    </row>
    <row r="31" spans="1:16" ht="14.4" customHeight="1" x14ac:dyDescent="0.3">
      <c r="A31" s="552" t="s">
        <v>1462</v>
      </c>
      <c r="B31" s="553" t="s">
        <v>1491</v>
      </c>
      <c r="C31" s="553" t="s">
        <v>1512</v>
      </c>
      <c r="D31" s="553" t="s">
        <v>1513</v>
      </c>
      <c r="E31" s="570">
        <v>7</v>
      </c>
      <c r="F31" s="570">
        <v>1092</v>
      </c>
      <c r="G31" s="553">
        <v>1</v>
      </c>
      <c r="H31" s="553">
        <v>156</v>
      </c>
      <c r="I31" s="570">
        <v>12</v>
      </c>
      <c r="J31" s="570">
        <v>1874</v>
      </c>
      <c r="K31" s="553">
        <v>1.716117216117216</v>
      </c>
      <c r="L31" s="553">
        <v>156.16666666666666</v>
      </c>
      <c r="M31" s="570">
        <v>3</v>
      </c>
      <c r="N31" s="570">
        <v>477</v>
      </c>
      <c r="O31" s="558">
        <v>0.43681318681318682</v>
      </c>
      <c r="P31" s="571">
        <v>159</v>
      </c>
    </row>
    <row r="32" spans="1:16" ht="14.4" customHeight="1" x14ac:dyDescent="0.3">
      <c r="A32" s="552" t="s">
        <v>1462</v>
      </c>
      <c r="B32" s="553" t="s">
        <v>1491</v>
      </c>
      <c r="C32" s="553" t="s">
        <v>1514</v>
      </c>
      <c r="D32" s="553" t="s">
        <v>1501</v>
      </c>
      <c r="E32" s="570">
        <v>13</v>
      </c>
      <c r="F32" s="570">
        <v>2483</v>
      </c>
      <c r="G32" s="553">
        <v>1</v>
      </c>
      <c r="H32" s="553">
        <v>191</v>
      </c>
      <c r="I32" s="570">
        <v>1</v>
      </c>
      <c r="J32" s="570">
        <v>191</v>
      </c>
      <c r="K32" s="553">
        <v>7.6923076923076927E-2</v>
      </c>
      <c r="L32" s="553">
        <v>191</v>
      </c>
      <c r="M32" s="570"/>
      <c r="N32" s="570"/>
      <c r="O32" s="558"/>
      <c r="P32" s="571"/>
    </row>
    <row r="33" spans="1:16" ht="14.4" customHeight="1" x14ac:dyDescent="0.3">
      <c r="A33" s="552" t="s">
        <v>1462</v>
      </c>
      <c r="B33" s="553" t="s">
        <v>1491</v>
      </c>
      <c r="C33" s="553" t="s">
        <v>1515</v>
      </c>
      <c r="D33" s="553" t="s">
        <v>1516</v>
      </c>
      <c r="E33" s="570">
        <v>570</v>
      </c>
      <c r="F33" s="570">
        <v>132240</v>
      </c>
      <c r="G33" s="553">
        <v>1</v>
      </c>
      <c r="H33" s="553">
        <v>232</v>
      </c>
      <c r="I33" s="570">
        <v>712</v>
      </c>
      <c r="J33" s="570">
        <v>165504</v>
      </c>
      <c r="K33" s="553">
        <v>1.2515426497277677</v>
      </c>
      <c r="L33" s="553">
        <v>232.44943820224719</v>
      </c>
      <c r="M33" s="570">
        <v>620</v>
      </c>
      <c r="N33" s="570">
        <v>145700</v>
      </c>
      <c r="O33" s="558">
        <v>1.10178463399879</v>
      </c>
      <c r="P33" s="571">
        <v>235</v>
      </c>
    </row>
    <row r="34" spans="1:16" ht="14.4" customHeight="1" x14ac:dyDescent="0.3">
      <c r="A34" s="552" t="s">
        <v>1462</v>
      </c>
      <c r="B34" s="553" t="s">
        <v>1491</v>
      </c>
      <c r="C34" s="553" t="s">
        <v>1517</v>
      </c>
      <c r="D34" s="553" t="s">
        <v>1518</v>
      </c>
      <c r="E34" s="570">
        <v>1897</v>
      </c>
      <c r="F34" s="570">
        <v>220052</v>
      </c>
      <c r="G34" s="553">
        <v>1</v>
      </c>
      <c r="H34" s="553">
        <v>116</v>
      </c>
      <c r="I34" s="570">
        <v>1644</v>
      </c>
      <c r="J34" s="570">
        <v>191624</v>
      </c>
      <c r="K34" s="553">
        <v>0.87081235344373153</v>
      </c>
      <c r="L34" s="553">
        <v>116.55961070559611</v>
      </c>
      <c r="M34" s="570">
        <v>2541</v>
      </c>
      <c r="N34" s="570">
        <v>299838</v>
      </c>
      <c r="O34" s="558">
        <v>1.3625779361241888</v>
      </c>
      <c r="P34" s="571">
        <v>118</v>
      </c>
    </row>
    <row r="35" spans="1:16" ht="14.4" customHeight="1" x14ac:dyDescent="0.3">
      <c r="A35" s="552" t="s">
        <v>1462</v>
      </c>
      <c r="B35" s="553" t="s">
        <v>1491</v>
      </c>
      <c r="C35" s="553" t="s">
        <v>1519</v>
      </c>
      <c r="D35" s="553" t="s">
        <v>1520</v>
      </c>
      <c r="E35" s="570">
        <v>5</v>
      </c>
      <c r="F35" s="570">
        <v>2635</v>
      </c>
      <c r="G35" s="553">
        <v>1</v>
      </c>
      <c r="H35" s="553">
        <v>527</v>
      </c>
      <c r="I35" s="570">
        <v>12</v>
      </c>
      <c r="J35" s="570">
        <v>6340</v>
      </c>
      <c r="K35" s="553">
        <v>2.4060721062618597</v>
      </c>
      <c r="L35" s="553">
        <v>528.33333333333337</v>
      </c>
      <c r="M35" s="570">
        <v>6</v>
      </c>
      <c r="N35" s="570">
        <v>3192</v>
      </c>
      <c r="O35" s="558">
        <v>1.2113851992409868</v>
      </c>
      <c r="P35" s="571">
        <v>532</v>
      </c>
    </row>
    <row r="36" spans="1:16" ht="14.4" customHeight="1" x14ac:dyDescent="0.3">
      <c r="A36" s="552" t="s">
        <v>1462</v>
      </c>
      <c r="B36" s="553" t="s">
        <v>1491</v>
      </c>
      <c r="C36" s="553" t="s">
        <v>1521</v>
      </c>
      <c r="D36" s="553" t="s">
        <v>1522</v>
      </c>
      <c r="E36" s="570"/>
      <c r="F36" s="570"/>
      <c r="G36" s="553"/>
      <c r="H36" s="553"/>
      <c r="I36" s="570">
        <v>2</v>
      </c>
      <c r="J36" s="570">
        <v>2982</v>
      </c>
      <c r="K36" s="553"/>
      <c r="L36" s="553">
        <v>1491</v>
      </c>
      <c r="M36" s="570">
        <v>3</v>
      </c>
      <c r="N36" s="570">
        <v>4485</v>
      </c>
      <c r="O36" s="558"/>
      <c r="P36" s="571">
        <v>1495</v>
      </c>
    </row>
    <row r="37" spans="1:16" ht="14.4" customHeight="1" x14ac:dyDescent="0.3">
      <c r="A37" s="552" t="s">
        <v>1462</v>
      </c>
      <c r="B37" s="553" t="s">
        <v>1491</v>
      </c>
      <c r="C37" s="553" t="s">
        <v>1523</v>
      </c>
      <c r="D37" s="553" t="s">
        <v>1524</v>
      </c>
      <c r="E37" s="570">
        <v>183</v>
      </c>
      <c r="F37" s="570">
        <v>88023</v>
      </c>
      <c r="G37" s="553">
        <v>1</v>
      </c>
      <c r="H37" s="553">
        <v>481</v>
      </c>
      <c r="I37" s="570">
        <v>157</v>
      </c>
      <c r="J37" s="570">
        <v>75641</v>
      </c>
      <c r="K37" s="553">
        <v>0.85933221998795772</v>
      </c>
      <c r="L37" s="553">
        <v>481.78980891719743</v>
      </c>
      <c r="M37" s="570">
        <v>204</v>
      </c>
      <c r="N37" s="570">
        <v>99144</v>
      </c>
      <c r="O37" s="558">
        <v>1.1263419788009952</v>
      </c>
      <c r="P37" s="571">
        <v>486</v>
      </c>
    </row>
    <row r="38" spans="1:16" ht="14.4" customHeight="1" x14ac:dyDescent="0.3">
      <c r="A38" s="552" t="s">
        <v>1462</v>
      </c>
      <c r="B38" s="553" t="s">
        <v>1491</v>
      </c>
      <c r="C38" s="553" t="s">
        <v>1525</v>
      </c>
      <c r="D38" s="553" t="s">
        <v>1526</v>
      </c>
      <c r="E38" s="570">
        <v>180</v>
      </c>
      <c r="F38" s="570">
        <v>118620</v>
      </c>
      <c r="G38" s="553">
        <v>1</v>
      </c>
      <c r="H38" s="553">
        <v>659</v>
      </c>
      <c r="I38" s="570">
        <v>191</v>
      </c>
      <c r="J38" s="570">
        <v>126089</v>
      </c>
      <c r="K38" s="553">
        <v>1.0629657730568201</v>
      </c>
      <c r="L38" s="553">
        <v>660.15183246073298</v>
      </c>
      <c r="M38" s="570">
        <v>217</v>
      </c>
      <c r="N38" s="570">
        <v>144522</v>
      </c>
      <c r="O38" s="558">
        <v>1.2183611532625189</v>
      </c>
      <c r="P38" s="571">
        <v>666</v>
      </c>
    </row>
    <row r="39" spans="1:16" ht="14.4" customHeight="1" x14ac:dyDescent="0.3">
      <c r="A39" s="552" t="s">
        <v>1462</v>
      </c>
      <c r="B39" s="553" t="s">
        <v>1491</v>
      </c>
      <c r="C39" s="553" t="s">
        <v>1527</v>
      </c>
      <c r="D39" s="553" t="s">
        <v>1528</v>
      </c>
      <c r="E39" s="570">
        <v>153</v>
      </c>
      <c r="F39" s="570">
        <v>153153</v>
      </c>
      <c r="G39" s="553">
        <v>1</v>
      </c>
      <c r="H39" s="553">
        <v>1001</v>
      </c>
      <c r="I39" s="570">
        <v>146</v>
      </c>
      <c r="J39" s="570">
        <v>146442</v>
      </c>
      <c r="K39" s="553">
        <v>0.95618107382813267</v>
      </c>
      <c r="L39" s="553">
        <v>1003.027397260274</v>
      </c>
      <c r="M39" s="570">
        <v>142</v>
      </c>
      <c r="N39" s="570">
        <v>143704</v>
      </c>
      <c r="O39" s="558">
        <v>0.93830352653882065</v>
      </c>
      <c r="P39" s="571">
        <v>1012</v>
      </c>
    </row>
    <row r="40" spans="1:16" ht="14.4" customHeight="1" x14ac:dyDescent="0.3">
      <c r="A40" s="552" t="s">
        <v>1462</v>
      </c>
      <c r="B40" s="553" t="s">
        <v>1491</v>
      </c>
      <c r="C40" s="553" t="s">
        <v>1529</v>
      </c>
      <c r="D40" s="553" t="s">
        <v>1530</v>
      </c>
      <c r="E40" s="570">
        <v>13</v>
      </c>
      <c r="F40" s="570">
        <v>26000</v>
      </c>
      <c r="G40" s="553">
        <v>1</v>
      </c>
      <c r="H40" s="553">
        <v>2000</v>
      </c>
      <c r="I40" s="570">
        <v>17</v>
      </c>
      <c r="J40" s="570">
        <v>34096</v>
      </c>
      <c r="K40" s="553">
        <v>1.3113846153846154</v>
      </c>
      <c r="L40" s="553">
        <v>2005.6470588235295</v>
      </c>
      <c r="M40" s="570">
        <v>28</v>
      </c>
      <c r="N40" s="570">
        <v>56476</v>
      </c>
      <c r="O40" s="558">
        <v>2.1721538461538463</v>
      </c>
      <c r="P40" s="571">
        <v>2017</v>
      </c>
    </row>
    <row r="41" spans="1:16" ht="14.4" customHeight="1" x14ac:dyDescent="0.3">
      <c r="A41" s="552" t="s">
        <v>1462</v>
      </c>
      <c r="B41" s="553" t="s">
        <v>1491</v>
      </c>
      <c r="C41" s="553" t="s">
        <v>1531</v>
      </c>
      <c r="D41" s="553" t="s">
        <v>1532</v>
      </c>
      <c r="E41" s="570">
        <v>4</v>
      </c>
      <c r="F41" s="570">
        <v>4852</v>
      </c>
      <c r="G41" s="553">
        <v>1</v>
      </c>
      <c r="H41" s="553">
        <v>1213</v>
      </c>
      <c r="I41" s="570">
        <v>4</v>
      </c>
      <c r="J41" s="570">
        <v>4852</v>
      </c>
      <c r="K41" s="553">
        <v>1</v>
      </c>
      <c r="L41" s="553">
        <v>1213</v>
      </c>
      <c r="M41" s="570">
        <v>3</v>
      </c>
      <c r="N41" s="570">
        <v>3705</v>
      </c>
      <c r="O41" s="558">
        <v>0.7636026380873866</v>
      </c>
      <c r="P41" s="571">
        <v>1235</v>
      </c>
    </row>
    <row r="42" spans="1:16" ht="14.4" customHeight="1" x14ac:dyDescent="0.3">
      <c r="A42" s="552" t="s">
        <v>1462</v>
      </c>
      <c r="B42" s="553" t="s">
        <v>1491</v>
      </c>
      <c r="C42" s="553" t="s">
        <v>1533</v>
      </c>
      <c r="D42" s="553" t="s">
        <v>1534</v>
      </c>
      <c r="E42" s="570">
        <v>9</v>
      </c>
      <c r="F42" s="570">
        <v>8388</v>
      </c>
      <c r="G42" s="553">
        <v>1</v>
      </c>
      <c r="H42" s="553">
        <v>932</v>
      </c>
      <c r="I42" s="570">
        <v>8</v>
      </c>
      <c r="J42" s="570">
        <v>7476</v>
      </c>
      <c r="K42" s="553">
        <v>0.89127324749642345</v>
      </c>
      <c r="L42" s="553">
        <v>934.5</v>
      </c>
      <c r="M42" s="570">
        <v>6</v>
      </c>
      <c r="N42" s="570">
        <v>5676</v>
      </c>
      <c r="O42" s="558">
        <v>0.67668097281831185</v>
      </c>
      <c r="P42" s="571">
        <v>946</v>
      </c>
    </row>
    <row r="43" spans="1:16" ht="14.4" customHeight="1" x14ac:dyDescent="0.3">
      <c r="A43" s="552" t="s">
        <v>1462</v>
      </c>
      <c r="B43" s="553" t="s">
        <v>1491</v>
      </c>
      <c r="C43" s="553" t="s">
        <v>1535</v>
      </c>
      <c r="D43" s="553" t="s">
        <v>1536</v>
      </c>
      <c r="E43" s="570"/>
      <c r="F43" s="570"/>
      <c r="G43" s="553"/>
      <c r="H43" s="553"/>
      <c r="I43" s="570"/>
      <c r="J43" s="570"/>
      <c r="K43" s="553"/>
      <c r="L43" s="553"/>
      <c r="M43" s="570">
        <v>4</v>
      </c>
      <c r="N43" s="570">
        <v>3300</v>
      </c>
      <c r="O43" s="558"/>
      <c r="P43" s="571">
        <v>825</v>
      </c>
    </row>
    <row r="44" spans="1:16" ht="14.4" customHeight="1" x14ac:dyDescent="0.3">
      <c r="A44" s="552" t="s">
        <v>1462</v>
      </c>
      <c r="B44" s="553" t="s">
        <v>1491</v>
      </c>
      <c r="C44" s="553" t="s">
        <v>1537</v>
      </c>
      <c r="D44" s="553" t="s">
        <v>1538</v>
      </c>
      <c r="E44" s="570">
        <v>3</v>
      </c>
      <c r="F44" s="570">
        <v>4875</v>
      </c>
      <c r="G44" s="553">
        <v>1</v>
      </c>
      <c r="H44" s="553">
        <v>1625</v>
      </c>
      <c r="I44" s="570">
        <v>6</v>
      </c>
      <c r="J44" s="570">
        <v>9795</v>
      </c>
      <c r="K44" s="553">
        <v>2.0092307692307694</v>
      </c>
      <c r="L44" s="553">
        <v>1632.5</v>
      </c>
      <c r="M44" s="570">
        <v>10</v>
      </c>
      <c r="N44" s="570">
        <v>16370</v>
      </c>
      <c r="O44" s="558">
        <v>3.3579487179487177</v>
      </c>
      <c r="P44" s="571">
        <v>1637</v>
      </c>
    </row>
    <row r="45" spans="1:16" ht="14.4" customHeight="1" x14ac:dyDescent="0.3">
      <c r="A45" s="552" t="s">
        <v>1462</v>
      </c>
      <c r="B45" s="553" t="s">
        <v>1491</v>
      </c>
      <c r="C45" s="553" t="s">
        <v>1539</v>
      </c>
      <c r="D45" s="553" t="s">
        <v>1540</v>
      </c>
      <c r="E45" s="570">
        <v>3</v>
      </c>
      <c r="F45" s="570">
        <v>3969</v>
      </c>
      <c r="G45" s="553">
        <v>1</v>
      </c>
      <c r="H45" s="553">
        <v>1323</v>
      </c>
      <c r="I45" s="570">
        <v>5</v>
      </c>
      <c r="J45" s="570">
        <v>6639</v>
      </c>
      <c r="K45" s="553">
        <v>1.6727135298563871</v>
      </c>
      <c r="L45" s="553">
        <v>1327.8</v>
      </c>
      <c r="M45" s="570">
        <v>12</v>
      </c>
      <c r="N45" s="570">
        <v>16080</v>
      </c>
      <c r="O45" s="558">
        <v>4.051398337112623</v>
      </c>
      <c r="P45" s="571">
        <v>1340</v>
      </c>
    </row>
    <row r="46" spans="1:16" ht="14.4" customHeight="1" x14ac:dyDescent="0.3">
      <c r="A46" s="552" t="s">
        <v>1462</v>
      </c>
      <c r="B46" s="553" t="s">
        <v>1491</v>
      </c>
      <c r="C46" s="553" t="s">
        <v>1541</v>
      </c>
      <c r="D46" s="553" t="s">
        <v>1542</v>
      </c>
      <c r="E46" s="570">
        <v>2</v>
      </c>
      <c r="F46" s="570">
        <v>2998</v>
      </c>
      <c r="G46" s="553">
        <v>1</v>
      </c>
      <c r="H46" s="553">
        <v>1499</v>
      </c>
      <c r="I46" s="570">
        <v>3</v>
      </c>
      <c r="J46" s="570">
        <v>4497</v>
      </c>
      <c r="K46" s="553">
        <v>1.5</v>
      </c>
      <c r="L46" s="553">
        <v>1499</v>
      </c>
      <c r="M46" s="570">
        <v>4</v>
      </c>
      <c r="N46" s="570">
        <v>6044</v>
      </c>
      <c r="O46" s="558">
        <v>2.0160106737825219</v>
      </c>
      <c r="P46" s="571">
        <v>1511</v>
      </c>
    </row>
    <row r="47" spans="1:16" ht="14.4" customHeight="1" x14ac:dyDescent="0.3">
      <c r="A47" s="552" t="s">
        <v>1462</v>
      </c>
      <c r="B47" s="553" t="s">
        <v>1491</v>
      </c>
      <c r="C47" s="553" t="s">
        <v>1543</v>
      </c>
      <c r="D47" s="553" t="s">
        <v>1544</v>
      </c>
      <c r="E47" s="570">
        <v>3</v>
      </c>
      <c r="F47" s="570">
        <v>1236</v>
      </c>
      <c r="G47" s="553">
        <v>1</v>
      </c>
      <c r="H47" s="553">
        <v>412</v>
      </c>
      <c r="I47" s="570"/>
      <c r="J47" s="570"/>
      <c r="K47" s="553"/>
      <c r="L47" s="553"/>
      <c r="M47" s="570"/>
      <c r="N47" s="570"/>
      <c r="O47" s="558"/>
      <c r="P47" s="571"/>
    </row>
    <row r="48" spans="1:16" ht="14.4" customHeight="1" x14ac:dyDescent="0.3">
      <c r="A48" s="552" t="s">
        <v>1462</v>
      </c>
      <c r="B48" s="553" t="s">
        <v>1491</v>
      </c>
      <c r="C48" s="553" t="s">
        <v>1545</v>
      </c>
      <c r="D48" s="553" t="s">
        <v>1546</v>
      </c>
      <c r="E48" s="570">
        <v>3</v>
      </c>
      <c r="F48" s="570">
        <v>2796</v>
      </c>
      <c r="G48" s="553">
        <v>1</v>
      </c>
      <c r="H48" s="553">
        <v>932</v>
      </c>
      <c r="I48" s="570">
        <v>1</v>
      </c>
      <c r="J48" s="570">
        <v>942</v>
      </c>
      <c r="K48" s="553">
        <v>0.33690987124463517</v>
      </c>
      <c r="L48" s="553">
        <v>942</v>
      </c>
      <c r="M48" s="570"/>
      <c r="N48" s="570"/>
      <c r="O48" s="558"/>
      <c r="P48" s="571"/>
    </row>
    <row r="49" spans="1:16" ht="14.4" customHeight="1" x14ac:dyDescent="0.3">
      <c r="A49" s="552" t="s">
        <v>1462</v>
      </c>
      <c r="B49" s="553" t="s">
        <v>1491</v>
      </c>
      <c r="C49" s="553" t="s">
        <v>1547</v>
      </c>
      <c r="D49" s="553" t="s">
        <v>1548</v>
      </c>
      <c r="E49" s="570">
        <v>5</v>
      </c>
      <c r="F49" s="570">
        <v>775</v>
      </c>
      <c r="G49" s="553">
        <v>1</v>
      </c>
      <c r="H49" s="553">
        <v>155</v>
      </c>
      <c r="I49" s="570">
        <v>0</v>
      </c>
      <c r="J49" s="570">
        <v>0</v>
      </c>
      <c r="K49" s="553">
        <v>0</v>
      </c>
      <c r="L49" s="553"/>
      <c r="M49" s="570"/>
      <c r="N49" s="570"/>
      <c r="O49" s="558"/>
      <c r="P49" s="571"/>
    </row>
    <row r="50" spans="1:16" ht="14.4" customHeight="1" x14ac:dyDescent="0.3">
      <c r="A50" s="552" t="s">
        <v>1462</v>
      </c>
      <c r="B50" s="553" t="s">
        <v>1491</v>
      </c>
      <c r="C50" s="553" t="s">
        <v>1549</v>
      </c>
      <c r="D50" s="553" t="s">
        <v>1550</v>
      </c>
      <c r="E50" s="570">
        <v>6</v>
      </c>
      <c r="F50" s="570">
        <v>0</v>
      </c>
      <c r="G50" s="553"/>
      <c r="H50" s="553">
        <v>0</v>
      </c>
      <c r="I50" s="570">
        <v>3</v>
      </c>
      <c r="J50" s="570">
        <v>0</v>
      </c>
      <c r="K50" s="553"/>
      <c r="L50" s="553">
        <v>0</v>
      </c>
      <c r="M50" s="570"/>
      <c r="N50" s="570"/>
      <c r="O50" s="558"/>
      <c r="P50" s="571"/>
    </row>
    <row r="51" spans="1:16" ht="14.4" customHeight="1" x14ac:dyDescent="0.3">
      <c r="A51" s="552" t="s">
        <v>1462</v>
      </c>
      <c r="B51" s="553" t="s">
        <v>1491</v>
      </c>
      <c r="C51" s="553" t="s">
        <v>1551</v>
      </c>
      <c r="D51" s="553" t="s">
        <v>1552</v>
      </c>
      <c r="E51" s="570">
        <v>2</v>
      </c>
      <c r="F51" s="570">
        <v>688</v>
      </c>
      <c r="G51" s="553">
        <v>1</v>
      </c>
      <c r="H51" s="553">
        <v>344</v>
      </c>
      <c r="I51" s="570">
        <v>1</v>
      </c>
      <c r="J51" s="570">
        <v>344</v>
      </c>
      <c r="K51" s="553">
        <v>0.5</v>
      </c>
      <c r="L51" s="553">
        <v>344</v>
      </c>
      <c r="M51" s="570"/>
      <c r="N51" s="570"/>
      <c r="O51" s="558"/>
      <c r="P51" s="571"/>
    </row>
    <row r="52" spans="1:16" ht="14.4" customHeight="1" x14ac:dyDescent="0.3">
      <c r="A52" s="552" t="s">
        <v>1462</v>
      </c>
      <c r="B52" s="553" t="s">
        <v>1491</v>
      </c>
      <c r="C52" s="553" t="s">
        <v>1553</v>
      </c>
      <c r="D52" s="553" t="s">
        <v>1554</v>
      </c>
      <c r="E52" s="570">
        <v>1866</v>
      </c>
      <c r="F52" s="570">
        <v>0</v>
      </c>
      <c r="G52" s="553"/>
      <c r="H52" s="553">
        <v>0</v>
      </c>
      <c r="I52" s="570">
        <v>1693</v>
      </c>
      <c r="J52" s="570">
        <v>0</v>
      </c>
      <c r="K52" s="553"/>
      <c r="L52" s="553">
        <v>0</v>
      </c>
      <c r="M52" s="570">
        <v>2682</v>
      </c>
      <c r="N52" s="570">
        <v>25366.68</v>
      </c>
      <c r="O52" s="558"/>
      <c r="P52" s="571">
        <v>9.458120805369127</v>
      </c>
    </row>
    <row r="53" spans="1:16" ht="14.4" customHeight="1" x14ac:dyDescent="0.3">
      <c r="A53" s="552" t="s">
        <v>1462</v>
      </c>
      <c r="B53" s="553" t="s">
        <v>1491</v>
      </c>
      <c r="C53" s="553" t="s">
        <v>1555</v>
      </c>
      <c r="D53" s="553" t="s">
        <v>1556</v>
      </c>
      <c r="E53" s="570"/>
      <c r="F53" s="570"/>
      <c r="G53" s="553"/>
      <c r="H53" s="553"/>
      <c r="I53" s="570">
        <v>1</v>
      </c>
      <c r="J53" s="570">
        <v>0</v>
      </c>
      <c r="K53" s="553"/>
      <c r="L53" s="553">
        <v>0</v>
      </c>
      <c r="M53" s="570"/>
      <c r="N53" s="570"/>
      <c r="O53" s="558"/>
      <c r="P53" s="571"/>
    </row>
    <row r="54" spans="1:16" ht="14.4" customHeight="1" x14ac:dyDescent="0.3">
      <c r="A54" s="552" t="s">
        <v>1462</v>
      </c>
      <c r="B54" s="553" t="s">
        <v>1491</v>
      </c>
      <c r="C54" s="553" t="s">
        <v>1557</v>
      </c>
      <c r="D54" s="553" t="s">
        <v>1558</v>
      </c>
      <c r="E54" s="570">
        <v>576</v>
      </c>
      <c r="F54" s="570">
        <v>0</v>
      </c>
      <c r="G54" s="553"/>
      <c r="H54" s="553">
        <v>0</v>
      </c>
      <c r="I54" s="570">
        <v>174</v>
      </c>
      <c r="J54" s="570">
        <v>18546</v>
      </c>
      <c r="K54" s="553"/>
      <c r="L54" s="553">
        <v>106.58620689655173</v>
      </c>
      <c r="M54" s="570">
        <v>146</v>
      </c>
      <c r="N54" s="570">
        <v>15768</v>
      </c>
      <c r="O54" s="558"/>
      <c r="P54" s="571">
        <v>108</v>
      </c>
    </row>
    <row r="55" spans="1:16" ht="14.4" customHeight="1" x14ac:dyDescent="0.3">
      <c r="A55" s="552" t="s">
        <v>1462</v>
      </c>
      <c r="B55" s="553" t="s">
        <v>1491</v>
      </c>
      <c r="C55" s="553" t="s">
        <v>1559</v>
      </c>
      <c r="D55" s="553" t="s">
        <v>1560</v>
      </c>
      <c r="E55" s="570"/>
      <c r="F55" s="570"/>
      <c r="G55" s="553"/>
      <c r="H55" s="553"/>
      <c r="I55" s="570"/>
      <c r="J55" s="570"/>
      <c r="K55" s="553"/>
      <c r="L55" s="553"/>
      <c r="M55" s="570">
        <v>2</v>
      </c>
      <c r="N55" s="570">
        <v>72</v>
      </c>
      <c r="O55" s="558"/>
      <c r="P55" s="571">
        <v>36</v>
      </c>
    </row>
    <row r="56" spans="1:16" ht="14.4" customHeight="1" x14ac:dyDescent="0.3">
      <c r="A56" s="552" t="s">
        <v>1462</v>
      </c>
      <c r="B56" s="553" t="s">
        <v>1491</v>
      </c>
      <c r="C56" s="553" t="s">
        <v>1561</v>
      </c>
      <c r="D56" s="553" t="s">
        <v>1562</v>
      </c>
      <c r="E56" s="570">
        <v>427</v>
      </c>
      <c r="F56" s="570">
        <v>34587</v>
      </c>
      <c r="G56" s="553">
        <v>1</v>
      </c>
      <c r="H56" s="553">
        <v>81</v>
      </c>
      <c r="I56" s="570">
        <v>450</v>
      </c>
      <c r="J56" s="570">
        <v>36574</v>
      </c>
      <c r="K56" s="553">
        <v>1.0574493306733743</v>
      </c>
      <c r="L56" s="553">
        <v>81.275555555555556</v>
      </c>
      <c r="M56" s="570">
        <v>491</v>
      </c>
      <c r="N56" s="570">
        <v>40262</v>
      </c>
      <c r="O56" s="558">
        <v>1.1640789892156012</v>
      </c>
      <c r="P56" s="571">
        <v>82</v>
      </c>
    </row>
    <row r="57" spans="1:16" ht="14.4" customHeight="1" x14ac:dyDescent="0.3">
      <c r="A57" s="552" t="s">
        <v>1462</v>
      </c>
      <c r="B57" s="553" t="s">
        <v>1491</v>
      </c>
      <c r="C57" s="553" t="s">
        <v>1563</v>
      </c>
      <c r="D57" s="553" t="s">
        <v>1564</v>
      </c>
      <c r="E57" s="570">
        <v>3</v>
      </c>
      <c r="F57" s="570">
        <v>90</v>
      </c>
      <c r="G57" s="553">
        <v>1</v>
      </c>
      <c r="H57" s="553">
        <v>30</v>
      </c>
      <c r="I57" s="570">
        <v>3</v>
      </c>
      <c r="J57" s="570">
        <v>92</v>
      </c>
      <c r="K57" s="553">
        <v>1.0222222222222221</v>
      </c>
      <c r="L57" s="553">
        <v>30.666666666666668</v>
      </c>
      <c r="M57" s="570">
        <v>34</v>
      </c>
      <c r="N57" s="570">
        <v>1054</v>
      </c>
      <c r="O57" s="558">
        <v>11.71111111111111</v>
      </c>
      <c r="P57" s="571">
        <v>31</v>
      </c>
    </row>
    <row r="58" spans="1:16" ht="14.4" customHeight="1" x14ac:dyDescent="0.3">
      <c r="A58" s="552" t="s">
        <v>1462</v>
      </c>
      <c r="B58" s="553" t="s">
        <v>1491</v>
      </c>
      <c r="C58" s="553" t="s">
        <v>1565</v>
      </c>
      <c r="D58" s="553" t="s">
        <v>1566</v>
      </c>
      <c r="E58" s="570">
        <v>15</v>
      </c>
      <c r="F58" s="570">
        <v>0</v>
      </c>
      <c r="G58" s="553"/>
      <c r="H58" s="553">
        <v>0</v>
      </c>
      <c r="I58" s="570">
        <v>6</v>
      </c>
      <c r="J58" s="570">
        <v>0</v>
      </c>
      <c r="K58" s="553"/>
      <c r="L58" s="553">
        <v>0</v>
      </c>
      <c r="M58" s="570">
        <v>10</v>
      </c>
      <c r="N58" s="570">
        <v>0</v>
      </c>
      <c r="O58" s="558"/>
      <c r="P58" s="571">
        <v>0</v>
      </c>
    </row>
    <row r="59" spans="1:16" ht="14.4" customHeight="1" x14ac:dyDescent="0.3">
      <c r="A59" s="552" t="s">
        <v>1462</v>
      </c>
      <c r="B59" s="553" t="s">
        <v>1491</v>
      </c>
      <c r="C59" s="553" t="s">
        <v>1567</v>
      </c>
      <c r="D59" s="553" t="s">
        <v>1568</v>
      </c>
      <c r="E59" s="570">
        <v>39</v>
      </c>
      <c r="F59" s="570">
        <v>18915</v>
      </c>
      <c r="G59" s="553">
        <v>1</v>
      </c>
      <c r="H59" s="553">
        <v>485</v>
      </c>
      <c r="I59" s="570">
        <v>48</v>
      </c>
      <c r="J59" s="570">
        <v>23330</v>
      </c>
      <c r="K59" s="553">
        <v>1.2334126354744912</v>
      </c>
      <c r="L59" s="553">
        <v>486.04166666666669</v>
      </c>
      <c r="M59" s="570">
        <v>35</v>
      </c>
      <c r="N59" s="570">
        <v>17220</v>
      </c>
      <c r="O59" s="558">
        <v>0.91038858049167326</v>
      </c>
      <c r="P59" s="571">
        <v>492</v>
      </c>
    </row>
    <row r="60" spans="1:16" ht="14.4" customHeight="1" x14ac:dyDescent="0.3">
      <c r="A60" s="552" t="s">
        <v>1462</v>
      </c>
      <c r="B60" s="553" t="s">
        <v>1491</v>
      </c>
      <c r="C60" s="553" t="s">
        <v>1569</v>
      </c>
      <c r="D60" s="553" t="s">
        <v>1570</v>
      </c>
      <c r="E60" s="570"/>
      <c r="F60" s="570"/>
      <c r="G60" s="553"/>
      <c r="H60" s="553"/>
      <c r="I60" s="570">
        <v>1</v>
      </c>
      <c r="J60" s="570">
        <v>128</v>
      </c>
      <c r="K60" s="553"/>
      <c r="L60" s="553">
        <v>128</v>
      </c>
      <c r="M60" s="570"/>
      <c r="N60" s="570"/>
      <c r="O60" s="558"/>
      <c r="P60" s="571"/>
    </row>
    <row r="61" spans="1:16" ht="14.4" customHeight="1" x14ac:dyDescent="0.3">
      <c r="A61" s="552" t="s">
        <v>1462</v>
      </c>
      <c r="B61" s="553" t="s">
        <v>1491</v>
      </c>
      <c r="C61" s="553" t="s">
        <v>1571</v>
      </c>
      <c r="D61" s="553" t="s">
        <v>1572</v>
      </c>
      <c r="E61" s="570"/>
      <c r="F61" s="570"/>
      <c r="G61" s="553"/>
      <c r="H61" s="553"/>
      <c r="I61" s="570">
        <v>1</v>
      </c>
      <c r="J61" s="570">
        <v>69</v>
      </c>
      <c r="K61" s="553"/>
      <c r="L61" s="553">
        <v>69</v>
      </c>
      <c r="M61" s="570">
        <v>3</v>
      </c>
      <c r="N61" s="570">
        <v>210</v>
      </c>
      <c r="O61" s="558"/>
      <c r="P61" s="571">
        <v>70</v>
      </c>
    </row>
    <row r="62" spans="1:16" ht="14.4" customHeight="1" x14ac:dyDescent="0.3">
      <c r="A62" s="552" t="s">
        <v>1462</v>
      </c>
      <c r="B62" s="553" t="s">
        <v>1491</v>
      </c>
      <c r="C62" s="553" t="s">
        <v>1573</v>
      </c>
      <c r="D62" s="553" t="s">
        <v>1520</v>
      </c>
      <c r="E62" s="570">
        <v>1</v>
      </c>
      <c r="F62" s="570">
        <v>668</v>
      </c>
      <c r="G62" s="553">
        <v>1</v>
      </c>
      <c r="H62" s="553">
        <v>668</v>
      </c>
      <c r="I62" s="570">
        <v>2</v>
      </c>
      <c r="J62" s="570">
        <v>1336</v>
      </c>
      <c r="K62" s="553">
        <v>2</v>
      </c>
      <c r="L62" s="553">
        <v>668</v>
      </c>
      <c r="M62" s="570">
        <v>5</v>
      </c>
      <c r="N62" s="570">
        <v>3375</v>
      </c>
      <c r="O62" s="558">
        <v>5.0523952095808387</v>
      </c>
      <c r="P62" s="571">
        <v>675</v>
      </c>
    </row>
    <row r="63" spans="1:16" ht="14.4" customHeight="1" x14ac:dyDescent="0.3">
      <c r="A63" s="552" t="s">
        <v>1462</v>
      </c>
      <c r="B63" s="553" t="s">
        <v>1491</v>
      </c>
      <c r="C63" s="553" t="s">
        <v>1574</v>
      </c>
      <c r="D63" s="553" t="s">
        <v>1575</v>
      </c>
      <c r="E63" s="570">
        <v>16</v>
      </c>
      <c r="F63" s="570">
        <v>1376</v>
      </c>
      <c r="G63" s="553">
        <v>1</v>
      </c>
      <c r="H63" s="553">
        <v>86</v>
      </c>
      <c r="I63" s="570">
        <v>20</v>
      </c>
      <c r="J63" s="570">
        <v>2656</v>
      </c>
      <c r="K63" s="553">
        <v>1.930232558139535</v>
      </c>
      <c r="L63" s="553">
        <v>132.80000000000001</v>
      </c>
      <c r="M63" s="570">
        <v>12</v>
      </c>
      <c r="N63" s="570">
        <v>1896</v>
      </c>
      <c r="O63" s="558">
        <v>1.3779069767441861</v>
      </c>
      <c r="P63" s="571">
        <v>158</v>
      </c>
    </row>
    <row r="64" spans="1:16" ht="14.4" customHeight="1" x14ac:dyDescent="0.3">
      <c r="A64" s="552" t="s">
        <v>1462</v>
      </c>
      <c r="B64" s="553" t="s">
        <v>1491</v>
      </c>
      <c r="C64" s="553" t="s">
        <v>1576</v>
      </c>
      <c r="D64" s="553" t="s">
        <v>1577</v>
      </c>
      <c r="E64" s="570">
        <v>1</v>
      </c>
      <c r="F64" s="570">
        <v>567</v>
      </c>
      <c r="G64" s="553">
        <v>1</v>
      </c>
      <c r="H64" s="553">
        <v>567</v>
      </c>
      <c r="I64" s="570">
        <v>1</v>
      </c>
      <c r="J64" s="570">
        <v>572</v>
      </c>
      <c r="K64" s="553">
        <v>1.0088183421516754</v>
      </c>
      <c r="L64" s="553">
        <v>572</v>
      </c>
      <c r="M64" s="570"/>
      <c r="N64" s="570"/>
      <c r="O64" s="558"/>
      <c r="P64" s="571"/>
    </row>
    <row r="65" spans="1:16" ht="14.4" customHeight="1" x14ac:dyDescent="0.3">
      <c r="A65" s="552" t="s">
        <v>1462</v>
      </c>
      <c r="B65" s="553" t="s">
        <v>1491</v>
      </c>
      <c r="C65" s="553" t="s">
        <v>1578</v>
      </c>
      <c r="D65" s="553" t="s">
        <v>1579</v>
      </c>
      <c r="E65" s="570">
        <v>7</v>
      </c>
      <c r="F65" s="570">
        <v>3017</v>
      </c>
      <c r="G65" s="553">
        <v>1</v>
      </c>
      <c r="H65" s="553">
        <v>431</v>
      </c>
      <c r="I65" s="570">
        <v>1</v>
      </c>
      <c r="J65" s="570">
        <v>435</v>
      </c>
      <c r="K65" s="553">
        <v>0.14418296320848525</v>
      </c>
      <c r="L65" s="553">
        <v>435</v>
      </c>
      <c r="M65" s="570">
        <v>1</v>
      </c>
      <c r="N65" s="570">
        <v>436</v>
      </c>
      <c r="O65" s="558">
        <v>0.14451441829632086</v>
      </c>
      <c r="P65" s="571">
        <v>436</v>
      </c>
    </row>
    <row r="66" spans="1:16" ht="14.4" customHeight="1" x14ac:dyDescent="0.3">
      <c r="A66" s="552" t="s">
        <v>1462</v>
      </c>
      <c r="B66" s="553" t="s">
        <v>1491</v>
      </c>
      <c r="C66" s="553" t="s">
        <v>1580</v>
      </c>
      <c r="D66" s="553" t="s">
        <v>1581</v>
      </c>
      <c r="E66" s="570">
        <v>3</v>
      </c>
      <c r="F66" s="570">
        <v>2082</v>
      </c>
      <c r="G66" s="553">
        <v>1</v>
      </c>
      <c r="H66" s="553">
        <v>694</v>
      </c>
      <c r="I66" s="570">
        <v>5</v>
      </c>
      <c r="J66" s="570">
        <v>3491</v>
      </c>
      <c r="K66" s="553">
        <v>1.6767531219980787</v>
      </c>
      <c r="L66" s="553">
        <v>698.2</v>
      </c>
      <c r="M66" s="570">
        <v>9</v>
      </c>
      <c r="N66" s="570">
        <v>6336</v>
      </c>
      <c r="O66" s="558">
        <v>3.043227665706052</v>
      </c>
      <c r="P66" s="571">
        <v>704</v>
      </c>
    </row>
    <row r="67" spans="1:16" ht="14.4" customHeight="1" x14ac:dyDescent="0.3">
      <c r="A67" s="552" t="s">
        <v>1462</v>
      </c>
      <c r="B67" s="553" t="s">
        <v>1491</v>
      </c>
      <c r="C67" s="553" t="s">
        <v>1582</v>
      </c>
      <c r="D67" s="553" t="s">
        <v>1583</v>
      </c>
      <c r="E67" s="570">
        <v>36</v>
      </c>
      <c r="F67" s="570">
        <v>37548</v>
      </c>
      <c r="G67" s="553">
        <v>1</v>
      </c>
      <c r="H67" s="553">
        <v>1043</v>
      </c>
      <c r="I67" s="570">
        <v>27</v>
      </c>
      <c r="J67" s="570">
        <v>28211</v>
      </c>
      <c r="K67" s="553">
        <v>0.75133162884840732</v>
      </c>
      <c r="L67" s="553">
        <v>1044.851851851852</v>
      </c>
      <c r="M67" s="570">
        <v>59</v>
      </c>
      <c r="N67" s="570">
        <v>61950</v>
      </c>
      <c r="O67" s="558">
        <v>1.6498881431767338</v>
      </c>
      <c r="P67" s="571">
        <v>1050</v>
      </c>
    </row>
    <row r="68" spans="1:16" ht="14.4" customHeight="1" x14ac:dyDescent="0.3">
      <c r="A68" s="552" t="s">
        <v>1462</v>
      </c>
      <c r="B68" s="553" t="s">
        <v>1491</v>
      </c>
      <c r="C68" s="553" t="s">
        <v>1584</v>
      </c>
      <c r="D68" s="553" t="s">
        <v>1585</v>
      </c>
      <c r="E68" s="570">
        <v>2</v>
      </c>
      <c r="F68" s="570">
        <v>236</v>
      </c>
      <c r="G68" s="553">
        <v>1</v>
      </c>
      <c r="H68" s="553">
        <v>118</v>
      </c>
      <c r="I68" s="570">
        <v>5</v>
      </c>
      <c r="J68" s="570">
        <v>591</v>
      </c>
      <c r="K68" s="553">
        <v>2.5042372881355934</v>
      </c>
      <c r="L68" s="553">
        <v>118.2</v>
      </c>
      <c r="M68" s="570"/>
      <c r="N68" s="570"/>
      <c r="O68" s="558"/>
      <c r="P68" s="571"/>
    </row>
    <row r="69" spans="1:16" ht="14.4" customHeight="1" x14ac:dyDescent="0.3">
      <c r="A69" s="552" t="s">
        <v>1462</v>
      </c>
      <c r="B69" s="553" t="s">
        <v>1491</v>
      </c>
      <c r="C69" s="553" t="s">
        <v>1586</v>
      </c>
      <c r="D69" s="553" t="s">
        <v>1587</v>
      </c>
      <c r="E69" s="570"/>
      <c r="F69" s="570"/>
      <c r="G69" s="553"/>
      <c r="H69" s="553"/>
      <c r="I69" s="570">
        <v>1</v>
      </c>
      <c r="J69" s="570">
        <v>57</v>
      </c>
      <c r="K69" s="553"/>
      <c r="L69" s="553">
        <v>57</v>
      </c>
      <c r="M69" s="570">
        <v>1</v>
      </c>
      <c r="N69" s="570">
        <v>57</v>
      </c>
      <c r="O69" s="558"/>
      <c r="P69" s="571">
        <v>57</v>
      </c>
    </row>
    <row r="70" spans="1:16" ht="14.4" customHeight="1" x14ac:dyDescent="0.3">
      <c r="A70" s="552" t="s">
        <v>1462</v>
      </c>
      <c r="B70" s="553" t="s">
        <v>1491</v>
      </c>
      <c r="C70" s="553" t="s">
        <v>1588</v>
      </c>
      <c r="D70" s="553" t="s">
        <v>1589</v>
      </c>
      <c r="E70" s="570">
        <v>15</v>
      </c>
      <c r="F70" s="570">
        <v>10260</v>
      </c>
      <c r="G70" s="553">
        <v>1</v>
      </c>
      <c r="H70" s="553">
        <v>684</v>
      </c>
      <c r="I70" s="570">
        <v>13</v>
      </c>
      <c r="J70" s="570">
        <v>8917</v>
      </c>
      <c r="K70" s="553">
        <v>0.86910331384015593</v>
      </c>
      <c r="L70" s="553">
        <v>685.92307692307691</v>
      </c>
      <c r="M70" s="570">
        <v>34</v>
      </c>
      <c r="N70" s="570">
        <v>23494</v>
      </c>
      <c r="O70" s="558">
        <v>2.2898635477582845</v>
      </c>
      <c r="P70" s="571">
        <v>691</v>
      </c>
    </row>
    <row r="71" spans="1:16" ht="14.4" customHeight="1" x14ac:dyDescent="0.3">
      <c r="A71" s="552" t="s">
        <v>1462</v>
      </c>
      <c r="B71" s="553" t="s">
        <v>1491</v>
      </c>
      <c r="C71" s="553" t="s">
        <v>1590</v>
      </c>
      <c r="D71" s="553" t="s">
        <v>1591</v>
      </c>
      <c r="E71" s="570"/>
      <c r="F71" s="570"/>
      <c r="G71" s="553"/>
      <c r="H71" s="553"/>
      <c r="I71" s="570"/>
      <c r="J71" s="570"/>
      <c r="K71" s="553"/>
      <c r="L71" s="553"/>
      <c r="M71" s="570">
        <v>3</v>
      </c>
      <c r="N71" s="570">
        <v>1182</v>
      </c>
      <c r="O71" s="558"/>
      <c r="P71" s="571">
        <v>394</v>
      </c>
    </row>
    <row r="72" spans="1:16" ht="14.4" customHeight="1" x14ac:dyDescent="0.3">
      <c r="A72" s="552" t="s">
        <v>1462</v>
      </c>
      <c r="B72" s="553" t="s">
        <v>1491</v>
      </c>
      <c r="C72" s="553" t="s">
        <v>1592</v>
      </c>
      <c r="D72" s="553" t="s">
        <v>1593</v>
      </c>
      <c r="E72" s="570">
        <v>1</v>
      </c>
      <c r="F72" s="570">
        <v>88</v>
      </c>
      <c r="G72" s="553">
        <v>1</v>
      </c>
      <c r="H72" s="553">
        <v>88</v>
      </c>
      <c r="I72" s="570">
        <v>8</v>
      </c>
      <c r="J72" s="570">
        <v>706</v>
      </c>
      <c r="K72" s="553">
        <v>8.0227272727272734</v>
      </c>
      <c r="L72" s="553">
        <v>88.25</v>
      </c>
      <c r="M72" s="570">
        <v>1</v>
      </c>
      <c r="N72" s="570">
        <v>89</v>
      </c>
      <c r="O72" s="558">
        <v>1.0113636363636365</v>
      </c>
      <c r="P72" s="571">
        <v>89</v>
      </c>
    </row>
    <row r="73" spans="1:16" ht="14.4" customHeight="1" x14ac:dyDescent="0.3">
      <c r="A73" s="552" t="s">
        <v>1462</v>
      </c>
      <c r="B73" s="553" t="s">
        <v>1491</v>
      </c>
      <c r="C73" s="553" t="s">
        <v>1594</v>
      </c>
      <c r="D73" s="553" t="s">
        <v>1595</v>
      </c>
      <c r="E73" s="570">
        <v>9</v>
      </c>
      <c r="F73" s="570">
        <v>1593</v>
      </c>
      <c r="G73" s="553">
        <v>1</v>
      </c>
      <c r="H73" s="553">
        <v>177</v>
      </c>
      <c r="I73" s="570">
        <v>10</v>
      </c>
      <c r="J73" s="570">
        <v>1772</v>
      </c>
      <c r="K73" s="553">
        <v>1.1123666038920277</v>
      </c>
      <c r="L73" s="553">
        <v>177.2</v>
      </c>
      <c r="M73" s="570">
        <v>4</v>
      </c>
      <c r="N73" s="570">
        <v>716</v>
      </c>
      <c r="O73" s="558">
        <v>0.44946641556811051</v>
      </c>
      <c r="P73" s="571">
        <v>179</v>
      </c>
    </row>
    <row r="74" spans="1:16" ht="14.4" customHeight="1" x14ac:dyDescent="0.3">
      <c r="A74" s="552" t="s">
        <v>1462</v>
      </c>
      <c r="B74" s="553" t="s">
        <v>1491</v>
      </c>
      <c r="C74" s="553" t="s">
        <v>1596</v>
      </c>
      <c r="D74" s="553" t="s">
        <v>1597</v>
      </c>
      <c r="E74" s="570">
        <v>1</v>
      </c>
      <c r="F74" s="570">
        <v>628</v>
      </c>
      <c r="G74" s="553">
        <v>1</v>
      </c>
      <c r="H74" s="553">
        <v>628</v>
      </c>
      <c r="I74" s="570">
        <v>1</v>
      </c>
      <c r="J74" s="570">
        <v>628</v>
      </c>
      <c r="K74" s="553">
        <v>1</v>
      </c>
      <c r="L74" s="553">
        <v>628</v>
      </c>
      <c r="M74" s="570">
        <v>2</v>
      </c>
      <c r="N74" s="570">
        <v>1270</v>
      </c>
      <c r="O74" s="558">
        <v>2.0222929936305731</v>
      </c>
      <c r="P74" s="571">
        <v>635</v>
      </c>
    </row>
    <row r="75" spans="1:16" ht="14.4" customHeight="1" x14ac:dyDescent="0.3">
      <c r="A75" s="552" t="s">
        <v>1462</v>
      </c>
      <c r="B75" s="553" t="s">
        <v>1491</v>
      </c>
      <c r="C75" s="553" t="s">
        <v>1598</v>
      </c>
      <c r="D75" s="553" t="s">
        <v>1599</v>
      </c>
      <c r="E75" s="570">
        <v>7</v>
      </c>
      <c r="F75" s="570">
        <v>833</v>
      </c>
      <c r="G75" s="553">
        <v>1</v>
      </c>
      <c r="H75" s="553">
        <v>119</v>
      </c>
      <c r="I75" s="570">
        <v>9</v>
      </c>
      <c r="J75" s="570">
        <v>1073</v>
      </c>
      <c r="K75" s="553">
        <v>1.2881152460984393</v>
      </c>
      <c r="L75" s="553">
        <v>119.22222222222223</v>
      </c>
      <c r="M75" s="570">
        <v>27</v>
      </c>
      <c r="N75" s="570">
        <v>3267</v>
      </c>
      <c r="O75" s="558">
        <v>3.9219687875150062</v>
      </c>
      <c r="P75" s="571">
        <v>121</v>
      </c>
    </row>
    <row r="76" spans="1:16" ht="14.4" customHeight="1" x14ac:dyDescent="0.3">
      <c r="A76" s="552" t="s">
        <v>1462</v>
      </c>
      <c r="B76" s="553" t="s">
        <v>1491</v>
      </c>
      <c r="C76" s="553" t="s">
        <v>1600</v>
      </c>
      <c r="D76" s="553" t="s">
        <v>1601</v>
      </c>
      <c r="E76" s="570">
        <v>9</v>
      </c>
      <c r="F76" s="570">
        <v>3159</v>
      </c>
      <c r="G76" s="553">
        <v>1</v>
      </c>
      <c r="H76" s="553">
        <v>351</v>
      </c>
      <c r="I76" s="570">
        <v>21</v>
      </c>
      <c r="J76" s="570">
        <v>7423</v>
      </c>
      <c r="K76" s="553">
        <v>2.3497942386831276</v>
      </c>
      <c r="L76" s="553">
        <v>353.47619047619048</v>
      </c>
      <c r="M76" s="570">
        <v>37</v>
      </c>
      <c r="N76" s="570">
        <v>13172</v>
      </c>
      <c r="O76" s="558">
        <v>4.1696739474517255</v>
      </c>
      <c r="P76" s="571">
        <v>356</v>
      </c>
    </row>
    <row r="77" spans="1:16" ht="14.4" customHeight="1" x14ac:dyDescent="0.3">
      <c r="A77" s="552" t="s">
        <v>1462</v>
      </c>
      <c r="B77" s="553" t="s">
        <v>1491</v>
      </c>
      <c r="C77" s="553" t="s">
        <v>1602</v>
      </c>
      <c r="D77" s="553" t="s">
        <v>1603</v>
      </c>
      <c r="E77" s="570">
        <v>2</v>
      </c>
      <c r="F77" s="570">
        <v>960</v>
      </c>
      <c r="G77" s="553">
        <v>1</v>
      </c>
      <c r="H77" s="553">
        <v>480</v>
      </c>
      <c r="I77" s="570"/>
      <c r="J77" s="570"/>
      <c r="K77" s="553"/>
      <c r="L77" s="553"/>
      <c r="M77" s="570"/>
      <c r="N77" s="570"/>
      <c r="O77" s="558"/>
      <c r="P77" s="571"/>
    </row>
    <row r="78" spans="1:16" ht="14.4" customHeight="1" x14ac:dyDescent="0.3">
      <c r="A78" s="552" t="s">
        <v>1462</v>
      </c>
      <c r="B78" s="553" t="s">
        <v>1491</v>
      </c>
      <c r="C78" s="553" t="s">
        <v>1604</v>
      </c>
      <c r="D78" s="553" t="s">
        <v>1605</v>
      </c>
      <c r="E78" s="570">
        <v>15</v>
      </c>
      <c r="F78" s="570">
        <v>9345</v>
      </c>
      <c r="G78" s="553">
        <v>1</v>
      </c>
      <c r="H78" s="553">
        <v>623</v>
      </c>
      <c r="I78" s="570">
        <v>13</v>
      </c>
      <c r="J78" s="570">
        <v>8111</v>
      </c>
      <c r="K78" s="553">
        <v>0.86795077581594438</v>
      </c>
      <c r="L78" s="553">
        <v>623.92307692307691</v>
      </c>
      <c r="M78" s="570">
        <v>5</v>
      </c>
      <c r="N78" s="570">
        <v>3140</v>
      </c>
      <c r="O78" s="558">
        <v>0.33600856072766183</v>
      </c>
      <c r="P78" s="571">
        <v>628</v>
      </c>
    </row>
    <row r="79" spans="1:16" ht="14.4" customHeight="1" x14ac:dyDescent="0.3">
      <c r="A79" s="552" t="s">
        <v>1462</v>
      </c>
      <c r="B79" s="553" t="s">
        <v>1491</v>
      </c>
      <c r="C79" s="553" t="s">
        <v>1606</v>
      </c>
      <c r="D79" s="553" t="s">
        <v>1607</v>
      </c>
      <c r="E79" s="570">
        <v>11</v>
      </c>
      <c r="F79" s="570">
        <v>17336</v>
      </c>
      <c r="G79" s="553">
        <v>1</v>
      </c>
      <c r="H79" s="553">
        <v>1576</v>
      </c>
      <c r="I79" s="570">
        <v>13</v>
      </c>
      <c r="J79" s="570">
        <v>20664</v>
      </c>
      <c r="K79" s="553">
        <v>1.1919704660821413</v>
      </c>
      <c r="L79" s="553">
        <v>1589.5384615384614</v>
      </c>
      <c r="M79" s="570">
        <v>11</v>
      </c>
      <c r="N79" s="570">
        <v>17578</v>
      </c>
      <c r="O79" s="558">
        <v>1.0139593908629441</v>
      </c>
      <c r="P79" s="571">
        <v>1598</v>
      </c>
    </row>
    <row r="80" spans="1:16" ht="14.4" customHeight="1" x14ac:dyDescent="0.3">
      <c r="A80" s="552" t="s">
        <v>1462</v>
      </c>
      <c r="B80" s="553" t="s">
        <v>1491</v>
      </c>
      <c r="C80" s="553" t="s">
        <v>1608</v>
      </c>
      <c r="D80" s="553" t="s">
        <v>1609</v>
      </c>
      <c r="E80" s="570">
        <v>10</v>
      </c>
      <c r="F80" s="570">
        <v>1140</v>
      </c>
      <c r="G80" s="553">
        <v>1</v>
      </c>
      <c r="H80" s="553">
        <v>114</v>
      </c>
      <c r="I80" s="570">
        <v>17</v>
      </c>
      <c r="J80" s="570">
        <v>1942</v>
      </c>
      <c r="K80" s="553">
        <v>1.7035087719298245</v>
      </c>
      <c r="L80" s="553">
        <v>114.23529411764706</v>
      </c>
      <c r="M80" s="570">
        <v>4</v>
      </c>
      <c r="N80" s="570">
        <v>464</v>
      </c>
      <c r="O80" s="558">
        <v>0.40701754385964911</v>
      </c>
      <c r="P80" s="571">
        <v>116</v>
      </c>
    </row>
    <row r="81" spans="1:16" ht="14.4" customHeight="1" x14ac:dyDescent="0.3">
      <c r="A81" s="552" t="s">
        <v>1462</v>
      </c>
      <c r="B81" s="553" t="s">
        <v>1491</v>
      </c>
      <c r="C81" s="553" t="s">
        <v>1610</v>
      </c>
      <c r="D81" s="553" t="s">
        <v>1611</v>
      </c>
      <c r="E81" s="570">
        <v>50</v>
      </c>
      <c r="F81" s="570">
        <v>10000</v>
      </c>
      <c r="G81" s="553">
        <v>1</v>
      </c>
      <c r="H81" s="553">
        <v>200</v>
      </c>
      <c r="I81" s="570">
        <v>38</v>
      </c>
      <c r="J81" s="570">
        <v>7605</v>
      </c>
      <c r="K81" s="553">
        <v>0.76049999999999995</v>
      </c>
      <c r="L81" s="553">
        <v>200.13157894736841</v>
      </c>
      <c r="M81" s="570">
        <v>21</v>
      </c>
      <c r="N81" s="570">
        <v>4242</v>
      </c>
      <c r="O81" s="558">
        <v>0.42420000000000002</v>
      </c>
      <c r="P81" s="571">
        <v>202</v>
      </c>
    </row>
    <row r="82" spans="1:16" ht="14.4" customHeight="1" x14ac:dyDescent="0.3">
      <c r="A82" s="552" t="s">
        <v>1462</v>
      </c>
      <c r="B82" s="553" t="s">
        <v>1491</v>
      </c>
      <c r="C82" s="553" t="s">
        <v>1612</v>
      </c>
      <c r="D82" s="553" t="s">
        <v>1613</v>
      </c>
      <c r="E82" s="570">
        <v>27</v>
      </c>
      <c r="F82" s="570">
        <v>6507</v>
      </c>
      <c r="G82" s="553">
        <v>1</v>
      </c>
      <c r="H82" s="553">
        <v>241</v>
      </c>
      <c r="I82" s="570">
        <v>44</v>
      </c>
      <c r="J82" s="570">
        <v>10617</v>
      </c>
      <c r="K82" s="553">
        <v>1.6316274781005071</v>
      </c>
      <c r="L82" s="553">
        <v>241.29545454545453</v>
      </c>
      <c r="M82" s="570">
        <v>51</v>
      </c>
      <c r="N82" s="570">
        <v>12393</v>
      </c>
      <c r="O82" s="558">
        <v>1.904564315352697</v>
      </c>
      <c r="P82" s="571">
        <v>243</v>
      </c>
    </row>
    <row r="83" spans="1:16" ht="14.4" customHeight="1" x14ac:dyDescent="0.3">
      <c r="A83" s="552" t="s">
        <v>1462</v>
      </c>
      <c r="B83" s="553" t="s">
        <v>1491</v>
      </c>
      <c r="C83" s="553" t="s">
        <v>1614</v>
      </c>
      <c r="D83" s="553" t="s">
        <v>1615</v>
      </c>
      <c r="E83" s="570">
        <v>16</v>
      </c>
      <c r="F83" s="570">
        <v>55984</v>
      </c>
      <c r="G83" s="553">
        <v>1</v>
      </c>
      <c r="H83" s="553">
        <v>3499</v>
      </c>
      <c r="I83" s="570">
        <v>12</v>
      </c>
      <c r="J83" s="570">
        <v>42222</v>
      </c>
      <c r="K83" s="553">
        <v>0.7541797656473278</v>
      </c>
      <c r="L83" s="553">
        <v>3518.5</v>
      </c>
      <c r="M83" s="570">
        <v>8</v>
      </c>
      <c r="N83" s="570">
        <v>28280</v>
      </c>
      <c r="O83" s="558">
        <v>0.50514432695055733</v>
      </c>
      <c r="P83" s="571">
        <v>3535</v>
      </c>
    </row>
    <row r="84" spans="1:16" ht="14.4" customHeight="1" x14ac:dyDescent="0.3">
      <c r="A84" s="552" t="s">
        <v>1462</v>
      </c>
      <c r="B84" s="553" t="s">
        <v>1491</v>
      </c>
      <c r="C84" s="553" t="s">
        <v>1616</v>
      </c>
      <c r="D84" s="553" t="s">
        <v>1617</v>
      </c>
      <c r="E84" s="570">
        <v>1</v>
      </c>
      <c r="F84" s="570">
        <v>1653</v>
      </c>
      <c r="G84" s="553">
        <v>1</v>
      </c>
      <c r="H84" s="553">
        <v>1653</v>
      </c>
      <c r="I84" s="570">
        <v>4</v>
      </c>
      <c r="J84" s="570">
        <v>6632</v>
      </c>
      <c r="K84" s="553">
        <v>4.0120992135511191</v>
      </c>
      <c r="L84" s="553">
        <v>1658</v>
      </c>
      <c r="M84" s="570">
        <v>4</v>
      </c>
      <c r="N84" s="570">
        <v>6668</v>
      </c>
      <c r="O84" s="558">
        <v>4.0338777979431333</v>
      </c>
      <c r="P84" s="571">
        <v>1667</v>
      </c>
    </row>
    <row r="85" spans="1:16" ht="14.4" customHeight="1" x14ac:dyDescent="0.3">
      <c r="A85" s="552" t="s">
        <v>1462</v>
      </c>
      <c r="B85" s="553" t="s">
        <v>1491</v>
      </c>
      <c r="C85" s="553" t="s">
        <v>1618</v>
      </c>
      <c r="D85" s="553" t="s">
        <v>1619</v>
      </c>
      <c r="E85" s="570"/>
      <c r="F85" s="570"/>
      <c r="G85" s="553"/>
      <c r="H85" s="553"/>
      <c r="I85" s="570">
        <v>3</v>
      </c>
      <c r="J85" s="570">
        <v>2569</v>
      </c>
      <c r="K85" s="553"/>
      <c r="L85" s="553">
        <v>856.33333333333337</v>
      </c>
      <c r="M85" s="570">
        <v>2</v>
      </c>
      <c r="N85" s="570">
        <v>1724</v>
      </c>
      <c r="O85" s="558"/>
      <c r="P85" s="571">
        <v>862</v>
      </c>
    </row>
    <row r="86" spans="1:16" ht="14.4" customHeight="1" x14ac:dyDescent="0.3">
      <c r="A86" s="552" t="s">
        <v>1462</v>
      </c>
      <c r="B86" s="553" t="s">
        <v>1491</v>
      </c>
      <c r="C86" s="553" t="s">
        <v>1620</v>
      </c>
      <c r="D86" s="553" t="s">
        <v>1621</v>
      </c>
      <c r="E86" s="570">
        <v>2</v>
      </c>
      <c r="F86" s="570">
        <v>600</v>
      </c>
      <c r="G86" s="553">
        <v>1</v>
      </c>
      <c r="H86" s="553">
        <v>300</v>
      </c>
      <c r="I86" s="570"/>
      <c r="J86" s="570"/>
      <c r="K86" s="553"/>
      <c r="L86" s="553"/>
      <c r="M86" s="570"/>
      <c r="N86" s="570"/>
      <c r="O86" s="558"/>
      <c r="P86" s="571"/>
    </row>
    <row r="87" spans="1:16" ht="14.4" customHeight="1" x14ac:dyDescent="0.3">
      <c r="A87" s="552" t="s">
        <v>1462</v>
      </c>
      <c r="B87" s="553" t="s">
        <v>1491</v>
      </c>
      <c r="C87" s="553" t="s">
        <v>1622</v>
      </c>
      <c r="D87" s="553" t="s">
        <v>1623</v>
      </c>
      <c r="E87" s="570">
        <v>6</v>
      </c>
      <c r="F87" s="570">
        <v>1866</v>
      </c>
      <c r="G87" s="553">
        <v>1</v>
      </c>
      <c r="H87" s="553">
        <v>311</v>
      </c>
      <c r="I87" s="570">
        <v>11</v>
      </c>
      <c r="J87" s="570">
        <v>3451</v>
      </c>
      <c r="K87" s="553">
        <v>1.8494105037513398</v>
      </c>
      <c r="L87" s="553">
        <v>313.72727272727275</v>
      </c>
      <c r="M87" s="570"/>
      <c r="N87" s="570"/>
      <c r="O87" s="558"/>
      <c r="P87" s="571"/>
    </row>
    <row r="88" spans="1:16" ht="14.4" customHeight="1" x14ac:dyDescent="0.3">
      <c r="A88" s="552" t="s">
        <v>1462</v>
      </c>
      <c r="B88" s="553" t="s">
        <v>1491</v>
      </c>
      <c r="C88" s="553" t="s">
        <v>1624</v>
      </c>
      <c r="D88" s="553" t="s">
        <v>1625</v>
      </c>
      <c r="E88" s="570">
        <v>3</v>
      </c>
      <c r="F88" s="570">
        <v>2982</v>
      </c>
      <c r="G88" s="553">
        <v>1</v>
      </c>
      <c r="H88" s="553">
        <v>994</v>
      </c>
      <c r="I88" s="570">
        <v>1</v>
      </c>
      <c r="J88" s="570">
        <v>1004</v>
      </c>
      <c r="K88" s="553">
        <v>0.33668678739101277</v>
      </c>
      <c r="L88" s="553">
        <v>1004</v>
      </c>
      <c r="M88" s="570"/>
      <c r="N88" s="570"/>
      <c r="O88" s="558"/>
      <c r="P88" s="571"/>
    </row>
    <row r="89" spans="1:16" ht="14.4" customHeight="1" x14ac:dyDescent="0.3">
      <c r="A89" s="552" t="s">
        <v>1462</v>
      </c>
      <c r="B89" s="553" t="s">
        <v>1491</v>
      </c>
      <c r="C89" s="553" t="s">
        <v>1626</v>
      </c>
      <c r="D89" s="553" t="s">
        <v>1627</v>
      </c>
      <c r="E89" s="570">
        <v>36</v>
      </c>
      <c r="F89" s="570">
        <v>29088</v>
      </c>
      <c r="G89" s="553">
        <v>1</v>
      </c>
      <c r="H89" s="553">
        <v>808</v>
      </c>
      <c r="I89" s="570">
        <v>53</v>
      </c>
      <c r="J89" s="570">
        <v>42884</v>
      </c>
      <c r="K89" s="553">
        <v>1.4742849284928492</v>
      </c>
      <c r="L89" s="553">
        <v>809.13207547169816</v>
      </c>
      <c r="M89" s="570">
        <v>64</v>
      </c>
      <c r="N89" s="570">
        <v>52160</v>
      </c>
      <c r="O89" s="558">
        <v>1.7931793179317932</v>
      </c>
      <c r="P89" s="571">
        <v>815</v>
      </c>
    </row>
    <row r="90" spans="1:16" ht="14.4" customHeight="1" x14ac:dyDescent="0.3">
      <c r="A90" s="552" t="s">
        <v>1462</v>
      </c>
      <c r="B90" s="553" t="s">
        <v>1491</v>
      </c>
      <c r="C90" s="553" t="s">
        <v>1628</v>
      </c>
      <c r="D90" s="553" t="s">
        <v>1629</v>
      </c>
      <c r="E90" s="570">
        <v>12</v>
      </c>
      <c r="F90" s="570">
        <v>10248</v>
      </c>
      <c r="G90" s="553">
        <v>1</v>
      </c>
      <c r="H90" s="553">
        <v>854</v>
      </c>
      <c r="I90" s="570">
        <v>8</v>
      </c>
      <c r="J90" s="570">
        <v>6832</v>
      </c>
      <c r="K90" s="553">
        <v>0.66666666666666663</v>
      </c>
      <c r="L90" s="553">
        <v>854</v>
      </c>
      <c r="M90" s="570">
        <v>19</v>
      </c>
      <c r="N90" s="570">
        <v>16378</v>
      </c>
      <c r="O90" s="558">
        <v>1.5981654957064793</v>
      </c>
      <c r="P90" s="571">
        <v>862</v>
      </c>
    </row>
    <row r="91" spans="1:16" ht="14.4" customHeight="1" x14ac:dyDescent="0.3">
      <c r="A91" s="552" t="s">
        <v>1462</v>
      </c>
      <c r="B91" s="553" t="s">
        <v>1491</v>
      </c>
      <c r="C91" s="553" t="s">
        <v>1630</v>
      </c>
      <c r="D91" s="553" t="s">
        <v>1631</v>
      </c>
      <c r="E91" s="570">
        <v>21</v>
      </c>
      <c r="F91" s="570">
        <v>24234</v>
      </c>
      <c r="G91" s="553">
        <v>1</v>
      </c>
      <c r="H91" s="553">
        <v>1154</v>
      </c>
      <c r="I91" s="570">
        <v>6</v>
      </c>
      <c r="J91" s="570">
        <v>6948</v>
      </c>
      <c r="K91" s="553">
        <v>0.28670462985887596</v>
      </c>
      <c r="L91" s="553">
        <v>1158</v>
      </c>
      <c r="M91" s="570">
        <v>4</v>
      </c>
      <c r="N91" s="570">
        <v>4660</v>
      </c>
      <c r="O91" s="558">
        <v>0.19229182140793927</v>
      </c>
      <c r="P91" s="571">
        <v>1165</v>
      </c>
    </row>
    <row r="92" spans="1:16" ht="14.4" customHeight="1" x14ac:dyDescent="0.3">
      <c r="A92" s="552" t="s">
        <v>1462</v>
      </c>
      <c r="B92" s="553" t="s">
        <v>1491</v>
      </c>
      <c r="C92" s="553" t="s">
        <v>1632</v>
      </c>
      <c r="D92" s="553" t="s">
        <v>1633</v>
      </c>
      <c r="E92" s="570"/>
      <c r="F92" s="570"/>
      <c r="G92" s="553"/>
      <c r="H92" s="553"/>
      <c r="I92" s="570">
        <v>1</v>
      </c>
      <c r="J92" s="570">
        <v>1796</v>
      </c>
      <c r="K92" s="553"/>
      <c r="L92" s="553">
        <v>1796</v>
      </c>
      <c r="M92" s="570"/>
      <c r="N92" s="570"/>
      <c r="O92" s="558"/>
      <c r="P92" s="571"/>
    </row>
    <row r="93" spans="1:16" ht="14.4" customHeight="1" x14ac:dyDescent="0.3">
      <c r="A93" s="552" t="s">
        <v>1462</v>
      </c>
      <c r="B93" s="553" t="s">
        <v>1491</v>
      </c>
      <c r="C93" s="553" t="s">
        <v>1634</v>
      </c>
      <c r="D93" s="553" t="s">
        <v>1635</v>
      </c>
      <c r="E93" s="570">
        <v>2</v>
      </c>
      <c r="F93" s="570">
        <v>1454</v>
      </c>
      <c r="G93" s="553">
        <v>1</v>
      </c>
      <c r="H93" s="553">
        <v>727</v>
      </c>
      <c r="I93" s="570">
        <v>2</v>
      </c>
      <c r="J93" s="570">
        <v>1464</v>
      </c>
      <c r="K93" s="553">
        <v>1.0068775790921596</v>
      </c>
      <c r="L93" s="553">
        <v>732</v>
      </c>
      <c r="M93" s="570"/>
      <c r="N93" s="570"/>
      <c r="O93" s="558"/>
      <c r="P93" s="571"/>
    </row>
    <row r="94" spans="1:16" ht="14.4" customHeight="1" x14ac:dyDescent="0.3">
      <c r="A94" s="552" t="s">
        <v>1462</v>
      </c>
      <c r="B94" s="553" t="s">
        <v>1491</v>
      </c>
      <c r="C94" s="553" t="s">
        <v>1636</v>
      </c>
      <c r="D94" s="553" t="s">
        <v>1637</v>
      </c>
      <c r="E94" s="570">
        <v>11</v>
      </c>
      <c r="F94" s="570">
        <v>704</v>
      </c>
      <c r="G94" s="553">
        <v>1</v>
      </c>
      <c r="H94" s="553">
        <v>64</v>
      </c>
      <c r="I94" s="570">
        <v>6</v>
      </c>
      <c r="J94" s="570">
        <v>385</v>
      </c>
      <c r="K94" s="553">
        <v>0.546875</v>
      </c>
      <c r="L94" s="553">
        <v>64.166666666666671</v>
      </c>
      <c r="M94" s="570">
        <v>4</v>
      </c>
      <c r="N94" s="570">
        <v>260</v>
      </c>
      <c r="O94" s="558">
        <v>0.36931818181818182</v>
      </c>
      <c r="P94" s="571">
        <v>65</v>
      </c>
    </row>
    <row r="95" spans="1:16" ht="14.4" customHeight="1" x14ac:dyDescent="0.3">
      <c r="A95" s="552" t="s">
        <v>1462</v>
      </c>
      <c r="B95" s="553" t="s">
        <v>1491</v>
      </c>
      <c r="C95" s="553" t="s">
        <v>1638</v>
      </c>
      <c r="D95" s="553" t="s">
        <v>1639</v>
      </c>
      <c r="E95" s="570"/>
      <c r="F95" s="570"/>
      <c r="G95" s="553"/>
      <c r="H95" s="553"/>
      <c r="I95" s="570">
        <v>2</v>
      </c>
      <c r="J95" s="570">
        <v>1756</v>
      </c>
      <c r="K95" s="553"/>
      <c r="L95" s="553">
        <v>878</v>
      </c>
      <c r="M95" s="570">
        <v>1</v>
      </c>
      <c r="N95" s="570">
        <v>885</v>
      </c>
      <c r="O95" s="558"/>
      <c r="P95" s="571">
        <v>885</v>
      </c>
    </row>
    <row r="96" spans="1:16" ht="14.4" customHeight="1" x14ac:dyDescent="0.3">
      <c r="A96" s="552" t="s">
        <v>1462</v>
      </c>
      <c r="B96" s="553" t="s">
        <v>1491</v>
      </c>
      <c r="C96" s="553" t="s">
        <v>1640</v>
      </c>
      <c r="D96" s="553" t="s">
        <v>1641</v>
      </c>
      <c r="E96" s="570">
        <v>4</v>
      </c>
      <c r="F96" s="570">
        <v>4068</v>
      </c>
      <c r="G96" s="553">
        <v>1</v>
      </c>
      <c r="H96" s="553">
        <v>1017</v>
      </c>
      <c r="I96" s="570"/>
      <c r="J96" s="570"/>
      <c r="K96" s="553"/>
      <c r="L96" s="553"/>
      <c r="M96" s="570">
        <v>2</v>
      </c>
      <c r="N96" s="570">
        <v>2054</v>
      </c>
      <c r="O96" s="558">
        <v>0.50491642084562438</v>
      </c>
      <c r="P96" s="571">
        <v>1027</v>
      </c>
    </row>
    <row r="97" spans="1:16" ht="14.4" customHeight="1" x14ac:dyDescent="0.3">
      <c r="A97" s="552" t="s">
        <v>1462</v>
      </c>
      <c r="B97" s="553" t="s">
        <v>1491</v>
      </c>
      <c r="C97" s="553" t="s">
        <v>1642</v>
      </c>
      <c r="D97" s="553" t="s">
        <v>1643</v>
      </c>
      <c r="E97" s="570">
        <v>2</v>
      </c>
      <c r="F97" s="570">
        <v>914</v>
      </c>
      <c r="G97" s="553">
        <v>1</v>
      </c>
      <c r="H97" s="553">
        <v>457</v>
      </c>
      <c r="I97" s="570"/>
      <c r="J97" s="570"/>
      <c r="K97" s="553"/>
      <c r="L97" s="553"/>
      <c r="M97" s="570"/>
      <c r="N97" s="570"/>
      <c r="O97" s="558"/>
      <c r="P97" s="571"/>
    </row>
    <row r="98" spans="1:16" ht="14.4" customHeight="1" x14ac:dyDescent="0.3">
      <c r="A98" s="552" t="s">
        <v>1462</v>
      </c>
      <c r="B98" s="553" t="s">
        <v>1491</v>
      </c>
      <c r="C98" s="553" t="s">
        <v>1644</v>
      </c>
      <c r="D98" s="553" t="s">
        <v>1645</v>
      </c>
      <c r="E98" s="570"/>
      <c r="F98" s="570"/>
      <c r="G98" s="553"/>
      <c r="H98" s="553"/>
      <c r="I98" s="570">
        <v>1</v>
      </c>
      <c r="J98" s="570">
        <v>569</v>
      </c>
      <c r="K98" s="553"/>
      <c r="L98" s="553">
        <v>569</v>
      </c>
      <c r="M98" s="570"/>
      <c r="N98" s="570"/>
      <c r="O98" s="558"/>
      <c r="P98" s="571"/>
    </row>
    <row r="99" spans="1:16" ht="14.4" customHeight="1" x14ac:dyDescent="0.3">
      <c r="A99" s="552" t="s">
        <v>1462</v>
      </c>
      <c r="B99" s="553" t="s">
        <v>1491</v>
      </c>
      <c r="C99" s="553" t="s">
        <v>1646</v>
      </c>
      <c r="D99" s="553" t="s">
        <v>1647</v>
      </c>
      <c r="E99" s="570"/>
      <c r="F99" s="570"/>
      <c r="G99" s="553"/>
      <c r="H99" s="553"/>
      <c r="I99" s="570"/>
      <c r="J99" s="570"/>
      <c r="K99" s="553"/>
      <c r="L99" s="553"/>
      <c r="M99" s="570">
        <v>6</v>
      </c>
      <c r="N99" s="570">
        <v>12822</v>
      </c>
      <c r="O99" s="558"/>
      <c r="P99" s="571">
        <v>2137</v>
      </c>
    </row>
    <row r="100" spans="1:16" ht="14.4" customHeight="1" x14ac:dyDescent="0.3">
      <c r="A100" s="552" t="s">
        <v>1462</v>
      </c>
      <c r="B100" s="553" t="s">
        <v>1491</v>
      </c>
      <c r="C100" s="553" t="s">
        <v>1648</v>
      </c>
      <c r="D100" s="553" t="s">
        <v>1649</v>
      </c>
      <c r="E100" s="570">
        <v>1</v>
      </c>
      <c r="F100" s="570">
        <v>776</v>
      </c>
      <c r="G100" s="553">
        <v>1</v>
      </c>
      <c r="H100" s="553">
        <v>776</v>
      </c>
      <c r="I100" s="570"/>
      <c r="J100" s="570"/>
      <c r="K100" s="553"/>
      <c r="L100" s="553"/>
      <c r="M100" s="570">
        <v>1</v>
      </c>
      <c r="N100" s="570">
        <v>790</v>
      </c>
      <c r="O100" s="558">
        <v>1.018041237113402</v>
      </c>
      <c r="P100" s="571">
        <v>790</v>
      </c>
    </row>
    <row r="101" spans="1:16" ht="14.4" customHeight="1" x14ac:dyDescent="0.3">
      <c r="A101" s="552" t="s">
        <v>1462</v>
      </c>
      <c r="B101" s="553" t="s">
        <v>1491</v>
      </c>
      <c r="C101" s="553" t="s">
        <v>1650</v>
      </c>
      <c r="D101" s="553" t="s">
        <v>1651</v>
      </c>
      <c r="E101" s="570"/>
      <c r="F101" s="570"/>
      <c r="G101" s="553"/>
      <c r="H101" s="553"/>
      <c r="I101" s="570"/>
      <c r="J101" s="570"/>
      <c r="K101" s="553"/>
      <c r="L101" s="553"/>
      <c r="M101" s="570">
        <v>3</v>
      </c>
      <c r="N101" s="570">
        <v>321</v>
      </c>
      <c r="O101" s="558"/>
      <c r="P101" s="571">
        <v>107</v>
      </c>
    </row>
    <row r="102" spans="1:16" ht="14.4" customHeight="1" thickBot="1" x14ac:dyDescent="0.35">
      <c r="A102" s="560" t="s">
        <v>1652</v>
      </c>
      <c r="B102" s="561" t="s">
        <v>1491</v>
      </c>
      <c r="C102" s="561" t="s">
        <v>1653</v>
      </c>
      <c r="D102" s="561" t="s">
        <v>1654</v>
      </c>
      <c r="E102" s="572">
        <v>4</v>
      </c>
      <c r="F102" s="572">
        <v>3952</v>
      </c>
      <c r="G102" s="561">
        <v>1</v>
      </c>
      <c r="H102" s="561">
        <v>988</v>
      </c>
      <c r="I102" s="572"/>
      <c r="J102" s="572"/>
      <c r="K102" s="561"/>
      <c r="L102" s="561"/>
      <c r="M102" s="572"/>
      <c r="N102" s="572"/>
      <c r="O102" s="566"/>
      <c r="P102" s="573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5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5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40" t="s">
        <v>286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  <c r="N2" s="231"/>
      <c r="O2" s="114"/>
      <c r="P2" s="231"/>
      <c r="Q2" s="114"/>
      <c r="R2" s="231"/>
      <c r="S2" s="232"/>
    </row>
    <row r="3" spans="1:19" ht="14.4" customHeight="1" thickBot="1" x14ac:dyDescent="0.35">
      <c r="A3" s="225" t="s">
        <v>132</v>
      </c>
      <c r="B3" s="226">
        <f>SUBTOTAL(9,B6:B1048576)</f>
        <v>74660</v>
      </c>
      <c r="C3" s="227">
        <f t="shared" ref="C3:R3" si="0">SUBTOTAL(9,C6:C1048576)</f>
        <v>18</v>
      </c>
      <c r="D3" s="227">
        <f t="shared" si="0"/>
        <v>191350</v>
      </c>
      <c r="E3" s="227">
        <f t="shared" si="0"/>
        <v>21.320770198807498</v>
      </c>
      <c r="F3" s="227">
        <f t="shared" si="0"/>
        <v>140578.66</v>
      </c>
      <c r="G3" s="230">
        <f>IF(B3&lt;&gt;0,F3/B3,"")</f>
        <v>1.8829180283953926</v>
      </c>
      <c r="H3" s="226">
        <f t="shared" si="0"/>
        <v>0</v>
      </c>
      <c r="I3" s="227">
        <f t="shared" si="0"/>
        <v>0</v>
      </c>
      <c r="J3" s="227">
        <f t="shared" si="0"/>
        <v>227.51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  <c r="N3" s="229">
        <f t="shared" si="0"/>
        <v>0</v>
      </c>
      <c r="O3" s="227">
        <f t="shared" si="0"/>
        <v>0</v>
      </c>
      <c r="P3" s="227">
        <f t="shared" si="0"/>
        <v>0</v>
      </c>
      <c r="Q3" s="227">
        <f t="shared" si="0"/>
        <v>0</v>
      </c>
      <c r="R3" s="227">
        <f t="shared" si="0"/>
        <v>0</v>
      </c>
      <c r="S3" s="228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616"/>
      <c r="B5" s="617">
        <v>2013</v>
      </c>
      <c r="C5" s="618"/>
      <c r="D5" s="618">
        <v>2014</v>
      </c>
      <c r="E5" s="618"/>
      <c r="F5" s="618">
        <v>2015</v>
      </c>
      <c r="G5" s="619" t="s">
        <v>2</v>
      </c>
      <c r="H5" s="617">
        <v>2013</v>
      </c>
      <c r="I5" s="618"/>
      <c r="J5" s="618">
        <v>2014</v>
      </c>
      <c r="K5" s="618"/>
      <c r="L5" s="618">
        <v>2015</v>
      </c>
      <c r="M5" s="619" t="s">
        <v>2</v>
      </c>
      <c r="N5" s="617">
        <v>2013</v>
      </c>
      <c r="O5" s="618"/>
      <c r="P5" s="618">
        <v>2014</v>
      </c>
      <c r="Q5" s="618"/>
      <c r="R5" s="618">
        <v>2015</v>
      </c>
      <c r="S5" s="619" t="s">
        <v>2</v>
      </c>
    </row>
    <row r="6" spans="1:19" ht="14.4" customHeight="1" x14ac:dyDescent="0.3">
      <c r="A6" s="577" t="s">
        <v>1656</v>
      </c>
      <c r="B6" s="620">
        <v>1402</v>
      </c>
      <c r="C6" s="546">
        <v>1</v>
      </c>
      <c r="D6" s="620"/>
      <c r="E6" s="546"/>
      <c r="F6" s="620">
        <v>470</v>
      </c>
      <c r="G6" s="551">
        <v>0.33523537803138376</v>
      </c>
      <c r="H6" s="620"/>
      <c r="I6" s="546"/>
      <c r="J6" s="620"/>
      <c r="K6" s="546"/>
      <c r="L6" s="620"/>
      <c r="M6" s="551"/>
      <c r="N6" s="620"/>
      <c r="O6" s="546"/>
      <c r="P6" s="620"/>
      <c r="Q6" s="546"/>
      <c r="R6" s="620"/>
      <c r="S6" s="125"/>
    </row>
    <row r="7" spans="1:19" ht="14.4" customHeight="1" x14ac:dyDescent="0.3">
      <c r="A7" s="578" t="s">
        <v>1657</v>
      </c>
      <c r="B7" s="623">
        <v>812</v>
      </c>
      <c r="C7" s="553">
        <v>1</v>
      </c>
      <c r="D7" s="623"/>
      <c r="E7" s="553"/>
      <c r="F7" s="623">
        <v>3736.33</v>
      </c>
      <c r="G7" s="558">
        <v>4.6013916256157632</v>
      </c>
      <c r="H7" s="623"/>
      <c r="I7" s="553"/>
      <c r="J7" s="623"/>
      <c r="K7" s="553"/>
      <c r="L7" s="623"/>
      <c r="M7" s="558"/>
      <c r="N7" s="623"/>
      <c r="O7" s="553"/>
      <c r="P7" s="623"/>
      <c r="Q7" s="553"/>
      <c r="R7" s="623"/>
      <c r="S7" s="559"/>
    </row>
    <row r="8" spans="1:19" ht="14.4" customHeight="1" x14ac:dyDescent="0.3">
      <c r="A8" s="578" t="s">
        <v>1658</v>
      </c>
      <c r="B8" s="623">
        <v>580</v>
      </c>
      <c r="C8" s="553">
        <v>1</v>
      </c>
      <c r="D8" s="623">
        <v>698</v>
      </c>
      <c r="E8" s="553">
        <v>1.203448275862069</v>
      </c>
      <c r="F8" s="623">
        <v>118</v>
      </c>
      <c r="G8" s="558">
        <v>0.20344827586206896</v>
      </c>
      <c r="H8" s="623"/>
      <c r="I8" s="553"/>
      <c r="J8" s="623"/>
      <c r="K8" s="553"/>
      <c r="L8" s="623"/>
      <c r="M8" s="558"/>
      <c r="N8" s="623"/>
      <c r="O8" s="553"/>
      <c r="P8" s="623"/>
      <c r="Q8" s="553"/>
      <c r="R8" s="623"/>
      <c r="S8" s="559"/>
    </row>
    <row r="9" spans="1:19" ht="14.4" customHeight="1" x14ac:dyDescent="0.3">
      <c r="A9" s="578" t="s">
        <v>1659</v>
      </c>
      <c r="B9" s="623">
        <v>11391</v>
      </c>
      <c r="C9" s="553">
        <v>1</v>
      </c>
      <c r="D9" s="623">
        <v>15070</v>
      </c>
      <c r="E9" s="553">
        <v>1.3229742779387235</v>
      </c>
      <c r="F9" s="623">
        <v>14678.33</v>
      </c>
      <c r="G9" s="558">
        <v>1.2885901150030725</v>
      </c>
      <c r="H9" s="623"/>
      <c r="I9" s="553"/>
      <c r="J9" s="623">
        <v>227.51</v>
      </c>
      <c r="K9" s="553"/>
      <c r="L9" s="623"/>
      <c r="M9" s="558"/>
      <c r="N9" s="623"/>
      <c r="O9" s="553"/>
      <c r="P9" s="623"/>
      <c r="Q9" s="553"/>
      <c r="R9" s="623"/>
      <c r="S9" s="559"/>
    </row>
    <row r="10" spans="1:19" ht="14.4" customHeight="1" x14ac:dyDescent="0.3">
      <c r="A10" s="578" t="s">
        <v>1660</v>
      </c>
      <c r="B10" s="623"/>
      <c r="C10" s="553"/>
      <c r="D10" s="623">
        <v>348</v>
      </c>
      <c r="E10" s="553"/>
      <c r="F10" s="623">
        <v>236</v>
      </c>
      <c r="G10" s="558"/>
      <c r="H10" s="623"/>
      <c r="I10" s="553"/>
      <c r="J10" s="623"/>
      <c r="K10" s="553"/>
      <c r="L10" s="623"/>
      <c r="M10" s="558"/>
      <c r="N10" s="623"/>
      <c r="O10" s="553"/>
      <c r="P10" s="623"/>
      <c r="Q10" s="553"/>
      <c r="R10" s="623"/>
      <c r="S10" s="559"/>
    </row>
    <row r="11" spans="1:19" ht="14.4" customHeight="1" x14ac:dyDescent="0.3">
      <c r="A11" s="578" t="s">
        <v>1661</v>
      </c>
      <c r="B11" s="623"/>
      <c r="C11" s="553"/>
      <c r="D11" s="623">
        <v>2438</v>
      </c>
      <c r="E11" s="553"/>
      <c r="F11" s="623">
        <v>236</v>
      </c>
      <c r="G11" s="558"/>
      <c r="H11" s="623"/>
      <c r="I11" s="553"/>
      <c r="J11" s="623"/>
      <c r="K11" s="553"/>
      <c r="L11" s="623"/>
      <c r="M11" s="558"/>
      <c r="N11" s="623"/>
      <c r="O11" s="553"/>
      <c r="P11" s="623"/>
      <c r="Q11" s="553"/>
      <c r="R11" s="623"/>
      <c r="S11" s="559"/>
    </row>
    <row r="12" spans="1:19" ht="14.4" customHeight="1" x14ac:dyDescent="0.3">
      <c r="A12" s="578" t="s">
        <v>1662</v>
      </c>
      <c r="B12" s="623">
        <v>6374</v>
      </c>
      <c r="C12" s="553">
        <v>1</v>
      </c>
      <c r="D12" s="623">
        <v>116</v>
      </c>
      <c r="E12" s="553">
        <v>1.8198933165986822E-2</v>
      </c>
      <c r="F12" s="623">
        <v>2066</v>
      </c>
      <c r="G12" s="558">
        <v>0.32412927518042045</v>
      </c>
      <c r="H12" s="623"/>
      <c r="I12" s="553"/>
      <c r="J12" s="623"/>
      <c r="K12" s="553"/>
      <c r="L12" s="623"/>
      <c r="M12" s="558"/>
      <c r="N12" s="623"/>
      <c r="O12" s="553"/>
      <c r="P12" s="623"/>
      <c r="Q12" s="553"/>
      <c r="R12" s="623"/>
      <c r="S12" s="559"/>
    </row>
    <row r="13" spans="1:19" ht="14.4" customHeight="1" x14ac:dyDescent="0.3">
      <c r="A13" s="578" t="s">
        <v>1663</v>
      </c>
      <c r="B13" s="623">
        <v>232</v>
      </c>
      <c r="C13" s="553">
        <v>1</v>
      </c>
      <c r="D13" s="623"/>
      <c r="E13" s="553"/>
      <c r="F13" s="623">
        <v>235</v>
      </c>
      <c r="G13" s="558">
        <v>1.0129310344827587</v>
      </c>
      <c r="H13" s="623"/>
      <c r="I13" s="553"/>
      <c r="J13" s="623"/>
      <c r="K13" s="553"/>
      <c r="L13" s="623"/>
      <c r="M13" s="558"/>
      <c r="N13" s="623"/>
      <c r="O13" s="553"/>
      <c r="P13" s="623"/>
      <c r="Q13" s="553"/>
      <c r="R13" s="623"/>
      <c r="S13" s="559"/>
    </row>
    <row r="14" spans="1:19" ht="14.4" customHeight="1" x14ac:dyDescent="0.3">
      <c r="A14" s="578" t="s">
        <v>1664</v>
      </c>
      <c r="B14" s="623">
        <v>26246</v>
      </c>
      <c r="C14" s="553">
        <v>1</v>
      </c>
      <c r="D14" s="623">
        <v>161346</v>
      </c>
      <c r="E14" s="553">
        <v>6.1474510401585007</v>
      </c>
      <c r="F14" s="623">
        <v>102997</v>
      </c>
      <c r="G14" s="558">
        <v>3.9242932256343823</v>
      </c>
      <c r="H14" s="623"/>
      <c r="I14" s="553"/>
      <c r="J14" s="623"/>
      <c r="K14" s="553"/>
      <c r="L14" s="623"/>
      <c r="M14" s="558"/>
      <c r="N14" s="623"/>
      <c r="O14" s="553"/>
      <c r="P14" s="623"/>
      <c r="Q14" s="553"/>
      <c r="R14" s="623"/>
      <c r="S14" s="559"/>
    </row>
    <row r="15" spans="1:19" ht="14.4" customHeight="1" x14ac:dyDescent="0.3">
      <c r="A15" s="578" t="s">
        <v>1665</v>
      </c>
      <c r="B15" s="623">
        <v>1409</v>
      </c>
      <c r="C15" s="553">
        <v>1</v>
      </c>
      <c r="D15" s="623">
        <v>2573</v>
      </c>
      <c r="E15" s="553">
        <v>1.8261178140525196</v>
      </c>
      <c r="F15" s="623">
        <v>4316</v>
      </c>
      <c r="G15" s="558">
        <v>3.063165365507452</v>
      </c>
      <c r="H15" s="623"/>
      <c r="I15" s="553"/>
      <c r="J15" s="623"/>
      <c r="K15" s="553"/>
      <c r="L15" s="623"/>
      <c r="M15" s="558"/>
      <c r="N15" s="623"/>
      <c r="O15" s="553"/>
      <c r="P15" s="623"/>
      <c r="Q15" s="553"/>
      <c r="R15" s="623"/>
      <c r="S15" s="559"/>
    </row>
    <row r="16" spans="1:19" ht="14.4" customHeight="1" x14ac:dyDescent="0.3">
      <c r="A16" s="578" t="s">
        <v>1666</v>
      </c>
      <c r="B16" s="623"/>
      <c r="C16" s="553"/>
      <c r="D16" s="623">
        <v>35</v>
      </c>
      <c r="E16" s="553"/>
      <c r="F16" s="623">
        <v>532</v>
      </c>
      <c r="G16" s="558"/>
      <c r="H16" s="623"/>
      <c r="I16" s="553"/>
      <c r="J16" s="623"/>
      <c r="K16" s="553"/>
      <c r="L16" s="623"/>
      <c r="M16" s="558"/>
      <c r="N16" s="623"/>
      <c r="O16" s="553"/>
      <c r="P16" s="623"/>
      <c r="Q16" s="553"/>
      <c r="R16" s="623"/>
      <c r="S16" s="559"/>
    </row>
    <row r="17" spans="1:19" ht="14.4" customHeight="1" x14ac:dyDescent="0.3">
      <c r="A17" s="578" t="s">
        <v>1667</v>
      </c>
      <c r="B17" s="623">
        <v>730</v>
      </c>
      <c r="C17" s="553">
        <v>1</v>
      </c>
      <c r="D17" s="623">
        <v>116</v>
      </c>
      <c r="E17" s="553">
        <v>0.15890410958904111</v>
      </c>
      <c r="F17" s="623">
        <v>118</v>
      </c>
      <c r="G17" s="558">
        <v>0.16164383561643836</v>
      </c>
      <c r="H17" s="623"/>
      <c r="I17" s="553"/>
      <c r="J17" s="623"/>
      <c r="K17" s="553"/>
      <c r="L17" s="623"/>
      <c r="M17" s="558"/>
      <c r="N17" s="623"/>
      <c r="O17" s="553"/>
      <c r="P17" s="623"/>
      <c r="Q17" s="553"/>
      <c r="R17" s="623"/>
      <c r="S17" s="559"/>
    </row>
    <row r="18" spans="1:19" ht="14.4" customHeight="1" x14ac:dyDescent="0.3">
      <c r="A18" s="578" t="s">
        <v>1668</v>
      </c>
      <c r="B18" s="623">
        <v>9869</v>
      </c>
      <c r="C18" s="553">
        <v>1</v>
      </c>
      <c r="D18" s="623"/>
      <c r="E18" s="553"/>
      <c r="F18" s="623">
        <v>705</v>
      </c>
      <c r="G18" s="558">
        <v>7.1435809099199513E-2</v>
      </c>
      <c r="H18" s="623"/>
      <c r="I18" s="553"/>
      <c r="J18" s="623"/>
      <c r="K18" s="553"/>
      <c r="L18" s="623"/>
      <c r="M18" s="558"/>
      <c r="N18" s="623"/>
      <c r="O18" s="553"/>
      <c r="P18" s="623"/>
      <c r="Q18" s="553"/>
      <c r="R18" s="623"/>
      <c r="S18" s="559"/>
    </row>
    <row r="19" spans="1:19" ht="14.4" customHeight="1" x14ac:dyDescent="0.3">
      <c r="A19" s="578" t="s">
        <v>1669</v>
      </c>
      <c r="B19" s="623"/>
      <c r="C19" s="553"/>
      <c r="D19" s="623"/>
      <c r="E19" s="553"/>
      <c r="F19" s="623">
        <v>235</v>
      </c>
      <c r="G19" s="558"/>
      <c r="H19" s="623"/>
      <c r="I19" s="553"/>
      <c r="J19" s="623"/>
      <c r="K19" s="553"/>
      <c r="L19" s="623"/>
      <c r="M19" s="558"/>
      <c r="N19" s="623"/>
      <c r="O19" s="553"/>
      <c r="P19" s="623"/>
      <c r="Q19" s="553"/>
      <c r="R19" s="623"/>
      <c r="S19" s="559"/>
    </row>
    <row r="20" spans="1:19" ht="14.4" customHeight="1" x14ac:dyDescent="0.3">
      <c r="A20" s="578" t="s">
        <v>1670</v>
      </c>
      <c r="B20" s="623">
        <v>764</v>
      </c>
      <c r="C20" s="553">
        <v>1</v>
      </c>
      <c r="D20" s="623">
        <v>1065</v>
      </c>
      <c r="E20" s="553">
        <v>1.3939790575916231</v>
      </c>
      <c r="F20" s="623">
        <v>1674</v>
      </c>
      <c r="G20" s="558">
        <v>2.1910994764397906</v>
      </c>
      <c r="H20" s="623"/>
      <c r="I20" s="553"/>
      <c r="J20" s="623"/>
      <c r="K20" s="553"/>
      <c r="L20" s="623"/>
      <c r="M20" s="558"/>
      <c r="N20" s="623"/>
      <c r="O20" s="553"/>
      <c r="P20" s="623"/>
      <c r="Q20" s="553"/>
      <c r="R20" s="623"/>
      <c r="S20" s="559"/>
    </row>
    <row r="21" spans="1:19" ht="14.4" customHeight="1" x14ac:dyDescent="0.3">
      <c r="A21" s="578" t="s">
        <v>1671</v>
      </c>
      <c r="B21" s="623">
        <v>464</v>
      </c>
      <c r="C21" s="553">
        <v>1</v>
      </c>
      <c r="D21" s="623">
        <v>116</v>
      </c>
      <c r="E21" s="553">
        <v>0.25</v>
      </c>
      <c r="F21" s="623">
        <v>1178</v>
      </c>
      <c r="G21" s="558">
        <v>2.5387931034482758</v>
      </c>
      <c r="H21" s="623"/>
      <c r="I21" s="553"/>
      <c r="J21" s="623"/>
      <c r="K21" s="553"/>
      <c r="L21" s="623"/>
      <c r="M21" s="558"/>
      <c r="N21" s="623"/>
      <c r="O21" s="553"/>
      <c r="P21" s="623"/>
      <c r="Q21" s="553"/>
      <c r="R21" s="623"/>
      <c r="S21" s="559"/>
    </row>
    <row r="22" spans="1:19" ht="14.4" customHeight="1" x14ac:dyDescent="0.3">
      <c r="A22" s="578" t="s">
        <v>1672</v>
      </c>
      <c r="B22" s="623"/>
      <c r="C22" s="553"/>
      <c r="D22" s="623">
        <v>484</v>
      </c>
      <c r="E22" s="553"/>
      <c r="F22" s="623"/>
      <c r="G22" s="558"/>
      <c r="H22" s="623"/>
      <c r="I22" s="553"/>
      <c r="J22" s="623"/>
      <c r="K22" s="553"/>
      <c r="L22" s="623"/>
      <c r="M22" s="558"/>
      <c r="N22" s="623"/>
      <c r="O22" s="553"/>
      <c r="P22" s="623"/>
      <c r="Q22" s="553"/>
      <c r="R22" s="623"/>
      <c r="S22" s="559"/>
    </row>
    <row r="23" spans="1:19" ht="14.4" customHeight="1" x14ac:dyDescent="0.3">
      <c r="A23" s="578" t="s">
        <v>1673</v>
      </c>
      <c r="B23" s="623"/>
      <c r="C23" s="553"/>
      <c r="D23" s="623">
        <v>232</v>
      </c>
      <c r="E23" s="553"/>
      <c r="F23" s="623">
        <v>2622</v>
      </c>
      <c r="G23" s="558"/>
      <c r="H23" s="623"/>
      <c r="I23" s="553"/>
      <c r="J23" s="623"/>
      <c r="K23" s="553"/>
      <c r="L23" s="623"/>
      <c r="M23" s="558"/>
      <c r="N23" s="623"/>
      <c r="O23" s="553"/>
      <c r="P23" s="623"/>
      <c r="Q23" s="553"/>
      <c r="R23" s="623"/>
      <c r="S23" s="559"/>
    </row>
    <row r="24" spans="1:19" ht="14.4" customHeight="1" x14ac:dyDescent="0.3">
      <c r="A24" s="578" t="s">
        <v>1674</v>
      </c>
      <c r="B24" s="623">
        <v>102</v>
      </c>
      <c r="C24" s="553">
        <v>1</v>
      </c>
      <c r="D24" s="623">
        <v>116</v>
      </c>
      <c r="E24" s="553">
        <v>1.1372549019607843</v>
      </c>
      <c r="F24" s="623"/>
      <c r="G24" s="558"/>
      <c r="H24" s="623"/>
      <c r="I24" s="553"/>
      <c r="J24" s="623"/>
      <c r="K24" s="553"/>
      <c r="L24" s="623"/>
      <c r="M24" s="558"/>
      <c r="N24" s="623"/>
      <c r="O24" s="553"/>
      <c r="P24" s="623"/>
      <c r="Q24" s="553"/>
      <c r="R24" s="623"/>
      <c r="S24" s="559"/>
    </row>
    <row r="25" spans="1:19" ht="14.4" customHeight="1" x14ac:dyDescent="0.3">
      <c r="A25" s="578" t="s">
        <v>635</v>
      </c>
      <c r="B25" s="623">
        <v>10195</v>
      </c>
      <c r="C25" s="553">
        <v>1</v>
      </c>
      <c r="D25" s="623"/>
      <c r="E25" s="553"/>
      <c r="F25" s="623"/>
      <c r="G25" s="558"/>
      <c r="H25" s="623"/>
      <c r="I25" s="553"/>
      <c r="J25" s="623"/>
      <c r="K25" s="553"/>
      <c r="L25" s="623"/>
      <c r="M25" s="558"/>
      <c r="N25" s="623"/>
      <c r="O25" s="553"/>
      <c r="P25" s="623"/>
      <c r="Q25" s="553"/>
      <c r="R25" s="623"/>
      <c r="S25" s="559"/>
    </row>
    <row r="26" spans="1:19" ht="14.4" customHeight="1" x14ac:dyDescent="0.3">
      <c r="A26" s="578" t="s">
        <v>1675</v>
      </c>
      <c r="B26" s="623">
        <v>1388</v>
      </c>
      <c r="C26" s="553">
        <v>1</v>
      </c>
      <c r="D26" s="623">
        <v>232</v>
      </c>
      <c r="E26" s="553">
        <v>0.16714697406340057</v>
      </c>
      <c r="F26" s="623">
        <v>977</v>
      </c>
      <c r="G26" s="558">
        <v>0.70389048991354464</v>
      </c>
      <c r="H26" s="623"/>
      <c r="I26" s="553"/>
      <c r="J26" s="623"/>
      <c r="K26" s="553"/>
      <c r="L26" s="623"/>
      <c r="M26" s="558"/>
      <c r="N26" s="623"/>
      <c r="O26" s="553"/>
      <c r="P26" s="623"/>
      <c r="Q26" s="553"/>
      <c r="R26" s="623"/>
      <c r="S26" s="559"/>
    </row>
    <row r="27" spans="1:19" ht="14.4" customHeight="1" x14ac:dyDescent="0.3">
      <c r="A27" s="578" t="s">
        <v>1676</v>
      </c>
      <c r="B27" s="623">
        <v>464</v>
      </c>
      <c r="C27" s="553">
        <v>1</v>
      </c>
      <c r="D27" s="623">
        <v>2038</v>
      </c>
      <c r="E27" s="553">
        <v>4.3922413793103452</v>
      </c>
      <c r="F27" s="623">
        <v>2506</v>
      </c>
      <c r="G27" s="558">
        <v>5.4008620689655169</v>
      </c>
      <c r="H27" s="623"/>
      <c r="I27" s="553"/>
      <c r="J27" s="623"/>
      <c r="K27" s="553"/>
      <c r="L27" s="623"/>
      <c r="M27" s="558"/>
      <c r="N27" s="623"/>
      <c r="O27" s="553"/>
      <c r="P27" s="623"/>
      <c r="Q27" s="553"/>
      <c r="R27" s="623"/>
      <c r="S27" s="559"/>
    </row>
    <row r="28" spans="1:19" ht="14.4" customHeight="1" x14ac:dyDescent="0.3">
      <c r="A28" s="578" t="s">
        <v>1677</v>
      </c>
      <c r="B28" s="623">
        <v>928</v>
      </c>
      <c r="C28" s="553">
        <v>1</v>
      </c>
      <c r="D28" s="623"/>
      <c r="E28" s="553"/>
      <c r="F28" s="623">
        <v>472</v>
      </c>
      <c r="G28" s="558">
        <v>0.50862068965517238</v>
      </c>
      <c r="H28" s="623"/>
      <c r="I28" s="553"/>
      <c r="J28" s="623"/>
      <c r="K28" s="553"/>
      <c r="L28" s="623"/>
      <c r="M28" s="558"/>
      <c r="N28" s="623"/>
      <c r="O28" s="553"/>
      <c r="P28" s="623"/>
      <c r="Q28" s="553"/>
      <c r="R28" s="623"/>
      <c r="S28" s="559"/>
    </row>
    <row r="29" spans="1:19" ht="14.4" customHeight="1" thickBot="1" x14ac:dyDescent="0.35">
      <c r="A29" s="622" t="s">
        <v>1678</v>
      </c>
      <c r="B29" s="621">
        <v>1310</v>
      </c>
      <c r="C29" s="561">
        <v>1</v>
      </c>
      <c r="D29" s="621">
        <v>4327</v>
      </c>
      <c r="E29" s="561">
        <v>3.3030534351145038</v>
      </c>
      <c r="F29" s="621">
        <v>471</v>
      </c>
      <c r="G29" s="566">
        <v>0.35954198473282445</v>
      </c>
      <c r="H29" s="621"/>
      <c r="I29" s="561"/>
      <c r="J29" s="621"/>
      <c r="K29" s="561"/>
      <c r="L29" s="621"/>
      <c r="M29" s="566"/>
      <c r="N29" s="621"/>
      <c r="O29" s="561"/>
      <c r="P29" s="621"/>
      <c r="Q29" s="561"/>
      <c r="R29" s="621"/>
      <c r="S29" s="56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30" t="s">
        <v>1713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40" t="s">
        <v>286</v>
      </c>
      <c r="B2" s="134"/>
      <c r="C2" s="134"/>
      <c r="D2" s="134"/>
      <c r="E2" s="134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  <c r="Q2" s="233"/>
    </row>
    <row r="3" spans="1:17" ht="14.4" customHeight="1" thickBot="1" x14ac:dyDescent="0.35">
      <c r="E3" s="87" t="s">
        <v>132</v>
      </c>
      <c r="F3" s="103">
        <f t="shared" ref="F3:O3" si="0">SUBTOTAL(9,F6:F1048576)</f>
        <v>305</v>
      </c>
      <c r="G3" s="104">
        <f t="shared" si="0"/>
        <v>74660</v>
      </c>
      <c r="H3" s="104"/>
      <c r="I3" s="104"/>
      <c r="J3" s="104">
        <f t="shared" si="0"/>
        <v>462.2</v>
      </c>
      <c r="K3" s="104">
        <f t="shared" si="0"/>
        <v>191577.51</v>
      </c>
      <c r="L3" s="104"/>
      <c r="M3" s="104"/>
      <c r="N3" s="104">
        <f t="shared" si="0"/>
        <v>469</v>
      </c>
      <c r="O3" s="104">
        <f t="shared" si="0"/>
        <v>140578.66</v>
      </c>
      <c r="P3" s="75">
        <f>IF(G3=0,0,O3/G3)</f>
        <v>1.8829180283953926</v>
      </c>
      <c r="Q3" s="105">
        <f>IF(N3=0,0,O3/N3)</f>
        <v>299.74127931769726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0" t="s">
        <v>98</v>
      </c>
      <c r="E4" s="413" t="s">
        <v>70</v>
      </c>
      <c r="F4" s="418">
        <v>2013</v>
      </c>
      <c r="G4" s="419"/>
      <c r="H4" s="106"/>
      <c r="I4" s="106"/>
      <c r="J4" s="418">
        <v>2014</v>
      </c>
      <c r="K4" s="419"/>
      <c r="L4" s="106"/>
      <c r="M4" s="106"/>
      <c r="N4" s="418">
        <v>2015</v>
      </c>
      <c r="O4" s="419"/>
      <c r="P4" s="421" t="s">
        <v>2</v>
      </c>
      <c r="Q4" s="410" t="s">
        <v>99</v>
      </c>
    </row>
    <row r="5" spans="1:17" ht="14.4" customHeight="1" thickBot="1" x14ac:dyDescent="0.35">
      <c r="A5" s="629"/>
      <c r="B5" s="628"/>
      <c r="C5" s="629"/>
      <c r="D5" s="637"/>
      <c r="E5" s="631"/>
      <c r="F5" s="638" t="s">
        <v>72</v>
      </c>
      <c r="G5" s="639" t="s">
        <v>14</v>
      </c>
      <c r="H5" s="640"/>
      <c r="I5" s="640"/>
      <c r="J5" s="638" t="s">
        <v>72</v>
      </c>
      <c r="K5" s="639" t="s">
        <v>14</v>
      </c>
      <c r="L5" s="640"/>
      <c r="M5" s="640"/>
      <c r="N5" s="638" t="s">
        <v>72</v>
      </c>
      <c r="O5" s="639" t="s">
        <v>14</v>
      </c>
      <c r="P5" s="641"/>
      <c r="Q5" s="636"/>
    </row>
    <row r="6" spans="1:17" ht="14.4" customHeight="1" x14ac:dyDescent="0.3">
      <c r="A6" s="545" t="s">
        <v>1679</v>
      </c>
      <c r="B6" s="546" t="s">
        <v>1462</v>
      </c>
      <c r="C6" s="546" t="s">
        <v>1491</v>
      </c>
      <c r="D6" s="546" t="s">
        <v>1515</v>
      </c>
      <c r="E6" s="546" t="s">
        <v>1516</v>
      </c>
      <c r="F6" s="119">
        <v>1</v>
      </c>
      <c r="G6" s="119">
        <v>232</v>
      </c>
      <c r="H6" s="119">
        <v>1</v>
      </c>
      <c r="I6" s="119">
        <v>232</v>
      </c>
      <c r="J6" s="119"/>
      <c r="K6" s="119"/>
      <c r="L6" s="119"/>
      <c r="M6" s="119"/>
      <c r="N6" s="119">
        <v>2</v>
      </c>
      <c r="O6" s="119">
        <v>470</v>
      </c>
      <c r="P6" s="551">
        <v>2.0258620689655173</v>
      </c>
      <c r="Q6" s="569">
        <v>235</v>
      </c>
    </row>
    <row r="7" spans="1:17" ht="14.4" customHeight="1" x14ac:dyDescent="0.3">
      <c r="A7" s="552" t="s">
        <v>1679</v>
      </c>
      <c r="B7" s="553" t="s">
        <v>1462</v>
      </c>
      <c r="C7" s="553" t="s">
        <v>1491</v>
      </c>
      <c r="D7" s="553" t="s">
        <v>1517</v>
      </c>
      <c r="E7" s="553" t="s">
        <v>1518</v>
      </c>
      <c r="F7" s="570">
        <v>1</v>
      </c>
      <c r="G7" s="570">
        <v>116</v>
      </c>
      <c r="H7" s="570">
        <v>1</v>
      </c>
      <c r="I7" s="570">
        <v>116</v>
      </c>
      <c r="J7" s="570"/>
      <c r="K7" s="570"/>
      <c r="L7" s="570"/>
      <c r="M7" s="570"/>
      <c r="N7" s="570"/>
      <c r="O7" s="570"/>
      <c r="P7" s="558"/>
      <c r="Q7" s="571"/>
    </row>
    <row r="8" spans="1:17" ht="14.4" customHeight="1" x14ac:dyDescent="0.3">
      <c r="A8" s="552" t="s">
        <v>1679</v>
      </c>
      <c r="B8" s="553" t="s">
        <v>1462</v>
      </c>
      <c r="C8" s="553" t="s">
        <v>1491</v>
      </c>
      <c r="D8" s="553" t="s">
        <v>1553</v>
      </c>
      <c r="E8" s="553" t="s">
        <v>1554</v>
      </c>
      <c r="F8" s="570"/>
      <c r="G8" s="570"/>
      <c r="H8" s="570"/>
      <c r="I8" s="570"/>
      <c r="J8" s="570"/>
      <c r="K8" s="570"/>
      <c r="L8" s="570"/>
      <c r="M8" s="570"/>
      <c r="N8" s="570">
        <v>1</v>
      </c>
      <c r="O8" s="570">
        <v>0</v>
      </c>
      <c r="P8" s="558"/>
      <c r="Q8" s="571">
        <v>0</v>
      </c>
    </row>
    <row r="9" spans="1:17" ht="14.4" customHeight="1" x14ac:dyDescent="0.3">
      <c r="A9" s="552" t="s">
        <v>1679</v>
      </c>
      <c r="B9" s="553" t="s">
        <v>1462</v>
      </c>
      <c r="C9" s="553" t="s">
        <v>1491</v>
      </c>
      <c r="D9" s="553" t="s">
        <v>1610</v>
      </c>
      <c r="E9" s="553" t="s">
        <v>1611</v>
      </c>
      <c r="F9" s="570">
        <v>1</v>
      </c>
      <c r="G9" s="570">
        <v>200</v>
      </c>
      <c r="H9" s="570">
        <v>1</v>
      </c>
      <c r="I9" s="570">
        <v>200</v>
      </c>
      <c r="J9" s="570"/>
      <c r="K9" s="570"/>
      <c r="L9" s="570"/>
      <c r="M9" s="570"/>
      <c r="N9" s="570"/>
      <c r="O9" s="570"/>
      <c r="P9" s="558"/>
      <c r="Q9" s="571"/>
    </row>
    <row r="10" spans="1:17" ht="14.4" customHeight="1" x14ac:dyDescent="0.3">
      <c r="A10" s="552" t="s">
        <v>1679</v>
      </c>
      <c r="B10" s="553" t="s">
        <v>1462</v>
      </c>
      <c r="C10" s="553" t="s">
        <v>1491</v>
      </c>
      <c r="D10" s="553" t="s">
        <v>1628</v>
      </c>
      <c r="E10" s="553" t="s">
        <v>1629</v>
      </c>
      <c r="F10" s="570">
        <v>1</v>
      </c>
      <c r="G10" s="570">
        <v>854</v>
      </c>
      <c r="H10" s="570">
        <v>1</v>
      </c>
      <c r="I10" s="570">
        <v>854</v>
      </c>
      <c r="J10" s="570"/>
      <c r="K10" s="570"/>
      <c r="L10" s="570"/>
      <c r="M10" s="570"/>
      <c r="N10" s="570"/>
      <c r="O10" s="570"/>
      <c r="P10" s="558"/>
      <c r="Q10" s="571"/>
    </row>
    <row r="11" spans="1:17" ht="14.4" customHeight="1" x14ac:dyDescent="0.3">
      <c r="A11" s="552" t="s">
        <v>1680</v>
      </c>
      <c r="B11" s="553" t="s">
        <v>1462</v>
      </c>
      <c r="C11" s="553" t="s">
        <v>1491</v>
      </c>
      <c r="D11" s="553" t="s">
        <v>1515</v>
      </c>
      <c r="E11" s="553" t="s">
        <v>1516</v>
      </c>
      <c r="F11" s="570">
        <v>3</v>
      </c>
      <c r="G11" s="570">
        <v>696</v>
      </c>
      <c r="H11" s="570">
        <v>1</v>
      </c>
      <c r="I11" s="570">
        <v>232</v>
      </c>
      <c r="J11" s="570"/>
      <c r="K11" s="570"/>
      <c r="L11" s="570"/>
      <c r="M11" s="570"/>
      <c r="N11" s="570">
        <v>1</v>
      </c>
      <c r="O11" s="570">
        <v>235</v>
      </c>
      <c r="P11" s="558">
        <v>0.33764367816091956</v>
      </c>
      <c r="Q11" s="571">
        <v>235</v>
      </c>
    </row>
    <row r="12" spans="1:17" ht="14.4" customHeight="1" x14ac:dyDescent="0.3">
      <c r="A12" s="552" t="s">
        <v>1680</v>
      </c>
      <c r="B12" s="553" t="s">
        <v>1462</v>
      </c>
      <c r="C12" s="553" t="s">
        <v>1491</v>
      </c>
      <c r="D12" s="553" t="s">
        <v>1517</v>
      </c>
      <c r="E12" s="553" t="s">
        <v>1518</v>
      </c>
      <c r="F12" s="570">
        <v>1</v>
      </c>
      <c r="G12" s="570">
        <v>116</v>
      </c>
      <c r="H12" s="570">
        <v>1</v>
      </c>
      <c r="I12" s="570">
        <v>116</v>
      </c>
      <c r="J12" s="570"/>
      <c r="K12" s="570"/>
      <c r="L12" s="570"/>
      <c r="M12" s="570"/>
      <c r="N12" s="570">
        <v>5</v>
      </c>
      <c r="O12" s="570">
        <v>590</v>
      </c>
      <c r="P12" s="558">
        <v>5.0862068965517242</v>
      </c>
      <c r="Q12" s="571">
        <v>118</v>
      </c>
    </row>
    <row r="13" spans="1:17" ht="14.4" customHeight="1" x14ac:dyDescent="0.3">
      <c r="A13" s="552" t="s">
        <v>1680</v>
      </c>
      <c r="B13" s="553" t="s">
        <v>1462</v>
      </c>
      <c r="C13" s="553" t="s">
        <v>1491</v>
      </c>
      <c r="D13" s="553" t="s">
        <v>1553</v>
      </c>
      <c r="E13" s="553" t="s">
        <v>1554</v>
      </c>
      <c r="F13" s="570"/>
      <c r="G13" s="570"/>
      <c r="H13" s="570"/>
      <c r="I13" s="570"/>
      <c r="J13" s="570"/>
      <c r="K13" s="570"/>
      <c r="L13" s="570"/>
      <c r="M13" s="570"/>
      <c r="N13" s="570">
        <v>1</v>
      </c>
      <c r="O13" s="570">
        <v>33.33</v>
      </c>
      <c r="P13" s="558"/>
      <c r="Q13" s="571">
        <v>33.33</v>
      </c>
    </row>
    <row r="14" spans="1:17" ht="14.4" customHeight="1" x14ac:dyDescent="0.3">
      <c r="A14" s="552" t="s">
        <v>1680</v>
      </c>
      <c r="B14" s="553" t="s">
        <v>1462</v>
      </c>
      <c r="C14" s="553" t="s">
        <v>1491</v>
      </c>
      <c r="D14" s="553" t="s">
        <v>1567</v>
      </c>
      <c r="E14" s="553" t="s">
        <v>1568</v>
      </c>
      <c r="F14" s="570"/>
      <c r="G14" s="570"/>
      <c r="H14" s="570"/>
      <c r="I14" s="570"/>
      <c r="J14" s="570"/>
      <c r="K14" s="570"/>
      <c r="L14" s="570"/>
      <c r="M14" s="570"/>
      <c r="N14" s="570">
        <v>1</v>
      </c>
      <c r="O14" s="570">
        <v>492</v>
      </c>
      <c r="P14" s="558"/>
      <c r="Q14" s="571">
        <v>492</v>
      </c>
    </row>
    <row r="15" spans="1:17" ht="14.4" customHeight="1" x14ac:dyDescent="0.3">
      <c r="A15" s="552" t="s">
        <v>1680</v>
      </c>
      <c r="B15" s="553" t="s">
        <v>1462</v>
      </c>
      <c r="C15" s="553" t="s">
        <v>1491</v>
      </c>
      <c r="D15" s="553" t="s">
        <v>1035</v>
      </c>
      <c r="E15" s="553" t="s">
        <v>1681</v>
      </c>
      <c r="F15" s="570"/>
      <c r="G15" s="570"/>
      <c r="H15" s="570"/>
      <c r="I15" s="570"/>
      <c r="J15" s="570"/>
      <c r="K15" s="570"/>
      <c r="L15" s="570"/>
      <c r="M15" s="570"/>
      <c r="N15" s="570">
        <v>2</v>
      </c>
      <c r="O15" s="570">
        <v>2386</v>
      </c>
      <c r="P15" s="558"/>
      <c r="Q15" s="571">
        <v>1193</v>
      </c>
    </row>
    <row r="16" spans="1:17" ht="14.4" customHeight="1" x14ac:dyDescent="0.3">
      <c r="A16" s="552" t="s">
        <v>1682</v>
      </c>
      <c r="B16" s="553" t="s">
        <v>1462</v>
      </c>
      <c r="C16" s="553" t="s">
        <v>1491</v>
      </c>
      <c r="D16" s="553" t="s">
        <v>1515</v>
      </c>
      <c r="E16" s="553" t="s">
        <v>1516</v>
      </c>
      <c r="F16" s="570">
        <v>2</v>
      </c>
      <c r="G16" s="570">
        <v>464</v>
      </c>
      <c r="H16" s="570">
        <v>1</v>
      </c>
      <c r="I16" s="570">
        <v>232</v>
      </c>
      <c r="J16" s="570">
        <v>2</v>
      </c>
      <c r="K16" s="570">
        <v>466</v>
      </c>
      <c r="L16" s="570">
        <v>1.0043103448275863</v>
      </c>
      <c r="M16" s="570">
        <v>233</v>
      </c>
      <c r="N16" s="570"/>
      <c r="O16" s="570"/>
      <c r="P16" s="558"/>
      <c r="Q16" s="571"/>
    </row>
    <row r="17" spans="1:17" ht="14.4" customHeight="1" x14ac:dyDescent="0.3">
      <c r="A17" s="552" t="s">
        <v>1682</v>
      </c>
      <c r="B17" s="553" t="s">
        <v>1462</v>
      </c>
      <c r="C17" s="553" t="s">
        <v>1491</v>
      </c>
      <c r="D17" s="553" t="s">
        <v>1517</v>
      </c>
      <c r="E17" s="553" t="s">
        <v>1518</v>
      </c>
      <c r="F17" s="570">
        <v>1</v>
      </c>
      <c r="G17" s="570">
        <v>116</v>
      </c>
      <c r="H17" s="570">
        <v>1</v>
      </c>
      <c r="I17" s="570">
        <v>116</v>
      </c>
      <c r="J17" s="570">
        <v>2</v>
      </c>
      <c r="K17" s="570">
        <v>232</v>
      </c>
      <c r="L17" s="570">
        <v>2</v>
      </c>
      <c r="M17" s="570">
        <v>116</v>
      </c>
      <c r="N17" s="570">
        <v>1</v>
      </c>
      <c r="O17" s="570">
        <v>118</v>
      </c>
      <c r="P17" s="558">
        <v>1.0172413793103448</v>
      </c>
      <c r="Q17" s="571">
        <v>118</v>
      </c>
    </row>
    <row r="18" spans="1:17" ht="14.4" customHeight="1" x14ac:dyDescent="0.3">
      <c r="A18" s="552" t="s">
        <v>1682</v>
      </c>
      <c r="B18" s="553" t="s">
        <v>1462</v>
      </c>
      <c r="C18" s="553" t="s">
        <v>1491</v>
      </c>
      <c r="D18" s="553" t="s">
        <v>1553</v>
      </c>
      <c r="E18" s="553" t="s">
        <v>1554</v>
      </c>
      <c r="F18" s="570"/>
      <c r="G18" s="570"/>
      <c r="H18" s="570"/>
      <c r="I18" s="570"/>
      <c r="J18" s="570"/>
      <c r="K18" s="570"/>
      <c r="L18" s="570"/>
      <c r="M18" s="570"/>
      <c r="N18" s="570">
        <v>1</v>
      </c>
      <c r="O18" s="570">
        <v>0</v>
      </c>
      <c r="P18" s="558"/>
      <c r="Q18" s="571">
        <v>0</v>
      </c>
    </row>
    <row r="19" spans="1:17" ht="14.4" customHeight="1" x14ac:dyDescent="0.3">
      <c r="A19" s="552" t="s">
        <v>1683</v>
      </c>
      <c r="B19" s="553" t="s">
        <v>1462</v>
      </c>
      <c r="C19" s="553" t="s">
        <v>1463</v>
      </c>
      <c r="D19" s="553" t="s">
        <v>1684</v>
      </c>
      <c r="E19" s="553"/>
      <c r="F19" s="570"/>
      <c r="G19" s="570"/>
      <c r="H19" s="570"/>
      <c r="I19" s="570"/>
      <c r="J19" s="570">
        <v>0.2</v>
      </c>
      <c r="K19" s="570">
        <v>75.95</v>
      </c>
      <c r="L19" s="570"/>
      <c r="M19" s="570">
        <v>379.75</v>
      </c>
      <c r="N19" s="570"/>
      <c r="O19" s="570"/>
      <c r="P19" s="558"/>
      <c r="Q19" s="571"/>
    </row>
    <row r="20" spans="1:17" ht="14.4" customHeight="1" x14ac:dyDescent="0.3">
      <c r="A20" s="552" t="s">
        <v>1683</v>
      </c>
      <c r="B20" s="553" t="s">
        <v>1462</v>
      </c>
      <c r="C20" s="553" t="s">
        <v>1463</v>
      </c>
      <c r="D20" s="553" t="s">
        <v>1480</v>
      </c>
      <c r="E20" s="553" t="s">
        <v>530</v>
      </c>
      <c r="F20" s="570"/>
      <c r="G20" s="570"/>
      <c r="H20" s="570"/>
      <c r="I20" s="570"/>
      <c r="J20" s="570">
        <v>1</v>
      </c>
      <c r="K20" s="570">
        <v>151.56</v>
      </c>
      <c r="L20" s="570"/>
      <c r="M20" s="570">
        <v>151.56</v>
      </c>
      <c r="N20" s="570"/>
      <c r="O20" s="570"/>
      <c r="P20" s="558"/>
      <c r="Q20" s="571"/>
    </row>
    <row r="21" spans="1:17" ht="14.4" customHeight="1" x14ac:dyDescent="0.3">
      <c r="A21" s="552" t="s">
        <v>1683</v>
      </c>
      <c r="B21" s="553" t="s">
        <v>1462</v>
      </c>
      <c r="C21" s="553" t="s">
        <v>1491</v>
      </c>
      <c r="D21" s="553" t="s">
        <v>1502</v>
      </c>
      <c r="E21" s="553" t="s">
        <v>1503</v>
      </c>
      <c r="F21" s="570">
        <v>47</v>
      </c>
      <c r="G21" s="570">
        <v>1598</v>
      </c>
      <c r="H21" s="570">
        <v>1</v>
      </c>
      <c r="I21" s="570">
        <v>34</v>
      </c>
      <c r="J21" s="570">
        <v>26</v>
      </c>
      <c r="K21" s="570">
        <v>886</v>
      </c>
      <c r="L21" s="570">
        <v>0.55444305381727155</v>
      </c>
      <c r="M21" s="570">
        <v>34.07692307692308</v>
      </c>
      <c r="N21" s="570">
        <v>67</v>
      </c>
      <c r="O21" s="570">
        <v>2345</v>
      </c>
      <c r="P21" s="558">
        <v>1.4674593241551941</v>
      </c>
      <c r="Q21" s="571">
        <v>35</v>
      </c>
    </row>
    <row r="22" spans="1:17" ht="14.4" customHeight="1" x14ac:dyDescent="0.3">
      <c r="A22" s="552" t="s">
        <v>1683</v>
      </c>
      <c r="B22" s="553" t="s">
        <v>1462</v>
      </c>
      <c r="C22" s="553" t="s">
        <v>1491</v>
      </c>
      <c r="D22" s="553" t="s">
        <v>1515</v>
      </c>
      <c r="E22" s="553" t="s">
        <v>1516</v>
      </c>
      <c r="F22" s="570">
        <v>1</v>
      </c>
      <c r="G22" s="570">
        <v>232</v>
      </c>
      <c r="H22" s="570">
        <v>1</v>
      </c>
      <c r="I22" s="570">
        <v>232</v>
      </c>
      <c r="J22" s="570">
        <v>1</v>
      </c>
      <c r="K22" s="570">
        <v>232</v>
      </c>
      <c r="L22" s="570">
        <v>1</v>
      </c>
      <c r="M22" s="570">
        <v>232</v>
      </c>
      <c r="N22" s="570">
        <v>1</v>
      </c>
      <c r="O22" s="570">
        <v>235</v>
      </c>
      <c r="P22" s="558">
        <v>1.0129310344827587</v>
      </c>
      <c r="Q22" s="571">
        <v>235</v>
      </c>
    </row>
    <row r="23" spans="1:17" ht="14.4" customHeight="1" x14ac:dyDescent="0.3">
      <c r="A23" s="552" t="s">
        <v>1683</v>
      </c>
      <c r="B23" s="553" t="s">
        <v>1462</v>
      </c>
      <c r="C23" s="553" t="s">
        <v>1491</v>
      </c>
      <c r="D23" s="553" t="s">
        <v>1517</v>
      </c>
      <c r="E23" s="553" t="s">
        <v>1518</v>
      </c>
      <c r="F23" s="570"/>
      <c r="G23" s="570"/>
      <c r="H23" s="570"/>
      <c r="I23" s="570"/>
      <c r="J23" s="570">
        <v>6</v>
      </c>
      <c r="K23" s="570">
        <v>698</v>
      </c>
      <c r="L23" s="570"/>
      <c r="M23" s="570">
        <v>116.33333333333333</v>
      </c>
      <c r="N23" s="570">
        <v>9</v>
      </c>
      <c r="O23" s="570">
        <v>1062</v>
      </c>
      <c r="P23" s="558"/>
      <c r="Q23" s="571">
        <v>118</v>
      </c>
    </row>
    <row r="24" spans="1:17" ht="14.4" customHeight="1" x14ac:dyDescent="0.3">
      <c r="A24" s="552" t="s">
        <v>1683</v>
      </c>
      <c r="B24" s="553" t="s">
        <v>1462</v>
      </c>
      <c r="C24" s="553" t="s">
        <v>1491</v>
      </c>
      <c r="D24" s="553" t="s">
        <v>1519</v>
      </c>
      <c r="E24" s="553" t="s">
        <v>1520</v>
      </c>
      <c r="F24" s="570"/>
      <c r="G24" s="570"/>
      <c r="H24" s="570"/>
      <c r="I24" s="570"/>
      <c r="J24" s="570"/>
      <c r="K24" s="570"/>
      <c r="L24" s="570"/>
      <c r="M24" s="570"/>
      <c r="N24" s="570">
        <v>4</v>
      </c>
      <c r="O24" s="570">
        <v>2128</v>
      </c>
      <c r="P24" s="558"/>
      <c r="Q24" s="571">
        <v>532</v>
      </c>
    </row>
    <row r="25" spans="1:17" ht="14.4" customHeight="1" x14ac:dyDescent="0.3">
      <c r="A25" s="552" t="s">
        <v>1683</v>
      </c>
      <c r="B25" s="553" t="s">
        <v>1462</v>
      </c>
      <c r="C25" s="553" t="s">
        <v>1491</v>
      </c>
      <c r="D25" s="553" t="s">
        <v>1523</v>
      </c>
      <c r="E25" s="553" t="s">
        <v>1524</v>
      </c>
      <c r="F25" s="570"/>
      <c r="G25" s="570"/>
      <c r="H25" s="570"/>
      <c r="I25" s="570"/>
      <c r="J25" s="570"/>
      <c r="K25" s="570"/>
      <c r="L25" s="570"/>
      <c r="M25" s="570"/>
      <c r="N25" s="570">
        <v>1</v>
      </c>
      <c r="O25" s="570">
        <v>486</v>
      </c>
      <c r="P25" s="558"/>
      <c r="Q25" s="571">
        <v>486</v>
      </c>
    </row>
    <row r="26" spans="1:17" ht="14.4" customHeight="1" x14ac:dyDescent="0.3">
      <c r="A26" s="552" t="s">
        <v>1683</v>
      </c>
      <c r="B26" s="553" t="s">
        <v>1462</v>
      </c>
      <c r="C26" s="553" t="s">
        <v>1491</v>
      </c>
      <c r="D26" s="553" t="s">
        <v>1525</v>
      </c>
      <c r="E26" s="553" t="s">
        <v>1526</v>
      </c>
      <c r="F26" s="570"/>
      <c r="G26" s="570"/>
      <c r="H26" s="570"/>
      <c r="I26" s="570"/>
      <c r="J26" s="570"/>
      <c r="K26" s="570"/>
      <c r="L26" s="570"/>
      <c r="M26" s="570"/>
      <c r="N26" s="570">
        <v>3</v>
      </c>
      <c r="O26" s="570">
        <v>1998</v>
      </c>
      <c r="P26" s="558"/>
      <c r="Q26" s="571">
        <v>666</v>
      </c>
    </row>
    <row r="27" spans="1:17" ht="14.4" customHeight="1" x14ac:dyDescent="0.3">
      <c r="A27" s="552" t="s">
        <v>1683</v>
      </c>
      <c r="B27" s="553" t="s">
        <v>1462</v>
      </c>
      <c r="C27" s="553" t="s">
        <v>1491</v>
      </c>
      <c r="D27" s="553" t="s">
        <v>1527</v>
      </c>
      <c r="E27" s="553" t="s">
        <v>1528</v>
      </c>
      <c r="F27" s="570"/>
      <c r="G27" s="570"/>
      <c r="H27" s="570"/>
      <c r="I27" s="570"/>
      <c r="J27" s="570"/>
      <c r="K27" s="570"/>
      <c r="L27" s="570"/>
      <c r="M27" s="570"/>
      <c r="N27" s="570">
        <v>4</v>
      </c>
      <c r="O27" s="570">
        <v>4048</v>
      </c>
      <c r="P27" s="558"/>
      <c r="Q27" s="571">
        <v>1012</v>
      </c>
    </row>
    <row r="28" spans="1:17" ht="14.4" customHeight="1" x14ac:dyDescent="0.3">
      <c r="A28" s="552" t="s">
        <v>1683</v>
      </c>
      <c r="B28" s="553" t="s">
        <v>1462</v>
      </c>
      <c r="C28" s="553" t="s">
        <v>1491</v>
      </c>
      <c r="D28" s="553" t="s">
        <v>1529</v>
      </c>
      <c r="E28" s="553" t="s">
        <v>1530</v>
      </c>
      <c r="F28" s="570">
        <v>1</v>
      </c>
      <c r="G28" s="570">
        <v>2000</v>
      </c>
      <c r="H28" s="570">
        <v>1</v>
      </c>
      <c r="I28" s="570">
        <v>2000</v>
      </c>
      <c r="J28" s="570"/>
      <c r="K28" s="570"/>
      <c r="L28" s="570"/>
      <c r="M28" s="570"/>
      <c r="N28" s="570"/>
      <c r="O28" s="570"/>
      <c r="P28" s="558"/>
      <c r="Q28" s="571"/>
    </row>
    <row r="29" spans="1:17" ht="14.4" customHeight="1" x14ac:dyDescent="0.3">
      <c r="A29" s="552" t="s">
        <v>1683</v>
      </c>
      <c r="B29" s="553" t="s">
        <v>1462</v>
      </c>
      <c r="C29" s="553" t="s">
        <v>1491</v>
      </c>
      <c r="D29" s="553" t="s">
        <v>1553</v>
      </c>
      <c r="E29" s="553" t="s">
        <v>1554</v>
      </c>
      <c r="F29" s="570">
        <v>3</v>
      </c>
      <c r="G29" s="570">
        <v>0</v>
      </c>
      <c r="H29" s="570"/>
      <c r="I29" s="570">
        <v>0</v>
      </c>
      <c r="J29" s="570"/>
      <c r="K29" s="570"/>
      <c r="L29" s="570"/>
      <c r="M29" s="570"/>
      <c r="N29" s="570">
        <v>4</v>
      </c>
      <c r="O29" s="570">
        <v>33.33</v>
      </c>
      <c r="P29" s="558"/>
      <c r="Q29" s="571">
        <v>8.3324999999999996</v>
      </c>
    </row>
    <row r="30" spans="1:17" ht="14.4" customHeight="1" x14ac:dyDescent="0.3">
      <c r="A30" s="552" t="s">
        <v>1683</v>
      </c>
      <c r="B30" s="553" t="s">
        <v>1462</v>
      </c>
      <c r="C30" s="553" t="s">
        <v>1491</v>
      </c>
      <c r="D30" s="553" t="s">
        <v>1561</v>
      </c>
      <c r="E30" s="553" t="s">
        <v>1562</v>
      </c>
      <c r="F30" s="570">
        <v>3</v>
      </c>
      <c r="G30" s="570">
        <v>243</v>
      </c>
      <c r="H30" s="570">
        <v>1</v>
      </c>
      <c r="I30" s="570">
        <v>81</v>
      </c>
      <c r="J30" s="570">
        <v>4</v>
      </c>
      <c r="K30" s="570">
        <v>324</v>
      </c>
      <c r="L30" s="570">
        <v>1.3333333333333333</v>
      </c>
      <c r="M30" s="570">
        <v>81</v>
      </c>
      <c r="N30" s="570">
        <v>2</v>
      </c>
      <c r="O30" s="570">
        <v>164</v>
      </c>
      <c r="P30" s="558">
        <v>0.67489711934156382</v>
      </c>
      <c r="Q30" s="571">
        <v>82</v>
      </c>
    </row>
    <row r="31" spans="1:17" ht="14.4" customHeight="1" x14ac:dyDescent="0.3">
      <c r="A31" s="552" t="s">
        <v>1683</v>
      </c>
      <c r="B31" s="553" t="s">
        <v>1462</v>
      </c>
      <c r="C31" s="553" t="s">
        <v>1491</v>
      </c>
      <c r="D31" s="553" t="s">
        <v>1588</v>
      </c>
      <c r="E31" s="553" t="s">
        <v>1589</v>
      </c>
      <c r="F31" s="570"/>
      <c r="G31" s="570"/>
      <c r="H31" s="570"/>
      <c r="I31" s="570"/>
      <c r="J31" s="570">
        <v>1</v>
      </c>
      <c r="K31" s="570">
        <v>684</v>
      </c>
      <c r="L31" s="570"/>
      <c r="M31" s="570">
        <v>684</v>
      </c>
      <c r="N31" s="570"/>
      <c r="O31" s="570"/>
      <c r="P31" s="558"/>
      <c r="Q31" s="571"/>
    </row>
    <row r="32" spans="1:17" ht="14.4" customHeight="1" x14ac:dyDescent="0.3">
      <c r="A32" s="552" t="s">
        <v>1683</v>
      </c>
      <c r="B32" s="553" t="s">
        <v>1462</v>
      </c>
      <c r="C32" s="553" t="s">
        <v>1491</v>
      </c>
      <c r="D32" s="553" t="s">
        <v>1600</v>
      </c>
      <c r="E32" s="553" t="s">
        <v>1601</v>
      </c>
      <c r="F32" s="570"/>
      <c r="G32" s="570"/>
      <c r="H32" s="570"/>
      <c r="I32" s="570"/>
      <c r="J32" s="570">
        <v>3</v>
      </c>
      <c r="K32" s="570">
        <v>1061</v>
      </c>
      <c r="L32" s="570"/>
      <c r="M32" s="570">
        <v>353.66666666666669</v>
      </c>
      <c r="N32" s="570">
        <v>1</v>
      </c>
      <c r="O32" s="570">
        <v>356</v>
      </c>
      <c r="P32" s="558"/>
      <c r="Q32" s="571">
        <v>356</v>
      </c>
    </row>
    <row r="33" spans="1:17" ht="14.4" customHeight="1" x14ac:dyDescent="0.3">
      <c r="A33" s="552" t="s">
        <v>1683</v>
      </c>
      <c r="B33" s="553" t="s">
        <v>1462</v>
      </c>
      <c r="C33" s="553" t="s">
        <v>1491</v>
      </c>
      <c r="D33" s="553" t="s">
        <v>1612</v>
      </c>
      <c r="E33" s="553" t="s">
        <v>1613</v>
      </c>
      <c r="F33" s="570">
        <v>1</v>
      </c>
      <c r="G33" s="570">
        <v>241</v>
      </c>
      <c r="H33" s="570">
        <v>1</v>
      </c>
      <c r="I33" s="570">
        <v>241</v>
      </c>
      <c r="J33" s="570"/>
      <c r="K33" s="570"/>
      <c r="L33" s="570"/>
      <c r="M33" s="570"/>
      <c r="N33" s="570"/>
      <c r="O33" s="570"/>
      <c r="P33" s="558"/>
      <c r="Q33" s="571"/>
    </row>
    <row r="34" spans="1:17" ht="14.4" customHeight="1" x14ac:dyDescent="0.3">
      <c r="A34" s="552" t="s">
        <v>1683</v>
      </c>
      <c r="B34" s="553" t="s">
        <v>1462</v>
      </c>
      <c r="C34" s="553" t="s">
        <v>1491</v>
      </c>
      <c r="D34" s="553" t="s">
        <v>1614</v>
      </c>
      <c r="E34" s="553" t="s">
        <v>1615</v>
      </c>
      <c r="F34" s="570">
        <v>1</v>
      </c>
      <c r="G34" s="570">
        <v>3499</v>
      </c>
      <c r="H34" s="570">
        <v>1</v>
      </c>
      <c r="I34" s="570">
        <v>3499</v>
      </c>
      <c r="J34" s="570"/>
      <c r="K34" s="570"/>
      <c r="L34" s="570"/>
      <c r="M34" s="570"/>
      <c r="N34" s="570"/>
      <c r="O34" s="570"/>
      <c r="P34" s="558"/>
      <c r="Q34" s="571"/>
    </row>
    <row r="35" spans="1:17" ht="14.4" customHeight="1" x14ac:dyDescent="0.3">
      <c r="A35" s="552" t="s">
        <v>1683</v>
      </c>
      <c r="B35" s="553" t="s">
        <v>1462</v>
      </c>
      <c r="C35" s="553" t="s">
        <v>1491</v>
      </c>
      <c r="D35" s="553" t="s">
        <v>1616</v>
      </c>
      <c r="E35" s="553" t="s">
        <v>1617</v>
      </c>
      <c r="F35" s="570"/>
      <c r="G35" s="570"/>
      <c r="H35" s="570"/>
      <c r="I35" s="570"/>
      <c r="J35" s="570">
        <v>1</v>
      </c>
      <c r="K35" s="570">
        <v>1653</v>
      </c>
      <c r="L35" s="570"/>
      <c r="M35" s="570">
        <v>1653</v>
      </c>
      <c r="N35" s="570"/>
      <c r="O35" s="570"/>
      <c r="P35" s="558"/>
      <c r="Q35" s="571"/>
    </row>
    <row r="36" spans="1:17" ht="14.4" customHeight="1" x14ac:dyDescent="0.3">
      <c r="A36" s="552" t="s">
        <v>1683</v>
      </c>
      <c r="B36" s="553" t="s">
        <v>1462</v>
      </c>
      <c r="C36" s="553" t="s">
        <v>1491</v>
      </c>
      <c r="D36" s="553" t="s">
        <v>1035</v>
      </c>
      <c r="E36" s="553" t="s">
        <v>1681</v>
      </c>
      <c r="F36" s="570"/>
      <c r="G36" s="570"/>
      <c r="H36" s="570"/>
      <c r="I36" s="570"/>
      <c r="J36" s="570">
        <v>2</v>
      </c>
      <c r="K36" s="570">
        <v>2372</v>
      </c>
      <c r="L36" s="570"/>
      <c r="M36" s="570">
        <v>1186</v>
      </c>
      <c r="N36" s="570"/>
      <c r="O36" s="570"/>
      <c r="P36" s="558"/>
      <c r="Q36" s="571"/>
    </row>
    <row r="37" spans="1:17" ht="14.4" customHeight="1" x14ac:dyDescent="0.3">
      <c r="A37" s="552" t="s">
        <v>1683</v>
      </c>
      <c r="B37" s="553" t="s">
        <v>1462</v>
      </c>
      <c r="C37" s="553" t="s">
        <v>1491</v>
      </c>
      <c r="D37" s="553" t="s">
        <v>1624</v>
      </c>
      <c r="E37" s="553" t="s">
        <v>1625</v>
      </c>
      <c r="F37" s="570"/>
      <c r="G37" s="570"/>
      <c r="H37" s="570"/>
      <c r="I37" s="570"/>
      <c r="J37" s="570"/>
      <c r="K37" s="570"/>
      <c r="L37" s="570"/>
      <c r="M37" s="570"/>
      <c r="N37" s="570">
        <v>1</v>
      </c>
      <c r="O37" s="570">
        <v>1008</v>
      </c>
      <c r="P37" s="558"/>
      <c r="Q37" s="571">
        <v>1008</v>
      </c>
    </row>
    <row r="38" spans="1:17" ht="14.4" customHeight="1" x14ac:dyDescent="0.3">
      <c r="A38" s="552" t="s">
        <v>1683</v>
      </c>
      <c r="B38" s="553" t="s">
        <v>1462</v>
      </c>
      <c r="C38" s="553" t="s">
        <v>1491</v>
      </c>
      <c r="D38" s="553" t="s">
        <v>1626</v>
      </c>
      <c r="E38" s="553" t="s">
        <v>1627</v>
      </c>
      <c r="F38" s="570">
        <v>3</v>
      </c>
      <c r="G38" s="570">
        <v>2424</v>
      </c>
      <c r="H38" s="570">
        <v>1</v>
      </c>
      <c r="I38" s="570">
        <v>808</v>
      </c>
      <c r="J38" s="570">
        <v>5</v>
      </c>
      <c r="K38" s="570">
        <v>4060</v>
      </c>
      <c r="L38" s="570">
        <v>1.6749174917491749</v>
      </c>
      <c r="M38" s="570">
        <v>812</v>
      </c>
      <c r="N38" s="570">
        <v>1</v>
      </c>
      <c r="O38" s="570">
        <v>815</v>
      </c>
      <c r="P38" s="558">
        <v>0.33622112211221122</v>
      </c>
      <c r="Q38" s="571">
        <v>815</v>
      </c>
    </row>
    <row r="39" spans="1:17" ht="14.4" customHeight="1" x14ac:dyDescent="0.3">
      <c r="A39" s="552" t="s">
        <v>1683</v>
      </c>
      <c r="B39" s="553" t="s">
        <v>1462</v>
      </c>
      <c r="C39" s="553" t="s">
        <v>1491</v>
      </c>
      <c r="D39" s="553" t="s">
        <v>1630</v>
      </c>
      <c r="E39" s="553" t="s">
        <v>1631</v>
      </c>
      <c r="F39" s="570">
        <v>1</v>
      </c>
      <c r="G39" s="570">
        <v>1154</v>
      </c>
      <c r="H39" s="570">
        <v>1</v>
      </c>
      <c r="I39" s="570">
        <v>1154</v>
      </c>
      <c r="J39" s="570"/>
      <c r="K39" s="570"/>
      <c r="L39" s="570"/>
      <c r="M39" s="570"/>
      <c r="N39" s="570"/>
      <c r="O39" s="570"/>
      <c r="P39" s="558"/>
      <c r="Q39" s="571"/>
    </row>
    <row r="40" spans="1:17" ht="14.4" customHeight="1" x14ac:dyDescent="0.3">
      <c r="A40" s="552" t="s">
        <v>1683</v>
      </c>
      <c r="B40" s="553" t="s">
        <v>1462</v>
      </c>
      <c r="C40" s="553" t="s">
        <v>1491</v>
      </c>
      <c r="D40" s="553" t="s">
        <v>1685</v>
      </c>
      <c r="E40" s="553" t="s">
        <v>1686</v>
      </c>
      <c r="F40" s="570"/>
      <c r="G40" s="570"/>
      <c r="H40" s="570"/>
      <c r="I40" s="570"/>
      <c r="J40" s="570">
        <v>4</v>
      </c>
      <c r="K40" s="570">
        <v>3100</v>
      </c>
      <c r="L40" s="570"/>
      <c r="M40" s="570">
        <v>775</v>
      </c>
      <c r="N40" s="570"/>
      <c r="O40" s="570"/>
      <c r="P40" s="558"/>
      <c r="Q40" s="571"/>
    </row>
    <row r="41" spans="1:17" ht="14.4" customHeight="1" x14ac:dyDescent="0.3">
      <c r="A41" s="552" t="s">
        <v>1687</v>
      </c>
      <c r="B41" s="553" t="s">
        <v>1462</v>
      </c>
      <c r="C41" s="553" t="s">
        <v>1491</v>
      </c>
      <c r="D41" s="553" t="s">
        <v>1515</v>
      </c>
      <c r="E41" s="553" t="s">
        <v>1516</v>
      </c>
      <c r="F41" s="570"/>
      <c r="G41" s="570"/>
      <c r="H41" s="570"/>
      <c r="I41" s="570"/>
      <c r="J41" s="570">
        <v>1</v>
      </c>
      <c r="K41" s="570">
        <v>232</v>
      </c>
      <c r="L41" s="570"/>
      <c r="M41" s="570">
        <v>232</v>
      </c>
      <c r="N41" s="570"/>
      <c r="O41" s="570"/>
      <c r="P41" s="558"/>
      <c r="Q41" s="571"/>
    </row>
    <row r="42" spans="1:17" ht="14.4" customHeight="1" x14ac:dyDescent="0.3">
      <c r="A42" s="552" t="s">
        <v>1687</v>
      </c>
      <c r="B42" s="553" t="s">
        <v>1462</v>
      </c>
      <c r="C42" s="553" t="s">
        <v>1491</v>
      </c>
      <c r="D42" s="553" t="s">
        <v>1517</v>
      </c>
      <c r="E42" s="553" t="s">
        <v>1518</v>
      </c>
      <c r="F42" s="570"/>
      <c r="G42" s="570"/>
      <c r="H42" s="570"/>
      <c r="I42" s="570"/>
      <c r="J42" s="570">
        <v>1</v>
      </c>
      <c r="K42" s="570">
        <v>116</v>
      </c>
      <c r="L42" s="570"/>
      <c r="M42" s="570">
        <v>116</v>
      </c>
      <c r="N42" s="570">
        <v>2</v>
      </c>
      <c r="O42" s="570">
        <v>236</v>
      </c>
      <c r="P42" s="558"/>
      <c r="Q42" s="571">
        <v>118</v>
      </c>
    </row>
    <row r="43" spans="1:17" ht="14.4" customHeight="1" x14ac:dyDescent="0.3">
      <c r="A43" s="552" t="s">
        <v>1687</v>
      </c>
      <c r="B43" s="553" t="s">
        <v>1462</v>
      </c>
      <c r="C43" s="553" t="s">
        <v>1491</v>
      </c>
      <c r="D43" s="553" t="s">
        <v>1553</v>
      </c>
      <c r="E43" s="553" t="s">
        <v>1554</v>
      </c>
      <c r="F43" s="570"/>
      <c r="G43" s="570"/>
      <c r="H43" s="570"/>
      <c r="I43" s="570"/>
      <c r="J43" s="570"/>
      <c r="K43" s="570"/>
      <c r="L43" s="570"/>
      <c r="M43" s="570"/>
      <c r="N43" s="570">
        <v>1</v>
      </c>
      <c r="O43" s="570">
        <v>0</v>
      </c>
      <c r="P43" s="558"/>
      <c r="Q43" s="571">
        <v>0</v>
      </c>
    </row>
    <row r="44" spans="1:17" ht="14.4" customHeight="1" x14ac:dyDescent="0.3">
      <c r="A44" s="552" t="s">
        <v>1688</v>
      </c>
      <c r="B44" s="553" t="s">
        <v>1462</v>
      </c>
      <c r="C44" s="553" t="s">
        <v>1491</v>
      </c>
      <c r="D44" s="553" t="s">
        <v>1515</v>
      </c>
      <c r="E44" s="553" t="s">
        <v>1516</v>
      </c>
      <c r="F44" s="570"/>
      <c r="G44" s="570"/>
      <c r="H44" s="570"/>
      <c r="I44" s="570"/>
      <c r="J44" s="570">
        <v>1</v>
      </c>
      <c r="K44" s="570">
        <v>232</v>
      </c>
      <c r="L44" s="570"/>
      <c r="M44" s="570">
        <v>232</v>
      </c>
      <c r="N44" s="570"/>
      <c r="O44" s="570"/>
      <c r="P44" s="558"/>
      <c r="Q44" s="571"/>
    </row>
    <row r="45" spans="1:17" ht="14.4" customHeight="1" x14ac:dyDescent="0.3">
      <c r="A45" s="552" t="s">
        <v>1688</v>
      </c>
      <c r="B45" s="553" t="s">
        <v>1462</v>
      </c>
      <c r="C45" s="553" t="s">
        <v>1491</v>
      </c>
      <c r="D45" s="553" t="s">
        <v>1517</v>
      </c>
      <c r="E45" s="553" t="s">
        <v>1518</v>
      </c>
      <c r="F45" s="570"/>
      <c r="G45" s="570"/>
      <c r="H45" s="570"/>
      <c r="I45" s="570"/>
      <c r="J45" s="570">
        <v>7</v>
      </c>
      <c r="K45" s="570">
        <v>812</v>
      </c>
      <c r="L45" s="570"/>
      <c r="M45" s="570">
        <v>116</v>
      </c>
      <c r="N45" s="570">
        <v>2</v>
      </c>
      <c r="O45" s="570">
        <v>236</v>
      </c>
      <c r="P45" s="558"/>
      <c r="Q45" s="571">
        <v>118</v>
      </c>
    </row>
    <row r="46" spans="1:17" ht="14.4" customHeight="1" x14ac:dyDescent="0.3">
      <c r="A46" s="552" t="s">
        <v>1688</v>
      </c>
      <c r="B46" s="553" t="s">
        <v>1462</v>
      </c>
      <c r="C46" s="553" t="s">
        <v>1491</v>
      </c>
      <c r="D46" s="553" t="s">
        <v>1553</v>
      </c>
      <c r="E46" s="553" t="s">
        <v>1554</v>
      </c>
      <c r="F46" s="570"/>
      <c r="G46" s="570"/>
      <c r="H46" s="570"/>
      <c r="I46" s="570"/>
      <c r="J46" s="570"/>
      <c r="K46" s="570"/>
      <c r="L46" s="570"/>
      <c r="M46" s="570"/>
      <c r="N46" s="570">
        <v>2</v>
      </c>
      <c r="O46" s="570">
        <v>0</v>
      </c>
      <c r="P46" s="558"/>
      <c r="Q46" s="571">
        <v>0</v>
      </c>
    </row>
    <row r="47" spans="1:17" ht="14.4" customHeight="1" x14ac:dyDescent="0.3">
      <c r="A47" s="552" t="s">
        <v>1688</v>
      </c>
      <c r="B47" s="553" t="s">
        <v>1462</v>
      </c>
      <c r="C47" s="553" t="s">
        <v>1491</v>
      </c>
      <c r="D47" s="553" t="s">
        <v>1582</v>
      </c>
      <c r="E47" s="553" t="s">
        <v>1583</v>
      </c>
      <c r="F47" s="570"/>
      <c r="G47" s="570"/>
      <c r="H47" s="570"/>
      <c r="I47" s="570"/>
      <c r="J47" s="570">
        <v>1</v>
      </c>
      <c r="K47" s="570">
        <v>1043</v>
      </c>
      <c r="L47" s="570"/>
      <c r="M47" s="570">
        <v>1043</v>
      </c>
      <c r="N47" s="570"/>
      <c r="O47" s="570"/>
      <c r="P47" s="558"/>
      <c r="Q47" s="571"/>
    </row>
    <row r="48" spans="1:17" ht="14.4" customHeight="1" x14ac:dyDescent="0.3">
      <c r="A48" s="552" t="s">
        <v>1688</v>
      </c>
      <c r="B48" s="553" t="s">
        <v>1462</v>
      </c>
      <c r="C48" s="553" t="s">
        <v>1491</v>
      </c>
      <c r="D48" s="553" t="s">
        <v>1600</v>
      </c>
      <c r="E48" s="553" t="s">
        <v>1601</v>
      </c>
      <c r="F48" s="570"/>
      <c r="G48" s="570"/>
      <c r="H48" s="570"/>
      <c r="I48" s="570"/>
      <c r="J48" s="570">
        <v>1</v>
      </c>
      <c r="K48" s="570">
        <v>351</v>
      </c>
      <c r="L48" s="570"/>
      <c r="M48" s="570">
        <v>351</v>
      </c>
      <c r="N48" s="570"/>
      <c r="O48" s="570"/>
      <c r="P48" s="558"/>
      <c r="Q48" s="571"/>
    </row>
    <row r="49" spans="1:17" ht="14.4" customHeight="1" x14ac:dyDescent="0.3">
      <c r="A49" s="552" t="s">
        <v>1689</v>
      </c>
      <c r="B49" s="553" t="s">
        <v>1462</v>
      </c>
      <c r="C49" s="553" t="s">
        <v>1491</v>
      </c>
      <c r="D49" s="553" t="s">
        <v>1502</v>
      </c>
      <c r="E49" s="553" t="s">
        <v>1503</v>
      </c>
      <c r="F49" s="570">
        <v>1</v>
      </c>
      <c r="G49" s="570">
        <v>34</v>
      </c>
      <c r="H49" s="570">
        <v>1</v>
      </c>
      <c r="I49" s="570">
        <v>34</v>
      </c>
      <c r="J49" s="570"/>
      <c r="K49" s="570"/>
      <c r="L49" s="570"/>
      <c r="M49" s="570"/>
      <c r="N49" s="570"/>
      <c r="O49" s="570"/>
      <c r="P49" s="558"/>
      <c r="Q49" s="571"/>
    </row>
    <row r="50" spans="1:17" ht="14.4" customHeight="1" x14ac:dyDescent="0.3">
      <c r="A50" s="552" t="s">
        <v>1689</v>
      </c>
      <c r="B50" s="553" t="s">
        <v>1462</v>
      </c>
      <c r="C50" s="553" t="s">
        <v>1491</v>
      </c>
      <c r="D50" s="553" t="s">
        <v>1515</v>
      </c>
      <c r="E50" s="553" t="s">
        <v>1516</v>
      </c>
      <c r="F50" s="570">
        <v>1</v>
      </c>
      <c r="G50" s="570">
        <v>232</v>
      </c>
      <c r="H50" s="570">
        <v>1</v>
      </c>
      <c r="I50" s="570">
        <v>232</v>
      </c>
      <c r="J50" s="570"/>
      <c r="K50" s="570"/>
      <c r="L50" s="570"/>
      <c r="M50" s="570"/>
      <c r="N50" s="570"/>
      <c r="O50" s="570"/>
      <c r="P50" s="558"/>
      <c r="Q50" s="571"/>
    </row>
    <row r="51" spans="1:17" ht="14.4" customHeight="1" x14ac:dyDescent="0.3">
      <c r="A51" s="552" t="s">
        <v>1689</v>
      </c>
      <c r="B51" s="553" t="s">
        <v>1462</v>
      </c>
      <c r="C51" s="553" t="s">
        <v>1491</v>
      </c>
      <c r="D51" s="553" t="s">
        <v>1517</v>
      </c>
      <c r="E51" s="553" t="s">
        <v>1518</v>
      </c>
      <c r="F51" s="570">
        <v>2</v>
      </c>
      <c r="G51" s="570">
        <v>232</v>
      </c>
      <c r="H51" s="570">
        <v>1</v>
      </c>
      <c r="I51" s="570">
        <v>116</v>
      </c>
      <c r="J51" s="570">
        <v>1</v>
      </c>
      <c r="K51" s="570">
        <v>116</v>
      </c>
      <c r="L51" s="570">
        <v>0.5</v>
      </c>
      <c r="M51" s="570">
        <v>116</v>
      </c>
      <c r="N51" s="570">
        <v>5</v>
      </c>
      <c r="O51" s="570">
        <v>590</v>
      </c>
      <c r="P51" s="558">
        <v>2.5431034482758621</v>
      </c>
      <c r="Q51" s="571">
        <v>118</v>
      </c>
    </row>
    <row r="52" spans="1:17" ht="14.4" customHeight="1" x14ac:dyDescent="0.3">
      <c r="A52" s="552" t="s">
        <v>1689</v>
      </c>
      <c r="B52" s="553" t="s">
        <v>1462</v>
      </c>
      <c r="C52" s="553" t="s">
        <v>1491</v>
      </c>
      <c r="D52" s="553" t="s">
        <v>1557</v>
      </c>
      <c r="E52" s="553" t="s">
        <v>1558</v>
      </c>
      <c r="F52" s="570">
        <v>3</v>
      </c>
      <c r="G52" s="570">
        <v>0</v>
      </c>
      <c r="H52" s="570"/>
      <c r="I52" s="570">
        <v>0</v>
      </c>
      <c r="J52" s="570"/>
      <c r="K52" s="570"/>
      <c r="L52" s="570"/>
      <c r="M52" s="570"/>
      <c r="N52" s="570"/>
      <c r="O52" s="570"/>
      <c r="P52" s="558"/>
      <c r="Q52" s="571"/>
    </row>
    <row r="53" spans="1:17" ht="14.4" customHeight="1" x14ac:dyDescent="0.3">
      <c r="A53" s="552" t="s">
        <v>1689</v>
      </c>
      <c r="B53" s="553" t="s">
        <v>1462</v>
      </c>
      <c r="C53" s="553" t="s">
        <v>1491</v>
      </c>
      <c r="D53" s="553" t="s">
        <v>1561</v>
      </c>
      <c r="E53" s="553" t="s">
        <v>1562</v>
      </c>
      <c r="F53" s="570">
        <v>1</v>
      </c>
      <c r="G53" s="570">
        <v>81</v>
      </c>
      <c r="H53" s="570">
        <v>1</v>
      </c>
      <c r="I53" s="570">
        <v>81</v>
      </c>
      <c r="J53" s="570"/>
      <c r="K53" s="570"/>
      <c r="L53" s="570"/>
      <c r="M53" s="570"/>
      <c r="N53" s="570"/>
      <c r="O53" s="570"/>
      <c r="P53" s="558"/>
      <c r="Q53" s="571"/>
    </row>
    <row r="54" spans="1:17" ht="14.4" customHeight="1" x14ac:dyDescent="0.3">
      <c r="A54" s="552" t="s">
        <v>1689</v>
      </c>
      <c r="B54" s="553" t="s">
        <v>1462</v>
      </c>
      <c r="C54" s="553" t="s">
        <v>1491</v>
      </c>
      <c r="D54" s="553" t="s">
        <v>1567</v>
      </c>
      <c r="E54" s="553" t="s">
        <v>1568</v>
      </c>
      <c r="F54" s="570"/>
      <c r="G54" s="570"/>
      <c r="H54" s="570"/>
      <c r="I54" s="570"/>
      <c r="J54" s="570"/>
      <c r="K54" s="570"/>
      <c r="L54" s="570"/>
      <c r="M54" s="570"/>
      <c r="N54" s="570">
        <v>3</v>
      </c>
      <c r="O54" s="570">
        <v>1476</v>
      </c>
      <c r="P54" s="558"/>
      <c r="Q54" s="571">
        <v>492</v>
      </c>
    </row>
    <row r="55" spans="1:17" ht="14.4" customHeight="1" x14ac:dyDescent="0.3">
      <c r="A55" s="552" t="s">
        <v>1689</v>
      </c>
      <c r="B55" s="553" t="s">
        <v>1462</v>
      </c>
      <c r="C55" s="553" t="s">
        <v>1491</v>
      </c>
      <c r="D55" s="553" t="s">
        <v>1600</v>
      </c>
      <c r="E55" s="553" t="s">
        <v>1601</v>
      </c>
      <c r="F55" s="570">
        <v>5</v>
      </c>
      <c r="G55" s="570">
        <v>1755</v>
      </c>
      <c r="H55" s="570">
        <v>1</v>
      </c>
      <c r="I55" s="570">
        <v>351</v>
      </c>
      <c r="J55" s="570"/>
      <c r="K55" s="570"/>
      <c r="L55" s="570"/>
      <c r="M55" s="570"/>
      <c r="N55" s="570"/>
      <c r="O55" s="570"/>
      <c r="P55" s="558"/>
      <c r="Q55" s="571"/>
    </row>
    <row r="56" spans="1:17" ht="14.4" customHeight="1" x14ac:dyDescent="0.3">
      <c r="A56" s="552" t="s">
        <v>1689</v>
      </c>
      <c r="B56" s="553" t="s">
        <v>1462</v>
      </c>
      <c r="C56" s="553" t="s">
        <v>1491</v>
      </c>
      <c r="D56" s="553" t="s">
        <v>1626</v>
      </c>
      <c r="E56" s="553" t="s">
        <v>1627</v>
      </c>
      <c r="F56" s="570">
        <v>5</v>
      </c>
      <c r="G56" s="570">
        <v>4040</v>
      </c>
      <c r="H56" s="570">
        <v>1</v>
      </c>
      <c r="I56" s="570">
        <v>808</v>
      </c>
      <c r="J56" s="570"/>
      <c r="K56" s="570"/>
      <c r="L56" s="570"/>
      <c r="M56" s="570"/>
      <c r="N56" s="570"/>
      <c r="O56" s="570"/>
      <c r="P56" s="558"/>
      <c r="Q56" s="571"/>
    </row>
    <row r="57" spans="1:17" ht="14.4" customHeight="1" x14ac:dyDescent="0.3">
      <c r="A57" s="552" t="s">
        <v>1690</v>
      </c>
      <c r="B57" s="553" t="s">
        <v>1462</v>
      </c>
      <c r="C57" s="553" t="s">
        <v>1491</v>
      </c>
      <c r="D57" s="553" t="s">
        <v>1515</v>
      </c>
      <c r="E57" s="553" t="s">
        <v>1516</v>
      </c>
      <c r="F57" s="570">
        <v>1</v>
      </c>
      <c r="G57" s="570">
        <v>232</v>
      </c>
      <c r="H57" s="570">
        <v>1</v>
      </c>
      <c r="I57" s="570">
        <v>232</v>
      </c>
      <c r="J57" s="570"/>
      <c r="K57" s="570"/>
      <c r="L57" s="570"/>
      <c r="M57" s="570"/>
      <c r="N57" s="570">
        <v>1</v>
      </c>
      <c r="O57" s="570">
        <v>235</v>
      </c>
      <c r="P57" s="558">
        <v>1.0129310344827587</v>
      </c>
      <c r="Q57" s="571">
        <v>235</v>
      </c>
    </row>
    <row r="58" spans="1:17" ht="14.4" customHeight="1" x14ac:dyDescent="0.3">
      <c r="A58" s="552" t="s">
        <v>1691</v>
      </c>
      <c r="B58" s="553" t="s">
        <v>1462</v>
      </c>
      <c r="C58" s="553" t="s">
        <v>1491</v>
      </c>
      <c r="D58" s="553" t="s">
        <v>1492</v>
      </c>
      <c r="E58" s="553" t="s">
        <v>1493</v>
      </c>
      <c r="F58" s="570"/>
      <c r="G58" s="570"/>
      <c r="H58" s="570"/>
      <c r="I58" s="570"/>
      <c r="J58" s="570">
        <v>1</v>
      </c>
      <c r="K58" s="570">
        <v>130</v>
      </c>
      <c r="L58" s="570"/>
      <c r="M58" s="570">
        <v>130</v>
      </c>
      <c r="N58" s="570"/>
      <c r="O58" s="570"/>
      <c r="P58" s="558"/>
      <c r="Q58" s="571"/>
    </row>
    <row r="59" spans="1:17" ht="14.4" customHeight="1" x14ac:dyDescent="0.3">
      <c r="A59" s="552" t="s">
        <v>1691</v>
      </c>
      <c r="B59" s="553" t="s">
        <v>1462</v>
      </c>
      <c r="C59" s="553" t="s">
        <v>1491</v>
      </c>
      <c r="D59" s="553" t="s">
        <v>1502</v>
      </c>
      <c r="E59" s="553" t="s">
        <v>1503</v>
      </c>
      <c r="F59" s="570">
        <v>8</v>
      </c>
      <c r="G59" s="570">
        <v>272</v>
      </c>
      <c r="H59" s="570">
        <v>1</v>
      </c>
      <c r="I59" s="570">
        <v>34</v>
      </c>
      <c r="J59" s="570">
        <v>15</v>
      </c>
      <c r="K59" s="570">
        <v>515</v>
      </c>
      <c r="L59" s="570">
        <v>1.8933823529411764</v>
      </c>
      <c r="M59" s="570">
        <v>34.333333333333336</v>
      </c>
      <c r="N59" s="570">
        <v>8</v>
      </c>
      <c r="O59" s="570">
        <v>280</v>
      </c>
      <c r="P59" s="558">
        <v>1.0294117647058822</v>
      </c>
      <c r="Q59" s="571">
        <v>35</v>
      </c>
    </row>
    <row r="60" spans="1:17" ht="14.4" customHeight="1" x14ac:dyDescent="0.3">
      <c r="A60" s="552" t="s">
        <v>1691</v>
      </c>
      <c r="B60" s="553" t="s">
        <v>1462</v>
      </c>
      <c r="C60" s="553" t="s">
        <v>1491</v>
      </c>
      <c r="D60" s="553" t="s">
        <v>1512</v>
      </c>
      <c r="E60" s="553" t="s">
        <v>1513</v>
      </c>
      <c r="F60" s="570"/>
      <c r="G60" s="570"/>
      <c r="H60" s="570"/>
      <c r="I60" s="570"/>
      <c r="J60" s="570">
        <v>0</v>
      </c>
      <c r="K60" s="570">
        <v>0</v>
      </c>
      <c r="L60" s="570"/>
      <c r="M60" s="570"/>
      <c r="N60" s="570"/>
      <c r="O60" s="570"/>
      <c r="P60" s="558"/>
      <c r="Q60" s="571"/>
    </row>
    <row r="61" spans="1:17" ht="14.4" customHeight="1" x14ac:dyDescent="0.3">
      <c r="A61" s="552" t="s">
        <v>1691</v>
      </c>
      <c r="B61" s="553" t="s">
        <v>1462</v>
      </c>
      <c r="C61" s="553" t="s">
        <v>1491</v>
      </c>
      <c r="D61" s="553" t="s">
        <v>1515</v>
      </c>
      <c r="E61" s="553" t="s">
        <v>1516</v>
      </c>
      <c r="F61" s="570">
        <v>5</v>
      </c>
      <c r="G61" s="570">
        <v>1160</v>
      </c>
      <c r="H61" s="570">
        <v>1</v>
      </c>
      <c r="I61" s="570">
        <v>232</v>
      </c>
      <c r="J61" s="570">
        <v>8</v>
      </c>
      <c r="K61" s="570">
        <v>1864</v>
      </c>
      <c r="L61" s="570">
        <v>1.606896551724138</v>
      </c>
      <c r="M61" s="570">
        <v>233</v>
      </c>
      <c r="N61" s="570">
        <v>7</v>
      </c>
      <c r="O61" s="570">
        <v>1645</v>
      </c>
      <c r="P61" s="558">
        <v>1.4181034482758621</v>
      </c>
      <c r="Q61" s="571">
        <v>235</v>
      </c>
    </row>
    <row r="62" spans="1:17" ht="14.4" customHeight="1" x14ac:dyDescent="0.3">
      <c r="A62" s="552" t="s">
        <v>1691</v>
      </c>
      <c r="B62" s="553" t="s">
        <v>1462</v>
      </c>
      <c r="C62" s="553" t="s">
        <v>1491</v>
      </c>
      <c r="D62" s="553" t="s">
        <v>1517</v>
      </c>
      <c r="E62" s="553" t="s">
        <v>1518</v>
      </c>
      <c r="F62" s="570">
        <v>44</v>
      </c>
      <c r="G62" s="570">
        <v>5104</v>
      </c>
      <c r="H62" s="570">
        <v>1</v>
      </c>
      <c r="I62" s="570">
        <v>116</v>
      </c>
      <c r="J62" s="570">
        <v>75</v>
      </c>
      <c r="K62" s="570">
        <v>8734</v>
      </c>
      <c r="L62" s="570">
        <v>1.7112068965517242</v>
      </c>
      <c r="M62" s="570">
        <v>116.45333333333333</v>
      </c>
      <c r="N62" s="570">
        <v>78</v>
      </c>
      <c r="O62" s="570">
        <v>9204</v>
      </c>
      <c r="P62" s="558">
        <v>1.8032915360501567</v>
      </c>
      <c r="Q62" s="571">
        <v>118</v>
      </c>
    </row>
    <row r="63" spans="1:17" ht="14.4" customHeight="1" x14ac:dyDescent="0.3">
      <c r="A63" s="552" t="s">
        <v>1691</v>
      </c>
      <c r="B63" s="553" t="s">
        <v>1462</v>
      </c>
      <c r="C63" s="553" t="s">
        <v>1491</v>
      </c>
      <c r="D63" s="553" t="s">
        <v>1519</v>
      </c>
      <c r="E63" s="553" t="s">
        <v>1520</v>
      </c>
      <c r="F63" s="570"/>
      <c r="G63" s="570"/>
      <c r="H63" s="570"/>
      <c r="I63" s="570"/>
      <c r="J63" s="570">
        <v>8</v>
      </c>
      <c r="K63" s="570">
        <v>4240</v>
      </c>
      <c r="L63" s="570"/>
      <c r="M63" s="570">
        <v>530</v>
      </c>
      <c r="N63" s="570"/>
      <c r="O63" s="570"/>
      <c r="P63" s="558"/>
      <c r="Q63" s="571"/>
    </row>
    <row r="64" spans="1:17" ht="14.4" customHeight="1" x14ac:dyDescent="0.3">
      <c r="A64" s="552" t="s">
        <v>1691</v>
      </c>
      <c r="B64" s="553" t="s">
        <v>1462</v>
      </c>
      <c r="C64" s="553" t="s">
        <v>1491</v>
      </c>
      <c r="D64" s="553" t="s">
        <v>1523</v>
      </c>
      <c r="E64" s="553" t="s">
        <v>1524</v>
      </c>
      <c r="F64" s="570"/>
      <c r="G64" s="570"/>
      <c r="H64" s="570"/>
      <c r="I64" s="570"/>
      <c r="J64" s="570">
        <v>28</v>
      </c>
      <c r="K64" s="570">
        <v>13512</v>
      </c>
      <c r="L64" s="570"/>
      <c r="M64" s="570">
        <v>482.57142857142856</v>
      </c>
      <c r="N64" s="570">
        <v>15</v>
      </c>
      <c r="O64" s="570">
        <v>7290</v>
      </c>
      <c r="P64" s="558"/>
      <c r="Q64" s="571">
        <v>486</v>
      </c>
    </row>
    <row r="65" spans="1:17" ht="14.4" customHeight="1" x14ac:dyDescent="0.3">
      <c r="A65" s="552" t="s">
        <v>1691</v>
      </c>
      <c r="B65" s="553" t="s">
        <v>1462</v>
      </c>
      <c r="C65" s="553" t="s">
        <v>1491</v>
      </c>
      <c r="D65" s="553" t="s">
        <v>1525</v>
      </c>
      <c r="E65" s="553" t="s">
        <v>1526</v>
      </c>
      <c r="F65" s="570">
        <v>1</v>
      </c>
      <c r="G65" s="570">
        <v>659</v>
      </c>
      <c r="H65" s="570">
        <v>1</v>
      </c>
      <c r="I65" s="570">
        <v>659</v>
      </c>
      <c r="J65" s="570">
        <v>27</v>
      </c>
      <c r="K65" s="570">
        <v>17793</v>
      </c>
      <c r="L65" s="570">
        <v>27</v>
      </c>
      <c r="M65" s="570">
        <v>659</v>
      </c>
      <c r="N65" s="570">
        <v>2</v>
      </c>
      <c r="O65" s="570">
        <v>1332</v>
      </c>
      <c r="P65" s="558">
        <v>2.0212443095599393</v>
      </c>
      <c r="Q65" s="571">
        <v>666</v>
      </c>
    </row>
    <row r="66" spans="1:17" ht="14.4" customHeight="1" x14ac:dyDescent="0.3">
      <c r="A66" s="552" t="s">
        <v>1691</v>
      </c>
      <c r="B66" s="553" t="s">
        <v>1462</v>
      </c>
      <c r="C66" s="553" t="s">
        <v>1491</v>
      </c>
      <c r="D66" s="553" t="s">
        <v>1527</v>
      </c>
      <c r="E66" s="553" t="s">
        <v>1528</v>
      </c>
      <c r="F66" s="570"/>
      <c r="G66" s="570"/>
      <c r="H66" s="570"/>
      <c r="I66" s="570"/>
      <c r="J66" s="570">
        <v>54</v>
      </c>
      <c r="K66" s="570">
        <v>54254</v>
      </c>
      <c r="L66" s="570"/>
      <c r="M66" s="570">
        <v>1004.7037037037037</v>
      </c>
      <c r="N66" s="570">
        <v>33</v>
      </c>
      <c r="O66" s="570">
        <v>33396</v>
      </c>
      <c r="P66" s="558"/>
      <c r="Q66" s="571">
        <v>1012</v>
      </c>
    </row>
    <row r="67" spans="1:17" ht="14.4" customHeight="1" x14ac:dyDescent="0.3">
      <c r="A67" s="552" t="s">
        <v>1691</v>
      </c>
      <c r="B67" s="553" t="s">
        <v>1462</v>
      </c>
      <c r="C67" s="553" t="s">
        <v>1491</v>
      </c>
      <c r="D67" s="553" t="s">
        <v>1529</v>
      </c>
      <c r="E67" s="553" t="s">
        <v>1530</v>
      </c>
      <c r="F67" s="570"/>
      <c r="G67" s="570"/>
      <c r="H67" s="570"/>
      <c r="I67" s="570"/>
      <c r="J67" s="570">
        <v>3</v>
      </c>
      <c r="K67" s="570">
        <v>6024</v>
      </c>
      <c r="L67" s="570"/>
      <c r="M67" s="570">
        <v>2008</v>
      </c>
      <c r="N67" s="570">
        <v>2</v>
      </c>
      <c r="O67" s="570">
        <v>4034</v>
      </c>
      <c r="P67" s="558"/>
      <c r="Q67" s="571">
        <v>2017</v>
      </c>
    </row>
    <row r="68" spans="1:17" ht="14.4" customHeight="1" x14ac:dyDescent="0.3">
      <c r="A68" s="552" t="s">
        <v>1691</v>
      </c>
      <c r="B68" s="553" t="s">
        <v>1462</v>
      </c>
      <c r="C68" s="553" t="s">
        <v>1491</v>
      </c>
      <c r="D68" s="553" t="s">
        <v>1531</v>
      </c>
      <c r="E68" s="553" t="s">
        <v>1532</v>
      </c>
      <c r="F68" s="570"/>
      <c r="G68" s="570"/>
      <c r="H68" s="570"/>
      <c r="I68" s="570"/>
      <c r="J68" s="570">
        <v>2</v>
      </c>
      <c r="K68" s="570">
        <v>2426</v>
      </c>
      <c r="L68" s="570"/>
      <c r="M68" s="570">
        <v>1213</v>
      </c>
      <c r="N68" s="570">
        <v>4</v>
      </c>
      <c r="O68" s="570">
        <v>4940</v>
      </c>
      <c r="P68" s="558"/>
      <c r="Q68" s="571">
        <v>1235</v>
      </c>
    </row>
    <row r="69" spans="1:17" ht="14.4" customHeight="1" x14ac:dyDescent="0.3">
      <c r="A69" s="552" t="s">
        <v>1691</v>
      </c>
      <c r="B69" s="553" t="s">
        <v>1462</v>
      </c>
      <c r="C69" s="553" t="s">
        <v>1491</v>
      </c>
      <c r="D69" s="553" t="s">
        <v>1533</v>
      </c>
      <c r="E69" s="553" t="s">
        <v>1534</v>
      </c>
      <c r="F69" s="570"/>
      <c r="G69" s="570"/>
      <c r="H69" s="570"/>
      <c r="I69" s="570"/>
      <c r="J69" s="570">
        <v>1</v>
      </c>
      <c r="K69" s="570">
        <v>932</v>
      </c>
      <c r="L69" s="570"/>
      <c r="M69" s="570">
        <v>932</v>
      </c>
      <c r="N69" s="570">
        <v>3</v>
      </c>
      <c r="O69" s="570">
        <v>2838</v>
      </c>
      <c r="P69" s="558"/>
      <c r="Q69" s="571">
        <v>946</v>
      </c>
    </row>
    <row r="70" spans="1:17" ht="14.4" customHeight="1" x14ac:dyDescent="0.3">
      <c r="A70" s="552" t="s">
        <v>1691</v>
      </c>
      <c r="B70" s="553" t="s">
        <v>1462</v>
      </c>
      <c r="C70" s="553" t="s">
        <v>1491</v>
      </c>
      <c r="D70" s="553" t="s">
        <v>1535</v>
      </c>
      <c r="E70" s="553" t="s">
        <v>1536</v>
      </c>
      <c r="F70" s="570"/>
      <c r="G70" s="570"/>
      <c r="H70" s="570"/>
      <c r="I70" s="570"/>
      <c r="J70" s="570">
        <v>2</v>
      </c>
      <c r="K70" s="570">
        <v>1644</v>
      </c>
      <c r="L70" s="570"/>
      <c r="M70" s="570">
        <v>822</v>
      </c>
      <c r="N70" s="570">
        <v>0</v>
      </c>
      <c r="O70" s="570">
        <v>0</v>
      </c>
      <c r="P70" s="558"/>
      <c r="Q70" s="571"/>
    </row>
    <row r="71" spans="1:17" ht="14.4" customHeight="1" x14ac:dyDescent="0.3">
      <c r="A71" s="552" t="s">
        <v>1691</v>
      </c>
      <c r="B71" s="553" t="s">
        <v>1462</v>
      </c>
      <c r="C71" s="553" t="s">
        <v>1491</v>
      </c>
      <c r="D71" s="553" t="s">
        <v>1541</v>
      </c>
      <c r="E71" s="553" t="s">
        <v>1542</v>
      </c>
      <c r="F71" s="570">
        <v>2</v>
      </c>
      <c r="G71" s="570">
        <v>2998</v>
      </c>
      <c r="H71" s="570">
        <v>1</v>
      </c>
      <c r="I71" s="570">
        <v>1499</v>
      </c>
      <c r="J71" s="570">
        <v>12</v>
      </c>
      <c r="K71" s="570">
        <v>18015</v>
      </c>
      <c r="L71" s="570">
        <v>6.0090060040026687</v>
      </c>
      <c r="M71" s="570">
        <v>1501.25</v>
      </c>
      <c r="N71" s="570">
        <v>7</v>
      </c>
      <c r="O71" s="570">
        <v>10577</v>
      </c>
      <c r="P71" s="558">
        <v>3.528018679119413</v>
      </c>
      <c r="Q71" s="571">
        <v>1511</v>
      </c>
    </row>
    <row r="72" spans="1:17" ht="14.4" customHeight="1" x14ac:dyDescent="0.3">
      <c r="A72" s="552" t="s">
        <v>1691</v>
      </c>
      <c r="B72" s="553" t="s">
        <v>1462</v>
      </c>
      <c r="C72" s="553" t="s">
        <v>1491</v>
      </c>
      <c r="D72" s="553" t="s">
        <v>1692</v>
      </c>
      <c r="E72" s="553" t="s">
        <v>1693</v>
      </c>
      <c r="F72" s="570">
        <v>1</v>
      </c>
      <c r="G72" s="570">
        <v>2198</v>
      </c>
      <c r="H72" s="570">
        <v>1</v>
      </c>
      <c r="I72" s="570">
        <v>2198</v>
      </c>
      <c r="J72" s="570"/>
      <c r="K72" s="570"/>
      <c r="L72" s="570"/>
      <c r="M72" s="570"/>
      <c r="N72" s="570"/>
      <c r="O72" s="570"/>
      <c r="P72" s="558"/>
      <c r="Q72" s="571"/>
    </row>
    <row r="73" spans="1:17" ht="14.4" customHeight="1" x14ac:dyDescent="0.3">
      <c r="A73" s="552" t="s">
        <v>1691</v>
      </c>
      <c r="B73" s="553" t="s">
        <v>1462</v>
      </c>
      <c r="C73" s="553" t="s">
        <v>1491</v>
      </c>
      <c r="D73" s="553" t="s">
        <v>1557</v>
      </c>
      <c r="E73" s="553" t="s">
        <v>1558</v>
      </c>
      <c r="F73" s="570">
        <v>10</v>
      </c>
      <c r="G73" s="570">
        <v>0</v>
      </c>
      <c r="H73" s="570"/>
      <c r="I73" s="570">
        <v>0</v>
      </c>
      <c r="J73" s="570"/>
      <c r="K73" s="570"/>
      <c r="L73" s="570"/>
      <c r="M73" s="570"/>
      <c r="N73" s="570"/>
      <c r="O73" s="570"/>
      <c r="P73" s="558"/>
      <c r="Q73" s="571"/>
    </row>
    <row r="74" spans="1:17" ht="14.4" customHeight="1" x14ac:dyDescent="0.3">
      <c r="A74" s="552" t="s">
        <v>1691</v>
      </c>
      <c r="B74" s="553" t="s">
        <v>1462</v>
      </c>
      <c r="C74" s="553" t="s">
        <v>1491</v>
      </c>
      <c r="D74" s="553" t="s">
        <v>1561</v>
      </c>
      <c r="E74" s="553" t="s">
        <v>1562</v>
      </c>
      <c r="F74" s="570">
        <v>44</v>
      </c>
      <c r="G74" s="570">
        <v>3564</v>
      </c>
      <c r="H74" s="570">
        <v>1</v>
      </c>
      <c r="I74" s="570">
        <v>81</v>
      </c>
      <c r="J74" s="570">
        <v>66</v>
      </c>
      <c r="K74" s="570">
        <v>5366</v>
      </c>
      <c r="L74" s="570">
        <v>1.505611672278339</v>
      </c>
      <c r="M74" s="570">
        <v>81.303030303030297</v>
      </c>
      <c r="N74" s="570">
        <v>40</v>
      </c>
      <c r="O74" s="570">
        <v>3280</v>
      </c>
      <c r="P74" s="558">
        <v>0.92031425364758701</v>
      </c>
      <c r="Q74" s="571">
        <v>82</v>
      </c>
    </row>
    <row r="75" spans="1:17" ht="14.4" customHeight="1" x14ac:dyDescent="0.3">
      <c r="A75" s="552" t="s">
        <v>1691</v>
      </c>
      <c r="B75" s="553" t="s">
        <v>1462</v>
      </c>
      <c r="C75" s="553" t="s">
        <v>1491</v>
      </c>
      <c r="D75" s="553" t="s">
        <v>1567</v>
      </c>
      <c r="E75" s="553" t="s">
        <v>1568</v>
      </c>
      <c r="F75" s="570">
        <v>3</v>
      </c>
      <c r="G75" s="570">
        <v>1455</v>
      </c>
      <c r="H75" s="570">
        <v>1</v>
      </c>
      <c r="I75" s="570">
        <v>485</v>
      </c>
      <c r="J75" s="570">
        <v>2</v>
      </c>
      <c r="K75" s="570">
        <v>975</v>
      </c>
      <c r="L75" s="570">
        <v>0.67010309278350511</v>
      </c>
      <c r="M75" s="570">
        <v>487.5</v>
      </c>
      <c r="N75" s="570">
        <v>4</v>
      </c>
      <c r="O75" s="570">
        <v>1968</v>
      </c>
      <c r="P75" s="558">
        <v>1.3525773195876289</v>
      </c>
      <c r="Q75" s="571">
        <v>492</v>
      </c>
    </row>
    <row r="76" spans="1:17" ht="14.4" customHeight="1" x14ac:dyDescent="0.3">
      <c r="A76" s="552" t="s">
        <v>1691</v>
      </c>
      <c r="B76" s="553" t="s">
        <v>1462</v>
      </c>
      <c r="C76" s="553" t="s">
        <v>1491</v>
      </c>
      <c r="D76" s="553" t="s">
        <v>1573</v>
      </c>
      <c r="E76" s="553" t="s">
        <v>1520</v>
      </c>
      <c r="F76" s="570"/>
      <c r="G76" s="570"/>
      <c r="H76" s="570"/>
      <c r="I76" s="570"/>
      <c r="J76" s="570">
        <v>3</v>
      </c>
      <c r="K76" s="570">
        <v>2019</v>
      </c>
      <c r="L76" s="570"/>
      <c r="M76" s="570">
        <v>673</v>
      </c>
      <c r="N76" s="570">
        <v>3</v>
      </c>
      <c r="O76" s="570">
        <v>2025</v>
      </c>
      <c r="P76" s="558"/>
      <c r="Q76" s="571">
        <v>675</v>
      </c>
    </row>
    <row r="77" spans="1:17" ht="14.4" customHeight="1" x14ac:dyDescent="0.3">
      <c r="A77" s="552" t="s">
        <v>1691</v>
      </c>
      <c r="B77" s="553" t="s">
        <v>1462</v>
      </c>
      <c r="C77" s="553" t="s">
        <v>1491</v>
      </c>
      <c r="D77" s="553" t="s">
        <v>1578</v>
      </c>
      <c r="E77" s="553" t="s">
        <v>1579</v>
      </c>
      <c r="F77" s="570"/>
      <c r="G77" s="570"/>
      <c r="H77" s="570"/>
      <c r="I77" s="570"/>
      <c r="J77" s="570">
        <v>1</v>
      </c>
      <c r="K77" s="570">
        <v>431</v>
      </c>
      <c r="L77" s="570"/>
      <c r="M77" s="570">
        <v>431</v>
      </c>
      <c r="N77" s="570"/>
      <c r="O77" s="570"/>
      <c r="P77" s="558"/>
      <c r="Q77" s="571"/>
    </row>
    <row r="78" spans="1:17" ht="14.4" customHeight="1" x14ac:dyDescent="0.3">
      <c r="A78" s="552" t="s">
        <v>1691</v>
      </c>
      <c r="B78" s="553" t="s">
        <v>1462</v>
      </c>
      <c r="C78" s="553" t="s">
        <v>1491</v>
      </c>
      <c r="D78" s="553" t="s">
        <v>1588</v>
      </c>
      <c r="E78" s="553" t="s">
        <v>1589</v>
      </c>
      <c r="F78" s="570">
        <v>3</v>
      </c>
      <c r="G78" s="570">
        <v>2052</v>
      </c>
      <c r="H78" s="570">
        <v>1</v>
      </c>
      <c r="I78" s="570">
        <v>684</v>
      </c>
      <c r="J78" s="570">
        <v>6</v>
      </c>
      <c r="K78" s="570">
        <v>4109</v>
      </c>
      <c r="L78" s="570">
        <v>2.0024366471734893</v>
      </c>
      <c r="M78" s="570">
        <v>684.83333333333337</v>
      </c>
      <c r="N78" s="570">
        <v>4</v>
      </c>
      <c r="O78" s="570">
        <v>2764</v>
      </c>
      <c r="P78" s="558">
        <v>1.3469785575048734</v>
      </c>
      <c r="Q78" s="571">
        <v>691</v>
      </c>
    </row>
    <row r="79" spans="1:17" ht="14.4" customHeight="1" x14ac:dyDescent="0.3">
      <c r="A79" s="552" t="s">
        <v>1691</v>
      </c>
      <c r="B79" s="553" t="s">
        <v>1462</v>
      </c>
      <c r="C79" s="553" t="s">
        <v>1491</v>
      </c>
      <c r="D79" s="553" t="s">
        <v>1598</v>
      </c>
      <c r="E79" s="553" t="s">
        <v>1599</v>
      </c>
      <c r="F79" s="570">
        <v>1</v>
      </c>
      <c r="G79" s="570">
        <v>119</v>
      </c>
      <c r="H79" s="570">
        <v>1</v>
      </c>
      <c r="I79" s="570">
        <v>119</v>
      </c>
      <c r="J79" s="570"/>
      <c r="K79" s="570"/>
      <c r="L79" s="570"/>
      <c r="M79" s="570"/>
      <c r="N79" s="570">
        <v>1</v>
      </c>
      <c r="O79" s="570">
        <v>121</v>
      </c>
      <c r="P79" s="558">
        <v>1.0168067226890756</v>
      </c>
      <c r="Q79" s="571">
        <v>121</v>
      </c>
    </row>
    <row r="80" spans="1:17" ht="14.4" customHeight="1" x14ac:dyDescent="0.3">
      <c r="A80" s="552" t="s">
        <v>1691</v>
      </c>
      <c r="B80" s="553" t="s">
        <v>1462</v>
      </c>
      <c r="C80" s="553" t="s">
        <v>1491</v>
      </c>
      <c r="D80" s="553" t="s">
        <v>1600</v>
      </c>
      <c r="E80" s="553" t="s">
        <v>1601</v>
      </c>
      <c r="F80" s="570"/>
      <c r="G80" s="570"/>
      <c r="H80" s="570"/>
      <c r="I80" s="570"/>
      <c r="J80" s="570">
        <v>7</v>
      </c>
      <c r="K80" s="570">
        <v>2457</v>
      </c>
      <c r="L80" s="570"/>
      <c r="M80" s="570">
        <v>351</v>
      </c>
      <c r="N80" s="570">
        <v>13</v>
      </c>
      <c r="O80" s="570">
        <v>4628</v>
      </c>
      <c r="P80" s="558"/>
      <c r="Q80" s="571">
        <v>356</v>
      </c>
    </row>
    <row r="81" spans="1:17" ht="14.4" customHeight="1" x14ac:dyDescent="0.3">
      <c r="A81" s="552" t="s">
        <v>1691</v>
      </c>
      <c r="B81" s="553" t="s">
        <v>1462</v>
      </c>
      <c r="C81" s="553" t="s">
        <v>1491</v>
      </c>
      <c r="D81" s="553" t="s">
        <v>1606</v>
      </c>
      <c r="E81" s="553" t="s">
        <v>1607</v>
      </c>
      <c r="F81" s="570"/>
      <c r="G81" s="570"/>
      <c r="H81" s="570"/>
      <c r="I81" s="570"/>
      <c r="J81" s="570"/>
      <c r="K81" s="570"/>
      <c r="L81" s="570"/>
      <c r="M81" s="570"/>
      <c r="N81" s="570">
        <v>3</v>
      </c>
      <c r="O81" s="570">
        <v>4794</v>
      </c>
      <c r="P81" s="558"/>
      <c r="Q81" s="571">
        <v>1598</v>
      </c>
    </row>
    <row r="82" spans="1:17" ht="14.4" customHeight="1" x14ac:dyDescent="0.3">
      <c r="A82" s="552" t="s">
        <v>1691</v>
      </c>
      <c r="B82" s="553" t="s">
        <v>1462</v>
      </c>
      <c r="C82" s="553" t="s">
        <v>1491</v>
      </c>
      <c r="D82" s="553" t="s">
        <v>1608</v>
      </c>
      <c r="E82" s="553" t="s">
        <v>1609</v>
      </c>
      <c r="F82" s="570"/>
      <c r="G82" s="570"/>
      <c r="H82" s="570"/>
      <c r="I82" s="570"/>
      <c r="J82" s="570"/>
      <c r="K82" s="570"/>
      <c r="L82" s="570"/>
      <c r="M82" s="570"/>
      <c r="N82" s="570">
        <v>6</v>
      </c>
      <c r="O82" s="570">
        <v>696</v>
      </c>
      <c r="P82" s="558"/>
      <c r="Q82" s="571">
        <v>116</v>
      </c>
    </row>
    <row r="83" spans="1:17" ht="14.4" customHeight="1" x14ac:dyDescent="0.3">
      <c r="A83" s="552" t="s">
        <v>1691</v>
      </c>
      <c r="B83" s="553" t="s">
        <v>1462</v>
      </c>
      <c r="C83" s="553" t="s">
        <v>1491</v>
      </c>
      <c r="D83" s="553" t="s">
        <v>1610</v>
      </c>
      <c r="E83" s="553" t="s">
        <v>1611</v>
      </c>
      <c r="F83" s="570">
        <v>4</v>
      </c>
      <c r="G83" s="570">
        <v>800</v>
      </c>
      <c r="H83" s="570">
        <v>1</v>
      </c>
      <c r="I83" s="570">
        <v>200</v>
      </c>
      <c r="J83" s="570">
        <v>1</v>
      </c>
      <c r="K83" s="570">
        <v>200</v>
      </c>
      <c r="L83" s="570">
        <v>0.25</v>
      </c>
      <c r="M83" s="570">
        <v>200</v>
      </c>
      <c r="N83" s="570"/>
      <c r="O83" s="570"/>
      <c r="P83" s="558"/>
      <c r="Q83" s="571"/>
    </row>
    <row r="84" spans="1:17" ht="14.4" customHeight="1" x14ac:dyDescent="0.3">
      <c r="A84" s="552" t="s">
        <v>1691</v>
      </c>
      <c r="B84" s="553" t="s">
        <v>1462</v>
      </c>
      <c r="C84" s="553" t="s">
        <v>1491</v>
      </c>
      <c r="D84" s="553" t="s">
        <v>1612</v>
      </c>
      <c r="E84" s="553" t="s">
        <v>1613</v>
      </c>
      <c r="F84" s="570"/>
      <c r="G84" s="570"/>
      <c r="H84" s="570"/>
      <c r="I84" s="570"/>
      <c r="J84" s="570">
        <v>1</v>
      </c>
      <c r="K84" s="570">
        <v>241</v>
      </c>
      <c r="L84" s="570"/>
      <c r="M84" s="570">
        <v>241</v>
      </c>
      <c r="N84" s="570"/>
      <c r="O84" s="570"/>
      <c r="P84" s="558"/>
      <c r="Q84" s="571"/>
    </row>
    <row r="85" spans="1:17" ht="14.4" customHeight="1" x14ac:dyDescent="0.3">
      <c r="A85" s="552" t="s">
        <v>1691</v>
      </c>
      <c r="B85" s="553" t="s">
        <v>1462</v>
      </c>
      <c r="C85" s="553" t="s">
        <v>1491</v>
      </c>
      <c r="D85" s="553" t="s">
        <v>1616</v>
      </c>
      <c r="E85" s="553" t="s">
        <v>1617</v>
      </c>
      <c r="F85" s="570"/>
      <c r="G85" s="570"/>
      <c r="H85" s="570"/>
      <c r="I85" s="570"/>
      <c r="J85" s="570">
        <v>2</v>
      </c>
      <c r="K85" s="570">
        <v>3306</v>
      </c>
      <c r="L85" s="570"/>
      <c r="M85" s="570">
        <v>1653</v>
      </c>
      <c r="N85" s="570"/>
      <c r="O85" s="570"/>
      <c r="P85" s="558"/>
      <c r="Q85" s="571"/>
    </row>
    <row r="86" spans="1:17" ht="14.4" customHeight="1" x14ac:dyDescent="0.3">
      <c r="A86" s="552" t="s">
        <v>1691</v>
      </c>
      <c r="B86" s="553" t="s">
        <v>1462</v>
      </c>
      <c r="C86" s="553" t="s">
        <v>1491</v>
      </c>
      <c r="D86" s="553" t="s">
        <v>1694</v>
      </c>
      <c r="E86" s="553" t="s">
        <v>1695</v>
      </c>
      <c r="F86" s="570"/>
      <c r="G86" s="570"/>
      <c r="H86" s="570"/>
      <c r="I86" s="570"/>
      <c r="J86" s="570">
        <v>2</v>
      </c>
      <c r="K86" s="570">
        <v>1944</v>
      </c>
      <c r="L86" s="570"/>
      <c r="M86" s="570">
        <v>972</v>
      </c>
      <c r="N86" s="570"/>
      <c r="O86" s="570"/>
      <c r="P86" s="558"/>
      <c r="Q86" s="571"/>
    </row>
    <row r="87" spans="1:17" ht="14.4" customHeight="1" x14ac:dyDescent="0.3">
      <c r="A87" s="552" t="s">
        <v>1691</v>
      </c>
      <c r="B87" s="553" t="s">
        <v>1462</v>
      </c>
      <c r="C87" s="553" t="s">
        <v>1491</v>
      </c>
      <c r="D87" s="553" t="s">
        <v>1622</v>
      </c>
      <c r="E87" s="553" t="s">
        <v>1623</v>
      </c>
      <c r="F87" s="570"/>
      <c r="G87" s="570"/>
      <c r="H87" s="570"/>
      <c r="I87" s="570"/>
      <c r="J87" s="570">
        <v>1</v>
      </c>
      <c r="K87" s="570">
        <v>316</v>
      </c>
      <c r="L87" s="570"/>
      <c r="M87" s="570">
        <v>316</v>
      </c>
      <c r="N87" s="570">
        <v>3</v>
      </c>
      <c r="O87" s="570">
        <v>954</v>
      </c>
      <c r="P87" s="558"/>
      <c r="Q87" s="571">
        <v>318</v>
      </c>
    </row>
    <row r="88" spans="1:17" ht="14.4" customHeight="1" x14ac:dyDescent="0.3">
      <c r="A88" s="552" t="s">
        <v>1691</v>
      </c>
      <c r="B88" s="553" t="s">
        <v>1462</v>
      </c>
      <c r="C88" s="553" t="s">
        <v>1491</v>
      </c>
      <c r="D88" s="553" t="s">
        <v>1624</v>
      </c>
      <c r="E88" s="553" t="s">
        <v>1625</v>
      </c>
      <c r="F88" s="570"/>
      <c r="G88" s="570"/>
      <c r="H88" s="570"/>
      <c r="I88" s="570"/>
      <c r="J88" s="570"/>
      <c r="K88" s="570"/>
      <c r="L88" s="570"/>
      <c r="M88" s="570"/>
      <c r="N88" s="570">
        <v>0</v>
      </c>
      <c r="O88" s="570">
        <v>0</v>
      </c>
      <c r="P88" s="558"/>
      <c r="Q88" s="571"/>
    </row>
    <row r="89" spans="1:17" ht="14.4" customHeight="1" x14ac:dyDescent="0.3">
      <c r="A89" s="552" t="s">
        <v>1691</v>
      </c>
      <c r="B89" s="553" t="s">
        <v>1462</v>
      </c>
      <c r="C89" s="553" t="s">
        <v>1491</v>
      </c>
      <c r="D89" s="553" t="s">
        <v>1626</v>
      </c>
      <c r="E89" s="553" t="s">
        <v>1627</v>
      </c>
      <c r="F89" s="570"/>
      <c r="G89" s="570"/>
      <c r="H89" s="570"/>
      <c r="I89" s="570"/>
      <c r="J89" s="570">
        <v>8</v>
      </c>
      <c r="K89" s="570">
        <v>6469</v>
      </c>
      <c r="L89" s="570"/>
      <c r="M89" s="570">
        <v>808.625</v>
      </c>
      <c r="N89" s="570">
        <v>1</v>
      </c>
      <c r="O89" s="570">
        <v>815</v>
      </c>
      <c r="P89" s="558"/>
      <c r="Q89" s="571">
        <v>815</v>
      </c>
    </row>
    <row r="90" spans="1:17" ht="14.4" customHeight="1" x14ac:dyDescent="0.3">
      <c r="A90" s="552" t="s">
        <v>1691</v>
      </c>
      <c r="B90" s="553" t="s">
        <v>1462</v>
      </c>
      <c r="C90" s="553" t="s">
        <v>1491</v>
      </c>
      <c r="D90" s="553" t="s">
        <v>1628</v>
      </c>
      <c r="E90" s="553" t="s">
        <v>1629</v>
      </c>
      <c r="F90" s="570">
        <v>3</v>
      </c>
      <c r="G90" s="570">
        <v>2562</v>
      </c>
      <c r="H90" s="570">
        <v>1</v>
      </c>
      <c r="I90" s="570">
        <v>854</v>
      </c>
      <c r="J90" s="570"/>
      <c r="K90" s="570"/>
      <c r="L90" s="570"/>
      <c r="M90" s="570"/>
      <c r="N90" s="570">
        <v>3</v>
      </c>
      <c r="O90" s="570">
        <v>2586</v>
      </c>
      <c r="P90" s="558">
        <v>1.0093676814988291</v>
      </c>
      <c r="Q90" s="571">
        <v>862</v>
      </c>
    </row>
    <row r="91" spans="1:17" ht="14.4" customHeight="1" x14ac:dyDescent="0.3">
      <c r="A91" s="552" t="s">
        <v>1691</v>
      </c>
      <c r="B91" s="553" t="s">
        <v>1462</v>
      </c>
      <c r="C91" s="553" t="s">
        <v>1491</v>
      </c>
      <c r="D91" s="553" t="s">
        <v>1630</v>
      </c>
      <c r="E91" s="553" t="s">
        <v>1631</v>
      </c>
      <c r="F91" s="570">
        <v>1</v>
      </c>
      <c r="G91" s="570">
        <v>1154</v>
      </c>
      <c r="H91" s="570">
        <v>1</v>
      </c>
      <c r="I91" s="570">
        <v>1154</v>
      </c>
      <c r="J91" s="570">
        <v>1</v>
      </c>
      <c r="K91" s="570">
        <v>1154</v>
      </c>
      <c r="L91" s="570">
        <v>1</v>
      </c>
      <c r="M91" s="570">
        <v>1154</v>
      </c>
      <c r="N91" s="570"/>
      <c r="O91" s="570"/>
      <c r="P91" s="558"/>
      <c r="Q91" s="571"/>
    </row>
    <row r="92" spans="1:17" ht="14.4" customHeight="1" x14ac:dyDescent="0.3">
      <c r="A92" s="552" t="s">
        <v>1691</v>
      </c>
      <c r="B92" s="553" t="s">
        <v>1462</v>
      </c>
      <c r="C92" s="553" t="s">
        <v>1491</v>
      </c>
      <c r="D92" s="553" t="s">
        <v>1632</v>
      </c>
      <c r="E92" s="553" t="s">
        <v>1633</v>
      </c>
      <c r="F92" s="570"/>
      <c r="G92" s="570"/>
      <c r="H92" s="570"/>
      <c r="I92" s="570"/>
      <c r="J92" s="570"/>
      <c r="K92" s="570"/>
      <c r="L92" s="570"/>
      <c r="M92" s="570"/>
      <c r="N92" s="570">
        <v>1</v>
      </c>
      <c r="O92" s="570">
        <v>1803</v>
      </c>
      <c r="P92" s="558"/>
      <c r="Q92" s="571">
        <v>1803</v>
      </c>
    </row>
    <row r="93" spans="1:17" ht="14.4" customHeight="1" x14ac:dyDescent="0.3">
      <c r="A93" s="552" t="s">
        <v>1691</v>
      </c>
      <c r="B93" s="553" t="s">
        <v>1462</v>
      </c>
      <c r="C93" s="553" t="s">
        <v>1491</v>
      </c>
      <c r="D93" s="553" t="s">
        <v>1640</v>
      </c>
      <c r="E93" s="553" t="s">
        <v>1641</v>
      </c>
      <c r="F93" s="570"/>
      <c r="G93" s="570"/>
      <c r="H93" s="570"/>
      <c r="I93" s="570"/>
      <c r="J93" s="570"/>
      <c r="K93" s="570"/>
      <c r="L93" s="570"/>
      <c r="M93" s="570"/>
      <c r="N93" s="570">
        <v>1</v>
      </c>
      <c r="O93" s="570">
        <v>1027</v>
      </c>
      <c r="P93" s="558"/>
      <c r="Q93" s="571">
        <v>1027</v>
      </c>
    </row>
    <row r="94" spans="1:17" ht="14.4" customHeight="1" x14ac:dyDescent="0.3">
      <c r="A94" s="552" t="s">
        <v>1691</v>
      </c>
      <c r="B94" s="553" t="s">
        <v>1462</v>
      </c>
      <c r="C94" s="553" t="s">
        <v>1491</v>
      </c>
      <c r="D94" s="553" t="s">
        <v>1644</v>
      </c>
      <c r="E94" s="553" t="s">
        <v>1645</v>
      </c>
      <c r="F94" s="570"/>
      <c r="G94" s="570"/>
      <c r="H94" s="570"/>
      <c r="I94" s="570"/>
      <c r="J94" s="570">
        <v>4</v>
      </c>
      <c r="K94" s="570">
        <v>2276</v>
      </c>
      <c r="L94" s="570"/>
      <c r="M94" s="570">
        <v>569</v>
      </c>
      <c r="N94" s="570"/>
      <c r="O94" s="570"/>
      <c r="P94" s="558"/>
      <c r="Q94" s="571"/>
    </row>
    <row r="95" spans="1:17" ht="14.4" customHeight="1" x14ac:dyDescent="0.3">
      <c r="A95" s="552" t="s">
        <v>1691</v>
      </c>
      <c r="B95" s="553" t="s">
        <v>1696</v>
      </c>
      <c r="C95" s="553" t="s">
        <v>1491</v>
      </c>
      <c r="D95" s="553" t="s">
        <v>1697</v>
      </c>
      <c r="E95" s="553" t="s">
        <v>1698</v>
      </c>
      <c r="F95" s="570">
        <v>1</v>
      </c>
      <c r="G95" s="570">
        <v>2149</v>
      </c>
      <c r="H95" s="570">
        <v>1</v>
      </c>
      <c r="I95" s="570">
        <v>2149</v>
      </c>
      <c r="J95" s="570"/>
      <c r="K95" s="570"/>
      <c r="L95" s="570"/>
      <c r="M95" s="570"/>
      <c r="N95" s="570"/>
      <c r="O95" s="570"/>
      <c r="P95" s="558"/>
      <c r="Q95" s="571"/>
    </row>
    <row r="96" spans="1:17" ht="14.4" customHeight="1" x14ac:dyDescent="0.3">
      <c r="A96" s="552" t="s">
        <v>1699</v>
      </c>
      <c r="B96" s="553" t="s">
        <v>1462</v>
      </c>
      <c r="C96" s="553" t="s">
        <v>1491</v>
      </c>
      <c r="D96" s="553" t="s">
        <v>1502</v>
      </c>
      <c r="E96" s="553" t="s">
        <v>1503</v>
      </c>
      <c r="F96" s="570"/>
      <c r="G96" s="570"/>
      <c r="H96" s="570"/>
      <c r="I96" s="570"/>
      <c r="J96" s="570"/>
      <c r="K96" s="570"/>
      <c r="L96" s="570"/>
      <c r="M96" s="570"/>
      <c r="N96" s="570">
        <v>2</v>
      </c>
      <c r="O96" s="570">
        <v>70</v>
      </c>
      <c r="P96" s="558"/>
      <c r="Q96" s="571">
        <v>35</v>
      </c>
    </row>
    <row r="97" spans="1:17" ht="14.4" customHeight="1" x14ac:dyDescent="0.3">
      <c r="A97" s="552" t="s">
        <v>1699</v>
      </c>
      <c r="B97" s="553" t="s">
        <v>1462</v>
      </c>
      <c r="C97" s="553" t="s">
        <v>1491</v>
      </c>
      <c r="D97" s="553" t="s">
        <v>1515</v>
      </c>
      <c r="E97" s="553" t="s">
        <v>1516</v>
      </c>
      <c r="F97" s="570">
        <v>1</v>
      </c>
      <c r="G97" s="570">
        <v>232</v>
      </c>
      <c r="H97" s="570">
        <v>1</v>
      </c>
      <c r="I97" s="570">
        <v>232</v>
      </c>
      <c r="J97" s="570">
        <v>1</v>
      </c>
      <c r="K97" s="570">
        <v>232</v>
      </c>
      <c r="L97" s="570">
        <v>1</v>
      </c>
      <c r="M97" s="570">
        <v>232</v>
      </c>
      <c r="N97" s="570">
        <v>2</v>
      </c>
      <c r="O97" s="570">
        <v>470</v>
      </c>
      <c r="P97" s="558">
        <v>2.0258620689655173</v>
      </c>
      <c r="Q97" s="571">
        <v>235</v>
      </c>
    </row>
    <row r="98" spans="1:17" ht="14.4" customHeight="1" x14ac:dyDescent="0.3">
      <c r="A98" s="552" t="s">
        <v>1699</v>
      </c>
      <c r="B98" s="553" t="s">
        <v>1462</v>
      </c>
      <c r="C98" s="553" t="s">
        <v>1491</v>
      </c>
      <c r="D98" s="553" t="s">
        <v>1517</v>
      </c>
      <c r="E98" s="553" t="s">
        <v>1518</v>
      </c>
      <c r="F98" s="570">
        <v>2</v>
      </c>
      <c r="G98" s="570">
        <v>232</v>
      </c>
      <c r="H98" s="570">
        <v>1</v>
      </c>
      <c r="I98" s="570">
        <v>116</v>
      </c>
      <c r="J98" s="570">
        <v>4</v>
      </c>
      <c r="K98" s="570">
        <v>464</v>
      </c>
      <c r="L98" s="570">
        <v>2</v>
      </c>
      <c r="M98" s="570">
        <v>116</v>
      </c>
      <c r="N98" s="570">
        <v>14</v>
      </c>
      <c r="O98" s="570">
        <v>1652</v>
      </c>
      <c r="P98" s="558">
        <v>7.1206896551724137</v>
      </c>
      <c r="Q98" s="571">
        <v>118</v>
      </c>
    </row>
    <row r="99" spans="1:17" ht="14.4" customHeight="1" x14ac:dyDescent="0.3">
      <c r="A99" s="552" t="s">
        <v>1699</v>
      </c>
      <c r="B99" s="553" t="s">
        <v>1462</v>
      </c>
      <c r="C99" s="553" t="s">
        <v>1491</v>
      </c>
      <c r="D99" s="553" t="s">
        <v>1553</v>
      </c>
      <c r="E99" s="553" t="s">
        <v>1554</v>
      </c>
      <c r="F99" s="570"/>
      <c r="G99" s="570"/>
      <c r="H99" s="570"/>
      <c r="I99" s="570"/>
      <c r="J99" s="570"/>
      <c r="K99" s="570"/>
      <c r="L99" s="570"/>
      <c r="M99" s="570"/>
      <c r="N99" s="570">
        <v>9</v>
      </c>
      <c r="O99" s="570">
        <v>300</v>
      </c>
      <c r="P99" s="558"/>
      <c r="Q99" s="571">
        <v>33.333333333333336</v>
      </c>
    </row>
    <row r="100" spans="1:17" ht="14.4" customHeight="1" x14ac:dyDescent="0.3">
      <c r="A100" s="552" t="s">
        <v>1699</v>
      </c>
      <c r="B100" s="553" t="s">
        <v>1462</v>
      </c>
      <c r="C100" s="553" t="s">
        <v>1491</v>
      </c>
      <c r="D100" s="553" t="s">
        <v>1561</v>
      </c>
      <c r="E100" s="553" t="s">
        <v>1562</v>
      </c>
      <c r="F100" s="570">
        <v>1</v>
      </c>
      <c r="G100" s="570">
        <v>81</v>
      </c>
      <c r="H100" s="570">
        <v>1</v>
      </c>
      <c r="I100" s="570">
        <v>81</v>
      </c>
      <c r="J100" s="570">
        <v>1</v>
      </c>
      <c r="K100" s="570">
        <v>81</v>
      </c>
      <c r="L100" s="570">
        <v>1</v>
      </c>
      <c r="M100" s="570">
        <v>81</v>
      </c>
      <c r="N100" s="570">
        <v>1</v>
      </c>
      <c r="O100" s="570">
        <v>82</v>
      </c>
      <c r="P100" s="558">
        <v>1.0123456790123457</v>
      </c>
      <c r="Q100" s="571">
        <v>82</v>
      </c>
    </row>
    <row r="101" spans="1:17" ht="14.4" customHeight="1" x14ac:dyDescent="0.3">
      <c r="A101" s="552" t="s">
        <v>1699</v>
      </c>
      <c r="B101" s="553" t="s">
        <v>1462</v>
      </c>
      <c r="C101" s="553" t="s">
        <v>1491</v>
      </c>
      <c r="D101" s="553" t="s">
        <v>1604</v>
      </c>
      <c r="E101" s="553" t="s">
        <v>1605</v>
      </c>
      <c r="F101" s="570">
        <v>1</v>
      </c>
      <c r="G101" s="570">
        <v>623</v>
      </c>
      <c r="H101" s="570">
        <v>1</v>
      </c>
      <c r="I101" s="570">
        <v>623</v>
      </c>
      <c r="J101" s="570"/>
      <c r="K101" s="570"/>
      <c r="L101" s="570"/>
      <c r="M101" s="570"/>
      <c r="N101" s="570">
        <v>2</v>
      </c>
      <c r="O101" s="570">
        <v>1256</v>
      </c>
      <c r="P101" s="558">
        <v>2.0160513643659712</v>
      </c>
      <c r="Q101" s="571">
        <v>628</v>
      </c>
    </row>
    <row r="102" spans="1:17" ht="14.4" customHeight="1" x14ac:dyDescent="0.3">
      <c r="A102" s="552" t="s">
        <v>1699</v>
      </c>
      <c r="B102" s="553" t="s">
        <v>1462</v>
      </c>
      <c r="C102" s="553" t="s">
        <v>1491</v>
      </c>
      <c r="D102" s="553" t="s">
        <v>1612</v>
      </c>
      <c r="E102" s="553" t="s">
        <v>1613</v>
      </c>
      <c r="F102" s="570">
        <v>1</v>
      </c>
      <c r="G102" s="570">
        <v>241</v>
      </c>
      <c r="H102" s="570">
        <v>1</v>
      </c>
      <c r="I102" s="570">
        <v>241</v>
      </c>
      <c r="J102" s="570"/>
      <c r="K102" s="570"/>
      <c r="L102" s="570"/>
      <c r="M102" s="570"/>
      <c r="N102" s="570">
        <v>2</v>
      </c>
      <c r="O102" s="570">
        <v>486</v>
      </c>
      <c r="P102" s="558">
        <v>2.0165975103734439</v>
      </c>
      <c r="Q102" s="571">
        <v>243</v>
      </c>
    </row>
    <row r="103" spans="1:17" ht="14.4" customHeight="1" x14ac:dyDescent="0.3">
      <c r="A103" s="552" t="s">
        <v>1699</v>
      </c>
      <c r="B103" s="553" t="s">
        <v>1462</v>
      </c>
      <c r="C103" s="553" t="s">
        <v>1491</v>
      </c>
      <c r="D103" s="553" t="s">
        <v>1632</v>
      </c>
      <c r="E103" s="553" t="s">
        <v>1633</v>
      </c>
      <c r="F103" s="570"/>
      <c r="G103" s="570"/>
      <c r="H103" s="570"/>
      <c r="I103" s="570"/>
      <c r="J103" s="570">
        <v>1</v>
      </c>
      <c r="K103" s="570">
        <v>1796</v>
      </c>
      <c r="L103" s="570"/>
      <c r="M103" s="570">
        <v>1796</v>
      </c>
      <c r="N103" s="570"/>
      <c r="O103" s="570"/>
      <c r="P103" s="558"/>
      <c r="Q103" s="571"/>
    </row>
    <row r="104" spans="1:17" ht="14.4" customHeight="1" x14ac:dyDescent="0.3">
      <c r="A104" s="552" t="s">
        <v>1700</v>
      </c>
      <c r="B104" s="553" t="s">
        <v>1462</v>
      </c>
      <c r="C104" s="553" t="s">
        <v>1491</v>
      </c>
      <c r="D104" s="553" t="s">
        <v>1502</v>
      </c>
      <c r="E104" s="553" t="s">
        <v>1503</v>
      </c>
      <c r="F104" s="570"/>
      <c r="G104" s="570"/>
      <c r="H104" s="570"/>
      <c r="I104" s="570"/>
      <c r="J104" s="570">
        <v>1</v>
      </c>
      <c r="K104" s="570">
        <v>35</v>
      </c>
      <c r="L104" s="570"/>
      <c r="M104" s="570">
        <v>35</v>
      </c>
      <c r="N104" s="570"/>
      <c r="O104" s="570"/>
      <c r="P104" s="558"/>
      <c r="Q104" s="571"/>
    </row>
    <row r="105" spans="1:17" ht="14.4" customHeight="1" x14ac:dyDescent="0.3">
      <c r="A105" s="552" t="s">
        <v>1700</v>
      </c>
      <c r="B105" s="553" t="s">
        <v>1462</v>
      </c>
      <c r="C105" s="553" t="s">
        <v>1491</v>
      </c>
      <c r="D105" s="553" t="s">
        <v>1515</v>
      </c>
      <c r="E105" s="553" t="s">
        <v>1516</v>
      </c>
      <c r="F105" s="570"/>
      <c r="G105" s="570"/>
      <c r="H105" s="570"/>
      <c r="I105" s="570"/>
      <c r="J105" s="570"/>
      <c r="K105" s="570"/>
      <c r="L105" s="570"/>
      <c r="M105" s="570"/>
      <c r="N105" s="570">
        <v>1</v>
      </c>
      <c r="O105" s="570">
        <v>235</v>
      </c>
      <c r="P105" s="558"/>
      <c r="Q105" s="571">
        <v>235</v>
      </c>
    </row>
    <row r="106" spans="1:17" ht="14.4" customHeight="1" x14ac:dyDescent="0.3">
      <c r="A106" s="552" t="s">
        <v>1700</v>
      </c>
      <c r="B106" s="553" t="s">
        <v>1462</v>
      </c>
      <c r="C106" s="553" t="s">
        <v>1491</v>
      </c>
      <c r="D106" s="553" t="s">
        <v>1517</v>
      </c>
      <c r="E106" s="553" t="s">
        <v>1518</v>
      </c>
      <c r="F106" s="570"/>
      <c r="G106" s="570"/>
      <c r="H106" s="570"/>
      <c r="I106" s="570"/>
      <c r="J106" s="570"/>
      <c r="K106" s="570"/>
      <c r="L106" s="570"/>
      <c r="M106" s="570"/>
      <c r="N106" s="570">
        <v>1</v>
      </c>
      <c r="O106" s="570">
        <v>118</v>
      </c>
      <c r="P106" s="558"/>
      <c r="Q106" s="571">
        <v>118</v>
      </c>
    </row>
    <row r="107" spans="1:17" ht="14.4" customHeight="1" x14ac:dyDescent="0.3">
      <c r="A107" s="552" t="s">
        <v>1700</v>
      </c>
      <c r="B107" s="553" t="s">
        <v>1462</v>
      </c>
      <c r="C107" s="553" t="s">
        <v>1491</v>
      </c>
      <c r="D107" s="553" t="s">
        <v>1594</v>
      </c>
      <c r="E107" s="553" t="s">
        <v>1595</v>
      </c>
      <c r="F107" s="570"/>
      <c r="G107" s="570"/>
      <c r="H107" s="570"/>
      <c r="I107" s="570"/>
      <c r="J107" s="570"/>
      <c r="K107" s="570"/>
      <c r="L107" s="570"/>
      <c r="M107" s="570"/>
      <c r="N107" s="570">
        <v>1</v>
      </c>
      <c r="O107" s="570">
        <v>179</v>
      </c>
      <c r="P107" s="558"/>
      <c r="Q107" s="571">
        <v>179</v>
      </c>
    </row>
    <row r="108" spans="1:17" ht="14.4" customHeight="1" x14ac:dyDescent="0.3">
      <c r="A108" s="552" t="s">
        <v>1701</v>
      </c>
      <c r="B108" s="553" t="s">
        <v>1462</v>
      </c>
      <c r="C108" s="553" t="s">
        <v>1491</v>
      </c>
      <c r="D108" s="553" t="s">
        <v>1502</v>
      </c>
      <c r="E108" s="553" t="s">
        <v>1503</v>
      </c>
      <c r="F108" s="570">
        <v>1</v>
      </c>
      <c r="G108" s="570">
        <v>34</v>
      </c>
      <c r="H108" s="570">
        <v>1</v>
      </c>
      <c r="I108" s="570">
        <v>34</v>
      </c>
      <c r="J108" s="570"/>
      <c r="K108" s="570"/>
      <c r="L108" s="570"/>
      <c r="M108" s="570"/>
      <c r="N108" s="570"/>
      <c r="O108" s="570"/>
      <c r="P108" s="558"/>
      <c r="Q108" s="571"/>
    </row>
    <row r="109" spans="1:17" ht="14.4" customHeight="1" x14ac:dyDescent="0.3">
      <c r="A109" s="552" t="s">
        <v>1701</v>
      </c>
      <c r="B109" s="553" t="s">
        <v>1462</v>
      </c>
      <c r="C109" s="553" t="s">
        <v>1491</v>
      </c>
      <c r="D109" s="553" t="s">
        <v>1517</v>
      </c>
      <c r="E109" s="553" t="s">
        <v>1518</v>
      </c>
      <c r="F109" s="570">
        <v>6</v>
      </c>
      <c r="G109" s="570">
        <v>696</v>
      </c>
      <c r="H109" s="570">
        <v>1</v>
      </c>
      <c r="I109" s="570">
        <v>116</v>
      </c>
      <c r="J109" s="570">
        <v>1</v>
      </c>
      <c r="K109" s="570">
        <v>116</v>
      </c>
      <c r="L109" s="570">
        <v>0.16666666666666666</v>
      </c>
      <c r="M109" s="570">
        <v>116</v>
      </c>
      <c r="N109" s="570">
        <v>1</v>
      </c>
      <c r="O109" s="570">
        <v>118</v>
      </c>
      <c r="P109" s="558">
        <v>0.16954022988505746</v>
      </c>
      <c r="Q109" s="571">
        <v>118</v>
      </c>
    </row>
    <row r="110" spans="1:17" ht="14.4" customHeight="1" x14ac:dyDescent="0.3">
      <c r="A110" s="552" t="s">
        <v>1701</v>
      </c>
      <c r="B110" s="553" t="s">
        <v>1462</v>
      </c>
      <c r="C110" s="553" t="s">
        <v>1491</v>
      </c>
      <c r="D110" s="553" t="s">
        <v>1557</v>
      </c>
      <c r="E110" s="553" t="s">
        <v>1558</v>
      </c>
      <c r="F110" s="570">
        <v>5</v>
      </c>
      <c r="G110" s="570">
        <v>0</v>
      </c>
      <c r="H110" s="570"/>
      <c r="I110" s="570">
        <v>0</v>
      </c>
      <c r="J110" s="570"/>
      <c r="K110" s="570"/>
      <c r="L110" s="570"/>
      <c r="M110" s="570"/>
      <c r="N110" s="570"/>
      <c r="O110" s="570"/>
      <c r="P110" s="558"/>
      <c r="Q110" s="571"/>
    </row>
    <row r="111" spans="1:17" ht="14.4" customHeight="1" x14ac:dyDescent="0.3">
      <c r="A111" s="552" t="s">
        <v>1702</v>
      </c>
      <c r="B111" s="553" t="s">
        <v>1462</v>
      </c>
      <c r="C111" s="553" t="s">
        <v>1491</v>
      </c>
      <c r="D111" s="553" t="s">
        <v>1515</v>
      </c>
      <c r="E111" s="553" t="s">
        <v>1516</v>
      </c>
      <c r="F111" s="570"/>
      <c r="G111" s="570"/>
      <c r="H111" s="570"/>
      <c r="I111" s="570"/>
      <c r="J111" s="570"/>
      <c r="K111" s="570"/>
      <c r="L111" s="570"/>
      <c r="M111" s="570"/>
      <c r="N111" s="570">
        <v>3</v>
      </c>
      <c r="O111" s="570">
        <v>705</v>
      </c>
      <c r="P111" s="558"/>
      <c r="Q111" s="571">
        <v>235</v>
      </c>
    </row>
    <row r="112" spans="1:17" ht="14.4" customHeight="1" x14ac:dyDescent="0.3">
      <c r="A112" s="552" t="s">
        <v>1702</v>
      </c>
      <c r="B112" s="553" t="s">
        <v>1462</v>
      </c>
      <c r="C112" s="553" t="s">
        <v>1491</v>
      </c>
      <c r="D112" s="553" t="s">
        <v>1517</v>
      </c>
      <c r="E112" s="553" t="s">
        <v>1518</v>
      </c>
      <c r="F112" s="570">
        <v>1</v>
      </c>
      <c r="G112" s="570">
        <v>116</v>
      </c>
      <c r="H112" s="570">
        <v>1</v>
      </c>
      <c r="I112" s="570">
        <v>116</v>
      </c>
      <c r="J112" s="570"/>
      <c r="K112" s="570"/>
      <c r="L112" s="570"/>
      <c r="M112" s="570"/>
      <c r="N112" s="570"/>
      <c r="O112" s="570"/>
      <c r="P112" s="558"/>
      <c r="Q112" s="571"/>
    </row>
    <row r="113" spans="1:17" ht="14.4" customHeight="1" x14ac:dyDescent="0.3">
      <c r="A113" s="552" t="s">
        <v>1702</v>
      </c>
      <c r="B113" s="553" t="s">
        <v>1462</v>
      </c>
      <c r="C113" s="553" t="s">
        <v>1491</v>
      </c>
      <c r="D113" s="553" t="s">
        <v>1523</v>
      </c>
      <c r="E113" s="553" t="s">
        <v>1524</v>
      </c>
      <c r="F113" s="570">
        <v>1</v>
      </c>
      <c r="G113" s="570">
        <v>481</v>
      </c>
      <c r="H113" s="570">
        <v>1</v>
      </c>
      <c r="I113" s="570">
        <v>481</v>
      </c>
      <c r="J113" s="570"/>
      <c r="K113" s="570"/>
      <c r="L113" s="570"/>
      <c r="M113" s="570"/>
      <c r="N113" s="570"/>
      <c r="O113" s="570"/>
      <c r="P113" s="558"/>
      <c r="Q113" s="571"/>
    </row>
    <row r="114" spans="1:17" ht="14.4" customHeight="1" x14ac:dyDescent="0.3">
      <c r="A114" s="552" t="s">
        <v>1702</v>
      </c>
      <c r="B114" s="553" t="s">
        <v>1462</v>
      </c>
      <c r="C114" s="553" t="s">
        <v>1491</v>
      </c>
      <c r="D114" s="553" t="s">
        <v>1553</v>
      </c>
      <c r="E114" s="553" t="s">
        <v>1554</v>
      </c>
      <c r="F114" s="570"/>
      <c r="G114" s="570"/>
      <c r="H114" s="570"/>
      <c r="I114" s="570"/>
      <c r="J114" s="570"/>
      <c r="K114" s="570"/>
      <c r="L114" s="570"/>
      <c r="M114" s="570"/>
      <c r="N114" s="570">
        <v>2</v>
      </c>
      <c r="O114" s="570">
        <v>0</v>
      </c>
      <c r="P114" s="558"/>
      <c r="Q114" s="571">
        <v>0</v>
      </c>
    </row>
    <row r="115" spans="1:17" ht="14.4" customHeight="1" x14ac:dyDescent="0.3">
      <c r="A115" s="552" t="s">
        <v>1702</v>
      </c>
      <c r="B115" s="553" t="s">
        <v>1462</v>
      </c>
      <c r="C115" s="553" t="s">
        <v>1491</v>
      </c>
      <c r="D115" s="553" t="s">
        <v>1557</v>
      </c>
      <c r="E115" s="553" t="s">
        <v>1558</v>
      </c>
      <c r="F115" s="570">
        <v>1</v>
      </c>
      <c r="G115" s="570">
        <v>0</v>
      </c>
      <c r="H115" s="570"/>
      <c r="I115" s="570">
        <v>0</v>
      </c>
      <c r="J115" s="570"/>
      <c r="K115" s="570"/>
      <c r="L115" s="570"/>
      <c r="M115" s="570"/>
      <c r="N115" s="570"/>
      <c r="O115" s="570"/>
      <c r="P115" s="558"/>
      <c r="Q115" s="571"/>
    </row>
    <row r="116" spans="1:17" ht="14.4" customHeight="1" x14ac:dyDescent="0.3">
      <c r="A116" s="552" t="s">
        <v>1702</v>
      </c>
      <c r="B116" s="553" t="s">
        <v>1462</v>
      </c>
      <c r="C116" s="553" t="s">
        <v>1491</v>
      </c>
      <c r="D116" s="553" t="s">
        <v>1600</v>
      </c>
      <c r="E116" s="553" t="s">
        <v>1601</v>
      </c>
      <c r="F116" s="570">
        <v>8</v>
      </c>
      <c r="G116" s="570">
        <v>2808</v>
      </c>
      <c r="H116" s="570">
        <v>1</v>
      </c>
      <c r="I116" s="570">
        <v>351</v>
      </c>
      <c r="J116" s="570"/>
      <c r="K116" s="570"/>
      <c r="L116" s="570"/>
      <c r="M116" s="570"/>
      <c r="N116" s="570"/>
      <c r="O116" s="570"/>
      <c r="P116" s="558"/>
      <c r="Q116" s="571"/>
    </row>
    <row r="117" spans="1:17" ht="14.4" customHeight="1" x14ac:dyDescent="0.3">
      <c r="A117" s="552" t="s">
        <v>1702</v>
      </c>
      <c r="B117" s="553" t="s">
        <v>1462</v>
      </c>
      <c r="C117" s="553" t="s">
        <v>1491</v>
      </c>
      <c r="D117" s="553" t="s">
        <v>1626</v>
      </c>
      <c r="E117" s="553" t="s">
        <v>1627</v>
      </c>
      <c r="F117" s="570">
        <v>8</v>
      </c>
      <c r="G117" s="570">
        <v>6464</v>
      </c>
      <c r="H117" s="570">
        <v>1</v>
      </c>
      <c r="I117" s="570">
        <v>808</v>
      </c>
      <c r="J117" s="570"/>
      <c r="K117" s="570"/>
      <c r="L117" s="570"/>
      <c r="M117" s="570"/>
      <c r="N117" s="570"/>
      <c r="O117" s="570"/>
      <c r="P117" s="558"/>
      <c r="Q117" s="571"/>
    </row>
    <row r="118" spans="1:17" ht="14.4" customHeight="1" x14ac:dyDescent="0.3">
      <c r="A118" s="552" t="s">
        <v>1703</v>
      </c>
      <c r="B118" s="553" t="s">
        <v>1462</v>
      </c>
      <c r="C118" s="553" t="s">
        <v>1491</v>
      </c>
      <c r="D118" s="553" t="s">
        <v>1515</v>
      </c>
      <c r="E118" s="553" t="s">
        <v>1516</v>
      </c>
      <c r="F118" s="570"/>
      <c r="G118" s="570"/>
      <c r="H118" s="570"/>
      <c r="I118" s="570"/>
      <c r="J118" s="570"/>
      <c r="K118" s="570"/>
      <c r="L118" s="570"/>
      <c r="M118" s="570"/>
      <c r="N118" s="570">
        <v>1</v>
      </c>
      <c r="O118" s="570">
        <v>235</v>
      </c>
      <c r="P118" s="558"/>
      <c r="Q118" s="571">
        <v>235</v>
      </c>
    </row>
    <row r="119" spans="1:17" ht="14.4" customHeight="1" x14ac:dyDescent="0.3">
      <c r="A119" s="552" t="s">
        <v>1704</v>
      </c>
      <c r="B119" s="553" t="s">
        <v>1462</v>
      </c>
      <c r="C119" s="553" t="s">
        <v>1491</v>
      </c>
      <c r="D119" s="553" t="s">
        <v>1502</v>
      </c>
      <c r="E119" s="553" t="s">
        <v>1503</v>
      </c>
      <c r="F119" s="570">
        <v>2</v>
      </c>
      <c r="G119" s="570">
        <v>68</v>
      </c>
      <c r="H119" s="570">
        <v>1</v>
      </c>
      <c r="I119" s="570">
        <v>34</v>
      </c>
      <c r="J119" s="570"/>
      <c r="K119" s="570"/>
      <c r="L119" s="570"/>
      <c r="M119" s="570"/>
      <c r="N119" s="570"/>
      <c r="O119" s="570"/>
      <c r="P119" s="558"/>
      <c r="Q119" s="571"/>
    </row>
    <row r="120" spans="1:17" ht="14.4" customHeight="1" x14ac:dyDescent="0.3">
      <c r="A120" s="552" t="s">
        <v>1704</v>
      </c>
      <c r="B120" s="553" t="s">
        <v>1462</v>
      </c>
      <c r="C120" s="553" t="s">
        <v>1491</v>
      </c>
      <c r="D120" s="553" t="s">
        <v>1515</v>
      </c>
      <c r="E120" s="553" t="s">
        <v>1516</v>
      </c>
      <c r="F120" s="570">
        <v>1</v>
      </c>
      <c r="G120" s="570">
        <v>232</v>
      </c>
      <c r="H120" s="570">
        <v>1</v>
      </c>
      <c r="I120" s="570">
        <v>232</v>
      </c>
      <c r="J120" s="570">
        <v>2</v>
      </c>
      <c r="K120" s="570">
        <v>464</v>
      </c>
      <c r="L120" s="570">
        <v>2</v>
      </c>
      <c r="M120" s="570">
        <v>232</v>
      </c>
      <c r="N120" s="570">
        <v>1</v>
      </c>
      <c r="O120" s="570">
        <v>235</v>
      </c>
      <c r="P120" s="558">
        <v>1.0129310344827587</v>
      </c>
      <c r="Q120" s="571">
        <v>235</v>
      </c>
    </row>
    <row r="121" spans="1:17" ht="14.4" customHeight="1" x14ac:dyDescent="0.3">
      <c r="A121" s="552" t="s">
        <v>1704</v>
      </c>
      <c r="B121" s="553" t="s">
        <v>1462</v>
      </c>
      <c r="C121" s="553" t="s">
        <v>1491</v>
      </c>
      <c r="D121" s="553" t="s">
        <v>1517</v>
      </c>
      <c r="E121" s="553" t="s">
        <v>1518</v>
      </c>
      <c r="F121" s="570">
        <v>4</v>
      </c>
      <c r="G121" s="570">
        <v>464</v>
      </c>
      <c r="H121" s="570">
        <v>1</v>
      </c>
      <c r="I121" s="570">
        <v>116</v>
      </c>
      <c r="J121" s="570">
        <v>1</v>
      </c>
      <c r="K121" s="570">
        <v>116</v>
      </c>
      <c r="L121" s="570">
        <v>0.25</v>
      </c>
      <c r="M121" s="570">
        <v>116</v>
      </c>
      <c r="N121" s="570">
        <v>7</v>
      </c>
      <c r="O121" s="570">
        <v>826</v>
      </c>
      <c r="P121" s="558">
        <v>1.7801724137931034</v>
      </c>
      <c r="Q121" s="571">
        <v>118</v>
      </c>
    </row>
    <row r="122" spans="1:17" ht="14.4" customHeight="1" x14ac:dyDescent="0.3">
      <c r="A122" s="552" t="s">
        <v>1704</v>
      </c>
      <c r="B122" s="553" t="s">
        <v>1462</v>
      </c>
      <c r="C122" s="553" t="s">
        <v>1491</v>
      </c>
      <c r="D122" s="553" t="s">
        <v>1553</v>
      </c>
      <c r="E122" s="553" t="s">
        <v>1554</v>
      </c>
      <c r="F122" s="570"/>
      <c r="G122" s="570"/>
      <c r="H122" s="570"/>
      <c r="I122" s="570"/>
      <c r="J122" s="570"/>
      <c r="K122" s="570"/>
      <c r="L122" s="570"/>
      <c r="M122" s="570"/>
      <c r="N122" s="570">
        <v>1</v>
      </c>
      <c r="O122" s="570">
        <v>0</v>
      </c>
      <c r="P122" s="558"/>
      <c r="Q122" s="571">
        <v>0</v>
      </c>
    </row>
    <row r="123" spans="1:17" ht="14.4" customHeight="1" x14ac:dyDescent="0.3">
      <c r="A123" s="552" t="s">
        <v>1704</v>
      </c>
      <c r="B123" s="553" t="s">
        <v>1462</v>
      </c>
      <c r="C123" s="553" t="s">
        <v>1491</v>
      </c>
      <c r="D123" s="553" t="s">
        <v>1567</v>
      </c>
      <c r="E123" s="553" t="s">
        <v>1568</v>
      </c>
      <c r="F123" s="570"/>
      <c r="G123" s="570"/>
      <c r="H123" s="570"/>
      <c r="I123" s="570"/>
      <c r="J123" s="570">
        <v>1</v>
      </c>
      <c r="K123" s="570">
        <v>485</v>
      </c>
      <c r="L123" s="570"/>
      <c r="M123" s="570">
        <v>485</v>
      </c>
      <c r="N123" s="570">
        <v>1</v>
      </c>
      <c r="O123" s="570">
        <v>492</v>
      </c>
      <c r="P123" s="558"/>
      <c r="Q123" s="571">
        <v>492</v>
      </c>
    </row>
    <row r="124" spans="1:17" ht="14.4" customHeight="1" x14ac:dyDescent="0.3">
      <c r="A124" s="552" t="s">
        <v>1704</v>
      </c>
      <c r="B124" s="553" t="s">
        <v>1462</v>
      </c>
      <c r="C124" s="553" t="s">
        <v>1491</v>
      </c>
      <c r="D124" s="553" t="s">
        <v>1598</v>
      </c>
      <c r="E124" s="553" t="s">
        <v>1599</v>
      </c>
      <c r="F124" s="570"/>
      <c r="G124" s="570"/>
      <c r="H124" s="570"/>
      <c r="I124" s="570"/>
      <c r="J124" s="570"/>
      <c r="K124" s="570"/>
      <c r="L124" s="570"/>
      <c r="M124" s="570"/>
      <c r="N124" s="570">
        <v>1</v>
      </c>
      <c r="O124" s="570">
        <v>121</v>
      </c>
      <c r="P124" s="558"/>
      <c r="Q124" s="571">
        <v>121</v>
      </c>
    </row>
    <row r="125" spans="1:17" ht="14.4" customHeight="1" x14ac:dyDescent="0.3">
      <c r="A125" s="552" t="s">
        <v>1705</v>
      </c>
      <c r="B125" s="553" t="s">
        <v>1462</v>
      </c>
      <c r="C125" s="553" t="s">
        <v>1491</v>
      </c>
      <c r="D125" s="553" t="s">
        <v>1515</v>
      </c>
      <c r="E125" s="553" t="s">
        <v>1516</v>
      </c>
      <c r="F125" s="570">
        <v>1</v>
      </c>
      <c r="G125" s="570">
        <v>232</v>
      </c>
      <c r="H125" s="570">
        <v>1</v>
      </c>
      <c r="I125" s="570">
        <v>232</v>
      </c>
      <c r="J125" s="570"/>
      <c r="K125" s="570"/>
      <c r="L125" s="570"/>
      <c r="M125" s="570"/>
      <c r="N125" s="570">
        <v>2</v>
      </c>
      <c r="O125" s="570">
        <v>470</v>
      </c>
      <c r="P125" s="558">
        <v>2.0258620689655173</v>
      </c>
      <c r="Q125" s="571">
        <v>235</v>
      </c>
    </row>
    <row r="126" spans="1:17" ht="14.4" customHeight="1" x14ac:dyDescent="0.3">
      <c r="A126" s="552" t="s">
        <v>1705</v>
      </c>
      <c r="B126" s="553" t="s">
        <v>1462</v>
      </c>
      <c r="C126" s="553" t="s">
        <v>1491</v>
      </c>
      <c r="D126" s="553" t="s">
        <v>1517</v>
      </c>
      <c r="E126" s="553" t="s">
        <v>1518</v>
      </c>
      <c r="F126" s="570">
        <v>2</v>
      </c>
      <c r="G126" s="570">
        <v>232</v>
      </c>
      <c r="H126" s="570">
        <v>1</v>
      </c>
      <c r="I126" s="570">
        <v>116</v>
      </c>
      <c r="J126" s="570">
        <v>1</v>
      </c>
      <c r="K126" s="570">
        <v>116</v>
      </c>
      <c r="L126" s="570">
        <v>0.5</v>
      </c>
      <c r="M126" s="570">
        <v>116</v>
      </c>
      <c r="N126" s="570">
        <v>6</v>
      </c>
      <c r="O126" s="570">
        <v>708</v>
      </c>
      <c r="P126" s="558">
        <v>3.0517241379310347</v>
      </c>
      <c r="Q126" s="571">
        <v>118</v>
      </c>
    </row>
    <row r="127" spans="1:17" ht="14.4" customHeight="1" x14ac:dyDescent="0.3">
      <c r="A127" s="552" t="s">
        <v>1705</v>
      </c>
      <c r="B127" s="553" t="s">
        <v>1462</v>
      </c>
      <c r="C127" s="553" t="s">
        <v>1491</v>
      </c>
      <c r="D127" s="553" t="s">
        <v>1553</v>
      </c>
      <c r="E127" s="553" t="s">
        <v>1554</v>
      </c>
      <c r="F127" s="570"/>
      <c r="G127" s="570"/>
      <c r="H127" s="570"/>
      <c r="I127" s="570"/>
      <c r="J127" s="570"/>
      <c r="K127" s="570"/>
      <c r="L127" s="570"/>
      <c r="M127" s="570"/>
      <c r="N127" s="570">
        <v>2</v>
      </c>
      <c r="O127" s="570">
        <v>0</v>
      </c>
      <c r="P127" s="558"/>
      <c r="Q127" s="571">
        <v>0</v>
      </c>
    </row>
    <row r="128" spans="1:17" ht="14.4" customHeight="1" x14ac:dyDescent="0.3">
      <c r="A128" s="552" t="s">
        <v>1705</v>
      </c>
      <c r="B128" s="553" t="s">
        <v>1462</v>
      </c>
      <c r="C128" s="553" t="s">
        <v>1491</v>
      </c>
      <c r="D128" s="553" t="s">
        <v>1557</v>
      </c>
      <c r="E128" s="553" t="s">
        <v>1558</v>
      </c>
      <c r="F128" s="570">
        <v>1</v>
      </c>
      <c r="G128" s="570">
        <v>0</v>
      </c>
      <c r="H128" s="570"/>
      <c r="I128" s="570">
        <v>0</v>
      </c>
      <c r="J128" s="570"/>
      <c r="K128" s="570"/>
      <c r="L128" s="570"/>
      <c r="M128" s="570"/>
      <c r="N128" s="570"/>
      <c r="O128" s="570"/>
      <c r="P128" s="558"/>
      <c r="Q128" s="571"/>
    </row>
    <row r="129" spans="1:17" ht="14.4" customHeight="1" x14ac:dyDescent="0.3">
      <c r="A129" s="552" t="s">
        <v>1706</v>
      </c>
      <c r="B129" s="553" t="s">
        <v>1462</v>
      </c>
      <c r="C129" s="553" t="s">
        <v>1491</v>
      </c>
      <c r="D129" s="553" t="s">
        <v>1502</v>
      </c>
      <c r="E129" s="553" t="s">
        <v>1503</v>
      </c>
      <c r="F129" s="570"/>
      <c r="G129" s="570"/>
      <c r="H129" s="570"/>
      <c r="I129" s="570"/>
      <c r="J129" s="570">
        <v>4</v>
      </c>
      <c r="K129" s="570">
        <v>136</v>
      </c>
      <c r="L129" s="570"/>
      <c r="M129" s="570">
        <v>34</v>
      </c>
      <c r="N129" s="570"/>
      <c r="O129" s="570"/>
      <c r="P129" s="558"/>
      <c r="Q129" s="571"/>
    </row>
    <row r="130" spans="1:17" ht="14.4" customHeight="1" x14ac:dyDescent="0.3">
      <c r="A130" s="552" t="s">
        <v>1706</v>
      </c>
      <c r="B130" s="553" t="s">
        <v>1462</v>
      </c>
      <c r="C130" s="553" t="s">
        <v>1491</v>
      </c>
      <c r="D130" s="553" t="s">
        <v>1517</v>
      </c>
      <c r="E130" s="553" t="s">
        <v>1518</v>
      </c>
      <c r="F130" s="570"/>
      <c r="G130" s="570"/>
      <c r="H130" s="570"/>
      <c r="I130" s="570"/>
      <c r="J130" s="570">
        <v>3</v>
      </c>
      <c r="K130" s="570">
        <v>348</v>
      </c>
      <c r="L130" s="570"/>
      <c r="M130" s="570">
        <v>116</v>
      </c>
      <c r="N130" s="570"/>
      <c r="O130" s="570"/>
      <c r="P130" s="558"/>
      <c r="Q130" s="571"/>
    </row>
    <row r="131" spans="1:17" ht="14.4" customHeight="1" x14ac:dyDescent="0.3">
      <c r="A131" s="552" t="s">
        <v>1707</v>
      </c>
      <c r="B131" s="553" t="s">
        <v>1462</v>
      </c>
      <c r="C131" s="553" t="s">
        <v>1491</v>
      </c>
      <c r="D131" s="553" t="s">
        <v>1517</v>
      </c>
      <c r="E131" s="553" t="s">
        <v>1518</v>
      </c>
      <c r="F131" s="570"/>
      <c r="G131" s="570"/>
      <c r="H131" s="570"/>
      <c r="I131" s="570"/>
      <c r="J131" s="570">
        <v>2</v>
      </c>
      <c r="K131" s="570">
        <v>232</v>
      </c>
      <c r="L131" s="570"/>
      <c r="M131" s="570">
        <v>116</v>
      </c>
      <c r="N131" s="570">
        <v>2</v>
      </c>
      <c r="O131" s="570">
        <v>236</v>
      </c>
      <c r="P131" s="558"/>
      <c r="Q131" s="571">
        <v>118</v>
      </c>
    </row>
    <row r="132" spans="1:17" ht="14.4" customHeight="1" x14ac:dyDescent="0.3">
      <c r="A132" s="552" t="s">
        <v>1707</v>
      </c>
      <c r="B132" s="553" t="s">
        <v>1462</v>
      </c>
      <c r="C132" s="553" t="s">
        <v>1491</v>
      </c>
      <c r="D132" s="553" t="s">
        <v>1553</v>
      </c>
      <c r="E132" s="553" t="s">
        <v>1554</v>
      </c>
      <c r="F132" s="570"/>
      <c r="G132" s="570"/>
      <c r="H132" s="570"/>
      <c r="I132" s="570"/>
      <c r="J132" s="570"/>
      <c r="K132" s="570"/>
      <c r="L132" s="570"/>
      <c r="M132" s="570"/>
      <c r="N132" s="570">
        <v>1</v>
      </c>
      <c r="O132" s="570">
        <v>0</v>
      </c>
      <c r="P132" s="558"/>
      <c r="Q132" s="571">
        <v>0</v>
      </c>
    </row>
    <row r="133" spans="1:17" ht="14.4" customHeight="1" x14ac:dyDescent="0.3">
      <c r="A133" s="552" t="s">
        <v>1707</v>
      </c>
      <c r="B133" s="553" t="s">
        <v>1462</v>
      </c>
      <c r="C133" s="553" t="s">
        <v>1491</v>
      </c>
      <c r="D133" s="553" t="s">
        <v>1035</v>
      </c>
      <c r="E133" s="553" t="s">
        <v>1681</v>
      </c>
      <c r="F133" s="570"/>
      <c r="G133" s="570"/>
      <c r="H133" s="570"/>
      <c r="I133" s="570"/>
      <c r="J133" s="570"/>
      <c r="K133" s="570"/>
      <c r="L133" s="570"/>
      <c r="M133" s="570"/>
      <c r="N133" s="570">
        <v>2</v>
      </c>
      <c r="O133" s="570">
        <v>2386</v>
      </c>
      <c r="P133" s="558"/>
      <c r="Q133" s="571">
        <v>1193</v>
      </c>
    </row>
    <row r="134" spans="1:17" ht="14.4" customHeight="1" x14ac:dyDescent="0.3">
      <c r="A134" s="552" t="s">
        <v>1708</v>
      </c>
      <c r="B134" s="553" t="s">
        <v>1462</v>
      </c>
      <c r="C134" s="553" t="s">
        <v>1491</v>
      </c>
      <c r="D134" s="553" t="s">
        <v>1502</v>
      </c>
      <c r="E134" s="553" t="s">
        <v>1503</v>
      </c>
      <c r="F134" s="570">
        <v>3</v>
      </c>
      <c r="G134" s="570">
        <v>102</v>
      </c>
      <c r="H134" s="570">
        <v>1</v>
      </c>
      <c r="I134" s="570">
        <v>34</v>
      </c>
      <c r="J134" s="570"/>
      <c r="K134" s="570"/>
      <c r="L134" s="570"/>
      <c r="M134" s="570"/>
      <c r="N134" s="570"/>
      <c r="O134" s="570"/>
      <c r="P134" s="558"/>
      <c r="Q134" s="571"/>
    </row>
    <row r="135" spans="1:17" ht="14.4" customHeight="1" x14ac:dyDescent="0.3">
      <c r="A135" s="552" t="s">
        <v>1708</v>
      </c>
      <c r="B135" s="553" t="s">
        <v>1462</v>
      </c>
      <c r="C135" s="553" t="s">
        <v>1491</v>
      </c>
      <c r="D135" s="553" t="s">
        <v>1517</v>
      </c>
      <c r="E135" s="553" t="s">
        <v>1518</v>
      </c>
      <c r="F135" s="570"/>
      <c r="G135" s="570"/>
      <c r="H135" s="570"/>
      <c r="I135" s="570"/>
      <c r="J135" s="570">
        <v>1</v>
      </c>
      <c r="K135" s="570">
        <v>116</v>
      </c>
      <c r="L135" s="570"/>
      <c r="M135" s="570">
        <v>116</v>
      </c>
      <c r="N135" s="570"/>
      <c r="O135" s="570"/>
      <c r="P135" s="558"/>
      <c r="Q135" s="571"/>
    </row>
    <row r="136" spans="1:17" ht="14.4" customHeight="1" x14ac:dyDescent="0.3">
      <c r="A136" s="552" t="s">
        <v>468</v>
      </c>
      <c r="B136" s="553" t="s">
        <v>1462</v>
      </c>
      <c r="C136" s="553" t="s">
        <v>1491</v>
      </c>
      <c r="D136" s="553" t="s">
        <v>1561</v>
      </c>
      <c r="E136" s="553" t="s">
        <v>1562</v>
      </c>
      <c r="F136" s="570">
        <v>1</v>
      </c>
      <c r="G136" s="570">
        <v>81</v>
      </c>
      <c r="H136" s="570">
        <v>1</v>
      </c>
      <c r="I136" s="570">
        <v>81</v>
      </c>
      <c r="J136" s="570"/>
      <c r="K136" s="570"/>
      <c r="L136" s="570"/>
      <c r="M136" s="570"/>
      <c r="N136" s="570"/>
      <c r="O136" s="570"/>
      <c r="P136" s="558"/>
      <c r="Q136" s="571"/>
    </row>
    <row r="137" spans="1:17" ht="14.4" customHeight="1" x14ac:dyDescent="0.3">
      <c r="A137" s="552" t="s">
        <v>468</v>
      </c>
      <c r="B137" s="553" t="s">
        <v>1462</v>
      </c>
      <c r="C137" s="553" t="s">
        <v>1491</v>
      </c>
      <c r="D137" s="553" t="s">
        <v>1606</v>
      </c>
      <c r="E137" s="553" t="s">
        <v>1607</v>
      </c>
      <c r="F137" s="570">
        <v>4</v>
      </c>
      <c r="G137" s="570">
        <v>6304</v>
      </c>
      <c r="H137" s="570">
        <v>1</v>
      </c>
      <c r="I137" s="570">
        <v>1576</v>
      </c>
      <c r="J137" s="570"/>
      <c r="K137" s="570"/>
      <c r="L137" s="570"/>
      <c r="M137" s="570"/>
      <c r="N137" s="570"/>
      <c r="O137" s="570"/>
      <c r="P137" s="558"/>
      <c r="Q137" s="571"/>
    </row>
    <row r="138" spans="1:17" ht="14.4" customHeight="1" x14ac:dyDescent="0.3">
      <c r="A138" s="552" t="s">
        <v>468</v>
      </c>
      <c r="B138" s="553" t="s">
        <v>1462</v>
      </c>
      <c r="C138" s="553" t="s">
        <v>1491</v>
      </c>
      <c r="D138" s="553" t="s">
        <v>1614</v>
      </c>
      <c r="E138" s="553" t="s">
        <v>1615</v>
      </c>
      <c r="F138" s="570">
        <v>1</v>
      </c>
      <c r="G138" s="570">
        <v>3499</v>
      </c>
      <c r="H138" s="570">
        <v>1</v>
      </c>
      <c r="I138" s="570">
        <v>3499</v>
      </c>
      <c r="J138" s="570"/>
      <c r="K138" s="570"/>
      <c r="L138" s="570"/>
      <c r="M138" s="570"/>
      <c r="N138" s="570"/>
      <c r="O138" s="570"/>
      <c r="P138" s="558"/>
      <c r="Q138" s="571"/>
    </row>
    <row r="139" spans="1:17" ht="14.4" customHeight="1" x14ac:dyDescent="0.3">
      <c r="A139" s="552" t="s">
        <v>468</v>
      </c>
      <c r="B139" s="553" t="s">
        <v>1462</v>
      </c>
      <c r="C139" s="553" t="s">
        <v>1491</v>
      </c>
      <c r="D139" s="553" t="s">
        <v>1622</v>
      </c>
      <c r="E139" s="553" t="s">
        <v>1623</v>
      </c>
      <c r="F139" s="570">
        <v>1</v>
      </c>
      <c r="G139" s="570">
        <v>311</v>
      </c>
      <c r="H139" s="570">
        <v>1</v>
      </c>
      <c r="I139" s="570">
        <v>311</v>
      </c>
      <c r="J139" s="570"/>
      <c r="K139" s="570"/>
      <c r="L139" s="570"/>
      <c r="M139" s="570"/>
      <c r="N139" s="570"/>
      <c r="O139" s="570"/>
      <c r="P139" s="558"/>
      <c r="Q139" s="571"/>
    </row>
    <row r="140" spans="1:17" ht="14.4" customHeight="1" x14ac:dyDescent="0.3">
      <c r="A140" s="552" t="s">
        <v>1709</v>
      </c>
      <c r="B140" s="553" t="s">
        <v>1462</v>
      </c>
      <c r="C140" s="553" t="s">
        <v>1491</v>
      </c>
      <c r="D140" s="553" t="s">
        <v>1502</v>
      </c>
      <c r="E140" s="553" t="s">
        <v>1503</v>
      </c>
      <c r="F140" s="570">
        <v>2</v>
      </c>
      <c r="G140" s="570">
        <v>68</v>
      </c>
      <c r="H140" s="570">
        <v>1</v>
      </c>
      <c r="I140" s="570">
        <v>34</v>
      </c>
      <c r="J140" s="570"/>
      <c r="K140" s="570"/>
      <c r="L140" s="570"/>
      <c r="M140" s="570"/>
      <c r="N140" s="570">
        <v>1</v>
      </c>
      <c r="O140" s="570">
        <v>35</v>
      </c>
      <c r="P140" s="558">
        <v>0.51470588235294112</v>
      </c>
      <c r="Q140" s="571">
        <v>35</v>
      </c>
    </row>
    <row r="141" spans="1:17" ht="14.4" customHeight="1" x14ac:dyDescent="0.3">
      <c r="A141" s="552" t="s">
        <v>1709</v>
      </c>
      <c r="B141" s="553" t="s">
        <v>1462</v>
      </c>
      <c r="C141" s="553" t="s">
        <v>1491</v>
      </c>
      <c r="D141" s="553" t="s">
        <v>1515</v>
      </c>
      <c r="E141" s="553" t="s">
        <v>1516</v>
      </c>
      <c r="F141" s="570">
        <v>2</v>
      </c>
      <c r="G141" s="570">
        <v>464</v>
      </c>
      <c r="H141" s="570">
        <v>1</v>
      </c>
      <c r="I141" s="570">
        <v>232</v>
      </c>
      <c r="J141" s="570"/>
      <c r="K141" s="570"/>
      <c r="L141" s="570"/>
      <c r="M141" s="570"/>
      <c r="N141" s="570">
        <v>2</v>
      </c>
      <c r="O141" s="570">
        <v>470</v>
      </c>
      <c r="P141" s="558">
        <v>1.0129310344827587</v>
      </c>
      <c r="Q141" s="571">
        <v>235</v>
      </c>
    </row>
    <row r="142" spans="1:17" ht="14.4" customHeight="1" x14ac:dyDescent="0.3">
      <c r="A142" s="552" t="s">
        <v>1709</v>
      </c>
      <c r="B142" s="553" t="s">
        <v>1462</v>
      </c>
      <c r="C142" s="553" t="s">
        <v>1491</v>
      </c>
      <c r="D142" s="553" t="s">
        <v>1517</v>
      </c>
      <c r="E142" s="553" t="s">
        <v>1518</v>
      </c>
      <c r="F142" s="570">
        <v>1</v>
      </c>
      <c r="G142" s="570">
        <v>116</v>
      </c>
      <c r="H142" s="570">
        <v>1</v>
      </c>
      <c r="I142" s="570">
        <v>116</v>
      </c>
      <c r="J142" s="570">
        <v>2</v>
      </c>
      <c r="K142" s="570">
        <v>232</v>
      </c>
      <c r="L142" s="570">
        <v>2</v>
      </c>
      <c r="M142" s="570">
        <v>116</v>
      </c>
      <c r="N142" s="570">
        <v>4</v>
      </c>
      <c r="O142" s="570">
        <v>472</v>
      </c>
      <c r="P142" s="558">
        <v>4.068965517241379</v>
      </c>
      <c r="Q142" s="571">
        <v>118</v>
      </c>
    </row>
    <row r="143" spans="1:17" ht="14.4" customHeight="1" x14ac:dyDescent="0.3">
      <c r="A143" s="552" t="s">
        <v>1709</v>
      </c>
      <c r="B143" s="553" t="s">
        <v>1462</v>
      </c>
      <c r="C143" s="553" t="s">
        <v>1491</v>
      </c>
      <c r="D143" s="553" t="s">
        <v>1525</v>
      </c>
      <c r="E143" s="553" t="s">
        <v>1526</v>
      </c>
      <c r="F143" s="570">
        <v>1</v>
      </c>
      <c r="G143" s="570">
        <v>659</v>
      </c>
      <c r="H143" s="570">
        <v>1</v>
      </c>
      <c r="I143" s="570">
        <v>659</v>
      </c>
      <c r="J143" s="570"/>
      <c r="K143" s="570"/>
      <c r="L143" s="570"/>
      <c r="M143" s="570"/>
      <c r="N143" s="570"/>
      <c r="O143" s="570"/>
      <c r="P143" s="558"/>
      <c r="Q143" s="571"/>
    </row>
    <row r="144" spans="1:17" ht="14.4" customHeight="1" x14ac:dyDescent="0.3">
      <c r="A144" s="552" t="s">
        <v>1709</v>
      </c>
      <c r="B144" s="553" t="s">
        <v>1462</v>
      </c>
      <c r="C144" s="553" t="s">
        <v>1491</v>
      </c>
      <c r="D144" s="553" t="s">
        <v>1553</v>
      </c>
      <c r="E144" s="553" t="s">
        <v>1554</v>
      </c>
      <c r="F144" s="570"/>
      <c r="G144" s="570"/>
      <c r="H144" s="570"/>
      <c r="I144" s="570"/>
      <c r="J144" s="570"/>
      <c r="K144" s="570"/>
      <c r="L144" s="570"/>
      <c r="M144" s="570"/>
      <c r="N144" s="570">
        <v>3</v>
      </c>
      <c r="O144" s="570">
        <v>0</v>
      </c>
      <c r="P144" s="558"/>
      <c r="Q144" s="571">
        <v>0</v>
      </c>
    </row>
    <row r="145" spans="1:17" ht="14.4" customHeight="1" x14ac:dyDescent="0.3">
      <c r="A145" s="552" t="s">
        <v>1709</v>
      </c>
      <c r="B145" s="553" t="s">
        <v>1462</v>
      </c>
      <c r="C145" s="553" t="s">
        <v>1491</v>
      </c>
      <c r="D145" s="553" t="s">
        <v>1561</v>
      </c>
      <c r="E145" s="553" t="s">
        <v>1562</v>
      </c>
      <c r="F145" s="570">
        <v>1</v>
      </c>
      <c r="G145" s="570">
        <v>81</v>
      </c>
      <c r="H145" s="570">
        <v>1</v>
      </c>
      <c r="I145" s="570">
        <v>81</v>
      </c>
      <c r="J145" s="570"/>
      <c r="K145" s="570"/>
      <c r="L145" s="570"/>
      <c r="M145" s="570"/>
      <c r="N145" s="570"/>
      <c r="O145" s="570"/>
      <c r="P145" s="558"/>
      <c r="Q145" s="571"/>
    </row>
    <row r="146" spans="1:17" ht="14.4" customHeight="1" x14ac:dyDescent="0.3">
      <c r="A146" s="552" t="s">
        <v>1710</v>
      </c>
      <c r="B146" s="553" t="s">
        <v>1462</v>
      </c>
      <c r="C146" s="553" t="s">
        <v>1491</v>
      </c>
      <c r="D146" s="553" t="s">
        <v>1502</v>
      </c>
      <c r="E146" s="553" t="s">
        <v>1503</v>
      </c>
      <c r="F146" s="570"/>
      <c r="G146" s="570"/>
      <c r="H146" s="570"/>
      <c r="I146" s="570"/>
      <c r="J146" s="570">
        <v>1</v>
      </c>
      <c r="K146" s="570">
        <v>34</v>
      </c>
      <c r="L146" s="570"/>
      <c r="M146" s="570">
        <v>34</v>
      </c>
      <c r="N146" s="570"/>
      <c r="O146" s="570"/>
      <c r="P146" s="558"/>
      <c r="Q146" s="571"/>
    </row>
    <row r="147" spans="1:17" ht="14.4" customHeight="1" x14ac:dyDescent="0.3">
      <c r="A147" s="552" t="s">
        <v>1710</v>
      </c>
      <c r="B147" s="553" t="s">
        <v>1462</v>
      </c>
      <c r="C147" s="553" t="s">
        <v>1491</v>
      </c>
      <c r="D147" s="553" t="s">
        <v>1515</v>
      </c>
      <c r="E147" s="553" t="s">
        <v>1516</v>
      </c>
      <c r="F147" s="570">
        <v>2</v>
      </c>
      <c r="G147" s="570">
        <v>464</v>
      </c>
      <c r="H147" s="570">
        <v>1</v>
      </c>
      <c r="I147" s="570">
        <v>232</v>
      </c>
      <c r="J147" s="570">
        <v>2</v>
      </c>
      <c r="K147" s="570">
        <v>464</v>
      </c>
      <c r="L147" s="570">
        <v>1</v>
      </c>
      <c r="M147" s="570">
        <v>232</v>
      </c>
      <c r="N147" s="570">
        <v>1</v>
      </c>
      <c r="O147" s="570">
        <v>235</v>
      </c>
      <c r="P147" s="558">
        <v>0.50646551724137934</v>
      </c>
      <c r="Q147" s="571">
        <v>235</v>
      </c>
    </row>
    <row r="148" spans="1:17" ht="14.4" customHeight="1" x14ac:dyDescent="0.3">
      <c r="A148" s="552" t="s">
        <v>1710</v>
      </c>
      <c r="B148" s="553" t="s">
        <v>1462</v>
      </c>
      <c r="C148" s="553" t="s">
        <v>1491</v>
      </c>
      <c r="D148" s="553" t="s">
        <v>1517</v>
      </c>
      <c r="E148" s="553" t="s">
        <v>1518</v>
      </c>
      <c r="F148" s="570"/>
      <c r="G148" s="570"/>
      <c r="H148" s="570"/>
      <c r="I148" s="570"/>
      <c r="J148" s="570">
        <v>3</v>
      </c>
      <c r="K148" s="570">
        <v>354</v>
      </c>
      <c r="L148" s="570"/>
      <c r="M148" s="570">
        <v>118</v>
      </c>
      <c r="N148" s="570">
        <v>7</v>
      </c>
      <c r="O148" s="570">
        <v>826</v>
      </c>
      <c r="P148" s="558"/>
      <c r="Q148" s="571">
        <v>118</v>
      </c>
    </row>
    <row r="149" spans="1:17" ht="14.4" customHeight="1" x14ac:dyDescent="0.3">
      <c r="A149" s="552" t="s">
        <v>1710</v>
      </c>
      <c r="B149" s="553" t="s">
        <v>1462</v>
      </c>
      <c r="C149" s="553" t="s">
        <v>1491</v>
      </c>
      <c r="D149" s="553" t="s">
        <v>1557</v>
      </c>
      <c r="E149" s="553" t="s">
        <v>1558</v>
      </c>
      <c r="F149" s="570">
        <v>1</v>
      </c>
      <c r="G149" s="570">
        <v>0</v>
      </c>
      <c r="H149" s="570"/>
      <c r="I149" s="570">
        <v>0</v>
      </c>
      <c r="J149" s="570"/>
      <c r="K149" s="570"/>
      <c r="L149" s="570"/>
      <c r="M149" s="570"/>
      <c r="N149" s="570"/>
      <c r="O149" s="570"/>
      <c r="P149" s="558"/>
      <c r="Q149" s="571"/>
    </row>
    <row r="150" spans="1:17" ht="14.4" customHeight="1" x14ac:dyDescent="0.3">
      <c r="A150" s="552" t="s">
        <v>1710</v>
      </c>
      <c r="B150" s="553" t="s">
        <v>1462</v>
      </c>
      <c r="C150" s="553" t="s">
        <v>1491</v>
      </c>
      <c r="D150" s="553" t="s">
        <v>1561</v>
      </c>
      <c r="E150" s="553" t="s">
        <v>1562</v>
      </c>
      <c r="F150" s="570"/>
      <c r="G150" s="570"/>
      <c r="H150" s="570"/>
      <c r="I150" s="570"/>
      <c r="J150" s="570"/>
      <c r="K150" s="570"/>
      <c r="L150" s="570"/>
      <c r="M150" s="570"/>
      <c r="N150" s="570">
        <v>1</v>
      </c>
      <c r="O150" s="570">
        <v>82</v>
      </c>
      <c r="P150" s="558"/>
      <c r="Q150" s="571">
        <v>82</v>
      </c>
    </row>
    <row r="151" spans="1:17" ht="14.4" customHeight="1" x14ac:dyDescent="0.3">
      <c r="A151" s="552" t="s">
        <v>1710</v>
      </c>
      <c r="B151" s="553" t="s">
        <v>1462</v>
      </c>
      <c r="C151" s="553" t="s">
        <v>1491</v>
      </c>
      <c r="D151" s="553" t="s">
        <v>1567</v>
      </c>
      <c r="E151" s="553" t="s">
        <v>1568</v>
      </c>
      <c r="F151" s="570"/>
      <c r="G151" s="570"/>
      <c r="H151" s="570"/>
      <c r="I151" s="570"/>
      <c r="J151" s="570"/>
      <c r="K151" s="570"/>
      <c r="L151" s="570"/>
      <c r="M151" s="570"/>
      <c r="N151" s="570">
        <v>1</v>
      </c>
      <c r="O151" s="570">
        <v>492</v>
      </c>
      <c r="P151" s="558"/>
      <c r="Q151" s="571">
        <v>492</v>
      </c>
    </row>
    <row r="152" spans="1:17" ht="14.4" customHeight="1" x14ac:dyDescent="0.3">
      <c r="A152" s="552" t="s">
        <v>1710</v>
      </c>
      <c r="B152" s="553" t="s">
        <v>1462</v>
      </c>
      <c r="C152" s="553" t="s">
        <v>1491</v>
      </c>
      <c r="D152" s="553" t="s">
        <v>1604</v>
      </c>
      <c r="E152" s="553" t="s">
        <v>1605</v>
      </c>
      <c r="F152" s="570"/>
      <c r="G152" s="570"/>
      <c r="H152" s="570"/>
      <c r="I152" s="570"/>
      <c r="J152" s="570"/>
      <c r="K152" s="570"/>
      <c r="L152" s="570"/>
      <c r="M152" s="570"/>
      <c r="N152" s="570">
        <v>1</v>
      </c>
      <c r="O152" s="570">
        <v>628</v>
      </c>
      <c r="P152" s="558"/>
      <c r="Q152" s="571">
        <v>628</v>
      </c>
    </row>
    <row r="153" spans="1:17" ht="14.4" customHeight="1" x14ac:dyDescent="0.3">
      <c r="A153" s="552" t="s">
        <v>1710</v>
      </c>
      <c r="B153" s="553" t="s">
        <v>1462</v>
      </c>
      <c r="C153" s="553" t="s">
        <v>1491</v>
      </c>
      <c r="D153" s="553" t="s">
        <v>1612</v>
      </c>
      <c r="E153" s="553" t="s">
        <v>1613</v>
      </c>
      <c r="F153" s="570"/>
      <c r="G153" s="570"/>
      <c r="H153" s="570"/>
      <c r="I153" s="570"/>
      <c r="J153" s="570"/>
      <c r="K153" s="570"/>
      <c r="L153" s="570"/>
      <c r="M153" s="570"/>
      <c r="N153" s="570">
        <v>1</v>
      </c>
      <c r="O153" s="570">
        <v>243</v>
      </c>
      <c r="P153" s="558"/>
      <c r="Q153" s="571">
        <v>243</v>
      </c>
    </row>
    <row r="154" spans="1:17" ht="14.4" customHeight="1" x14ac:dyDescent="0.3">
      <c r="A154" s="552" t="s">
        <v>1710</v>
      </c>
      <c r="B154" s="553" t="s">
        <v>1462</v>
      </c>
      <c r="C154" s="553" t="s">
        <v>1491</v>
      </c>
      <c r="D154" s="553" t="s">
        <v>1035</v>
      </c>
      <c r="E154" s="553" t="s">
        <v>1681</v>
      </c>
      <c r="F154" s="570"/>
      <c r="G154" s="570"/>
      <c r="H154" s="570"/>
      <c r="I154" s="570"/>
      <c r="J154" s="570">
        <v>1</v>
      </c>
      <c r="K154" s="570">
        <v>1186</v>
      </c>
      <c r="L154" s="570"/>
      <c r="M154" s="570">
        <v>1186</v>
      </c>
      <c r="N154" s="570"/>
      <c r="O154" s="570"/>
      <c r="P154" s="558"/>
      <c r="Q154" s="571"/>
    </row>
    <row r="155" spans="1:17" ht="14.4" customHeight="1" x14ac:dyDescent="0.3">
      <c r="A155" s="552" t="s">
        <v>1711</v>
      </c>
      <c r="B155" s="553" t="s">
        <v>1462</v>
      </c>
      <c r="C155" s="553" t="s">
        <v>1491</v>
      </c>
      <c r="D155" s="553" t="s">
        <v>1515</v>
      </c>
      <c r="E155" s="553" t="s">
        <v>1516</v>
      </c>
      <c r="F155" s="570">
        <v>2</v>
      </c>
      <c r="G155" s="570">
        <v>464</v>
      </c>
      <c r="H155" s="570">
        <v>1</v>
      </c>
      <c r="I155" s="570">
        <v>232</v>
      </c>
      <c r="J155" s="570"/>
      <c r="K155" s="570"/>
      <c r="L155" s="570"/>
      <c r="M155" s="570"/>
      <c r="N155" s="570"/>
      <c r="O155" s="570"/>
      <c r="P155" s="558"/>
      <c r="Q155" s="571"/>
    </row>
    <row r="156" spans="1:17" ht="14.4" customHeight="1" x14ac:dyDescent="0.3">
      <c r="A156" s="552" t="s">
        <v>1711</v>
      </c>
      <c r="B156" s="553" t="s">
        <v>1462</v>
      </c>
      <c r="C156" s="553" t="s">
        <v>1491</v>
      </c>
      <c r="D156" s="553" t="s">
        <v>1517</v>
      </c>
      <c r="E156" s="553" t="s">
        <v>1518</v>
      </c>
      <c r="F156" s="570">
        <v>4</v>
      </c>
      <c r="G156" s="570">
        <v>464</v>
      </c>
      <c r="H156" s="570">
        <v>1</v>
      </c>
      <c r="I156" s="570">
        <v>116</v>
      </c>
      <c r="J156" s="570"/>
      <c r="K156" s="570"/>
      <c r="L156" s="570"/>
      <c r="M156" s="570"/>
      <c r="N156" s="570">
        <v>4</v>
      </c>
      <c r="O156" s="570">
        <v>472</v>
      </c>
      <c r="P156" s="558">
        <v>1.0172413793103448</v>
      </c>
      <c r="Q156" s="571">
        <v>118</v>
      </c>
    </row>
    <row r="157" spans="1:17" ht="14.4" customHeight="1" x14ac:dyDescent="0.3">
      <c r="A157" s="552" t="s">
        <v>1712</v>
      </c>
      <c r="B157" s="553" t="s">
        <v>1462</v>
      </c>
      <c r="C157" s="553" t="s">
        <v>1491</v>
      </c>
      <c r="D157" s="553" t="s">
        <v>1502</v>
      </c>
      <c r="E157" s="553" t="s">
        <v>1503</v>
      </c>
      <c r="F157" s="570">
        <v>1</v>
      </c>
      <c r="G157" s="570">
        <v>34</v>
      </c>
      <c r="H157" s="570">
        <v>1</v>
      </c>
      <c r="I157" s="570">
        <v>34</v>
      </c>
      <c r="J157" s="570">
        <v>1</v>
      </c>
      <c r="K157" s="570">
        <v>34</v>
      </c>
      <c r="L157" s="570">
        <v>1</v>
      </c>
      <c r="M157" s="570">
        <v>34</v>
      </c>
      <c r="N157" s="570"/>
      <c r="O157" s="570"/>
      <c r="P157" s="558"/>
      <c r="Q157" s="571"/>
    </row>
    <row r="158" spans="1:17" ht="14.4" customHeight="1" x14ac:dyDescent="0.3">
      <c r="A158" s="552" t="s">
        <v>1712</v>
      </c>
      <c r="B158" s="553" t="s">
        <v>1462</v>
      </c>
      <c r="C158" s="553" t="s">
        <v>1491</v>
      </c>
      <c r="D158" s="553" t="s">
        <v>1515</v>
      </c>
      <c r="E158" s="553" t="s">
        <v>1516</v>
      </c>
      <c r="F158" s="570">
        <v>3</v>
      </c>
      <c r="G158" s="570">
        <v>696</v>
      </c>
      <c r="H158" s="570">
        <v>1</v>
      </c>
      <c r="I158" s="570">
        <v>232</v>
      </c>
      <c r="J158" s="570"/>
      <c r="K158" s="570"/>
      <c r="L158" s="570"/>
      <c r="M158" s="570"/>
      <c r="N158" s="570">
        <v>1</v>
      </c>
      <c r="O158" s="570">
        <v>235</v>
      </c>
      <c r="P158" s="558">
        <v>0.33764367816091956</v>
      </c>
      <c r="Q158" s="571">
        <v>235</v>
      </c>
    </row>
    <row r="159" spans="1:17" ht="14.4" customHeight="1" x14ac:dyDescent="0.3">
      <c r="A159" s="552" t="s">
        <v>1712</v>
      </c>
      <c r="B159" s="553" t="s">
        <v>1462</v>
      </c>
      <c r="C159" s="553" t="s">
        <v>1491</v>
      </c>
      <c r="D159" s="553" t="s">
        <v>1517</v>
      </c>
      <c r="E159" s="553" t="s">
        <v>1518</v>
      </c>
      <c r="F159" s="570">
        <v>5</v>
      </c>
      <c r="G159" s="570">
        <v>580</v>
      </c>
      <c r="H159" s="570">
        <v>1</v>
      </c>
      <c r="I159" s="570">
        <v>116</v>
      </c>
      <c r="J159" s="570">
        <v>12</v>
      </c>
      <c r="K159" s="570">
        <v>1396</v>
      </c>
      <c r="L159" s="570">
        <v>2.4068965517241381</v>
      </c>
      <c r="M159" s="570">
        <v>116.33333333333333</v>
      </c>
      <c r="N159" s="570">
        <v>2</v>
      </c>
      <c r="O159" s="570">
        <v>236</v>
      </c>
      <c r="P159" s="558">
        <v>0.40689655172413791</v>
      </c>
      <c r="Q159" s="571">
        <v>118</v>
      </c>
    </row>
    <row r="160" spans="1:17" ht="14.4" customHeight="1" x14ac:dyDescent="0.3">
      <c r="A160" s="552" t="s">
        <v>1712</v>
      </c>
      <c r="B160" s="553" t="s">
        <v>1462</v>
      </c>
      <c r="C160" s="553" t="s">
        <v>1491</v>
      </c>
      <c r="D160" s="553" t="s">
        <v>1527</v>
      </c>
      <c r="E160" s="553" t="s">
        <v>1528</v>
      </c>
      <c r="F160" s="570"/>
      <c r="G160" s="570"/>
      <c r="H160" s="570"/>
      <c r="I160" s="570"/>
      <c r="J160" s="570">
        <v>1</v>
      </c>
      <c r="K160" s="570">
        <v>1009</v>
      </c>
      <c r="L160" s="570"/>
      <c r="M160" s="570">
        <v>1009</v>
      </c>
      <c r="N160" s="570"/>
      <c r="O160" s="570"/>
      <c r="P160" s="558"/>
      <c r="Q160" s="571"/>
    </row>
    <row r="161" spans="1:17" ht="14.4" customHeight="1" x14ac:dyDescent="0.3">
      <c r="A161" s="552" t="s">
        <v>1712</v>
      </c>
      <c r="B161" s="553" t="s">
        <v>1462</v>
      </c>
      <c r="C161" s="553" t="s">
        <v>1491</v>
      </c>
      <c r="D161" s="553" t="s">
        <v>1553</v>
      </c>
      <c r="E161" s="553" t="s">
        <v>1554</v>
      </c>
      <c r="F161" s="570"/>
      <c r="G161" s="570"/>
      <c r="H161" s="570"/>
      <c r="I161" s="570"/>
      <c r="J161" s="570"/>
      <c r="K161" s="570"/>
      <c r="L161" s="570"/>
      <c r="M161" s="570"/>
      <c r="N161" s="570">
        <v>1</v>
      </c>
      <c r="O161" s="570">
        <v>0</v>
      </c>
      <c r="P161" s="558"/>
      <c r="Q161" s="571">
        <v>0</v>
      </c>
    </row>
    <row r="162" spans="1:17" ht="14.4" customHeight="1" x14ac:dyDescent="0.3">
      <c r="A162" s="552" t="s">
        <v>1712</v>
      </c>
      <c r="B162" s="553" t="s">
        <v>1462</v>
      </c>
      <c r="C162" s="553" t="s">
        <v>1491</v>
      </c>
      <c r="D162" s="553" t="s">
        <v>1600</v>
      </c>
      <c r="E162" s="553" t="s">
        <v>1601</v>
      </c>
      <c r="F162" s="570"/>
      <c r="G162" s="570"/>
      <c r="H162" s="570"/>
      <c r="I162" s="570"/>
      <c r="J162" s="570">
        <v>2</v>
      </c>
      <c r="K162" s="570">
        <v>702</v>
      </c>
      <c r="L162" s="570"/>
      <c r="M162" s="570">
        <v>351</v>
      </c>
      <c r="N162" s="570"/>
      <c r="O162" s="570"/>
      <c r="P162" s="558"/>
      <c r="Q162" s="571"/>
    </row>
    <row r="163" spans="1:17" ht="14.4" customHeight="1" thickBot="1" x14ac:dyDescent="0.35">
      <c r="A163" s="560" t="s">
        <v>1712</v>
      </c>
      <c r="B163" s="561" t="s">
        <v>1462</v>
      </c>
      <c r="C163" s="561" t="s">
        <v>1491</v>
      </c>
      <c r="D163" s="561" t="s">
        <v>1035</v>
      </c>
      <c r="E163" s="561" t="s">
        <v>1681</v>
      </c>
      <c r="F163" s="572"/>
      <c r="G163" s="572"/>
      <c r="H163" s="572"/>
      <c r="I163" s="572"/>
      <c r="J163" s="572">
        <v>1</v>
      </c>
      <c r="K163" s="572">
        <v>1186</v>
      </c>
      <c r="L163" s="572"/>
      <c r="M163" s="572">
        <v>1186</v>
      </c>
      <c r="N163" s="572"/>
      <c r="O163" s="572"/>
      <c r="P163" s="566"/>
      <c r="Q163" s="57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5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5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40" t="s">
        <v>286</v>
      </c>
      <c r="B2" s="231"/>
      <c r="C2" s="114"/>
      <c r="D2" s="231"/>
      <c r="E2" s="114"/>
      <c r="F2" s="231"/>
      <c r="G2" s="232"/>
      <c r="H2" s="231"/>
      <c r="I2" s="114"/>
      <c r="J2" s="231"/>
      <c r="K2" s="114"/>
      <c r="L2" s="231"/>
      <c r="M2" s="232"/>
    </row>
    <row r="3" spans="1:13" ht="14.4" customHeight="1" thickBot="1" x14ac:dyDescent="0.35">
      <c r="A3" s="225" t="s">
        <v>132</v>
      </c>
      <c r="B3" s="226">
        <f>SUBTOTAL(9,B6:B1048576)</f>
        <v>133404</v>
      </c>
      <c r="C3" s="227">
        <f t="shared" ref="C3:L3" si="0">SUBTOTAL(9,C6:C1048576)</f>
        <v>2</v>
      </c>
      <c r="D3" s="227">
        <f t="shared" si="0"/>
        <v>28681</v>
      </c>
      <c r="E3" s="227">
        <f t="shared" si="0"/>
        <v>0.21509835831977142</v>
      </c>
      <c r="F3" s="227">
        <f t="shared" si="0"/>
        <v>3727</v>
      </c>
      <c r="G3" s="230">
        <f>IF(B3&lt;&gt;0,F3/B3,"")</f>
        <v>2.7937693022697972E-2</v>
      </c>
      <c r="H3" s="226">
        <f t="shared" si="0"/>
        <v>0</v>
      </c>
      <c r="I3" s="227">
        <f t="shared" si="0"/>
        <v>0</v>
      </c>
      <c r="J3" s="227">
        <f t="shared" si="0"/>
        <v>0</v>
      </c>
      <c r="K3" s="227">
        <f t="shared" si="0"/>
        <v>0</v>
      </c>
      <c r="L3" s="227">
        <f t="shared" si="0"/>
        <v>0</v>
      </c>
      <c r="M3" s="228" t="str">
        <f>IF(H3&lt;&gt;0,L3/H3,"")</f>
        <v/>
      </c>
    </row>
    <row r="4" spans="1:13" ht="14.4" customHeight="1" x14ac:dyDescent="0.3">
      <c r="A4" s="422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3" customFormat="1" ht="14.4" customHeight="1" thickBot="1" x14ac:dyDescent="0.35">
      <c r="A5" s="642"/>
      <c r="B5" s="643">
        <v>2013</v>
      </c>
      <c r="C5" s="644"/>
      <c r="D5" s="644">
        <v>2014</v>
      </c>
      <c r="E5" s="644"/>
      <c r="F5" s="644">
        <v>2015</v>
      </c>
      <c r="G5" s="619" t="s">
        <v>2</v>
      </c>
      <c r="H5" s="643">
        <v>2013</v>
      </c>
      <c r="I5" s="644"/>
      <c r="J5" s="644">
        <v>2014</v>
      </c>
      <c r="K5" s="644"/>
      <c r="L5" s="644">
        <v>2015</v>
      </c>
      <c r="M5" s="619" t="s">
        <v>2</v>
      </c>
    </row>
    <row r="6" spans="1:13" ht="14.4" customHeight="1" x14ac:dyDescent="0.3">
      <c r="A6" s="577" t="s">
        <v>1714</v>
      </c>
      <c r="B6" s="620">
        <v>65</v>
      </c>
      <c r="C6" s="546">
        <v>1</v>
      </c>
      <c r="D6" s="620"/>
      <c r="E6" s="546"/>
      <c r="F6" s="620"/>
      <c r="G6" s="551"/>
      <c r="H6" s="620"/>
      <c r="I6" s="546"/>
      <c r="J6" s="620"/>
      <c r="K6" s="546"/>
      <c r="L6" s="620"/>
      <c r="M6" s="125"/>
    </row>
    <row r="7" spans="1:13" ht="14.4" customHeight="1" thickBot="1" x14ac:dyDescent="0.35">
      <c r="A7" s="622" t="s">
        <v>1715</v>
      </c>
      <c r="B7" s="621">
        <v>133339</v>
      </c>
      <c r="C7" s="561">
        <v>1</v>
      </c>
      <c r="D7" s="621">
        <v>28681</v>
      </c>
      <c r="E7" s="561">
        <v>0.21509835831977142</v>
      </c>
      <c r="F7" s="621">
        <v>3727</v>
      </c>
      <c r="G7" s="566">
        <v>2.7951312069237056E-2</v>
      </c>
      <c r="H7" s="621"/>
      <c r="I7" s="561"/>
      <c r="J7" s="621"/>
      <c r="K7" s="561"/>
      <c r="L7" s="621"/>
      <c r="M7" s="56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2" customWidth="1"/>
    <col min="8" max="9" width="9.33203125" style="212" hidden="1" customWidth="1"/>
    <col min="10" max="11" width="11.109375" style="212" customWidth="1"/>
    <col min="12" max="13" width="9.33203125" style="212" hidden="1" customWidth="1"/>
    <col min="14" max="15" width="11.109375" style="212" customWidth="1"/>
    <col min="16" max="16" width="11.109375" style="215" customWidth="1"/>
    <col min="17" max="17" width="11.109375" style="212" customWidth="1"/>
    <col min="18" max="16384" width="8.88671875" style="133"/>
  </cols>
  <sheetData>
    <row r="1" spans="1:17" ht="18.600000000000001" customHeight="1" thickBot="1" x14ac:dyDescent="0.4">
      <c r="A1" s="339" t="s">
        <v>1748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40" t="s">
        <v>286</v>
      </c>
      <c r="B2" s="114"/>
      <c r="C2" s="114"/>
      <c r="D2" s="114"/>
      <c r="E2" s="11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2"/>
      <c r="Q2" s="235"/>
    </row>
    <row r="3" spans="1:17" ht="14.4" customHeight="1" thickBot="1" x14ac:dyDescent="0.35">
      <c r="E3" s="87" t="s">
        <v>132</v>
      </c>
      <c r="F3" s="103">
        <f t="shared" ref="F3:O3" si="0">SUBTOTAL(9,F6:F1048576)</f>
        <v>740</v>
      </c>
      <c r="G3" s="107">
        <f t="shared" si="0"/>
        <v>133404</v>
      </c>
      <c r="H3" s="108"/>
      <c r="I3" s="108"/>
      <c r="J3" s="103">
        <f t="shared" si="0"/>
        <v>161</v>
      </c>
      <c r="K3" s="107">
        <f t="shared" si="0"/>
        <v>28681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2.7937693022697972E-2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0" t="s">
        <v>71</v>
      </c>
      <c r="E4" s="413" t="s">
        <v>11</v>
      </c>
      <c r="F4" s="418">
        <v>2013</v>
      </c>
      <c r="G4" s="419"/>
      <c r="H4" s="106"/>
      <c r="I4" s="106"/>
      <c r="J4" s="418">
        <v>2014</v>
      </c>
      <c r="K4" s="419"/>
      <c r="L4" s="106"/>
      <c r="M4" s="106"/>
      <c r="N4" s="418">
        <v>2015</v>
      </c>
      <c r="O4" s="419"/>
      <c r="P4" s="421" t="s">
        <v>2</v>
      </c>
      <c r="Q4" s="410" t="s">
        <v>99</v>
      </c>
    </row>
    <row r="5" spans="1:17" ht="14.4" customHeight="1" thickBot="1" x14ac:dyDescent="0.35">
      <c r="A5" s="629"/>
      <c r="B5" s="628"/>
      <c r="C5" s="629"/>
      <c r="D5" s="637"/>
      <c r="E5" s="631"/>
      <c r="F5" s="638" t="s">
        <v>72</v>
      </c>
      <c r="G5" s="639" t="s">
        <v>14</v>
      </c>
      <c r="H5" s="640"/>
      <c r="I5" s="640"/>
      <c r="J5" s="638" t="s">
        <v>72</v>
      </c>
      <c r="K5" s="639" t="s">
        <v>14</v>
      </c>
      <c r="L5" s="640"/>
      <c r="M5" s="640"/>
      <c r="N5" s="638" t="s">
        <v>72</v>
      </c>
      <c r="O5" s="639" t="s">
        <v>14</v>
      </c>
      <c r="P5" s="641"/>
      <c r="Q5" s="636"/>
    </row>
    <row r="6" spans="1:17" ht="14.4" customHeight="1" x14ac:dyDescent="0.3">
      <c r="A6" s="545" t="s">
        <v>1716</v>
      </c>
      <c r="B6" s="546" t="s">
        <v>1717</v>
      </c>
      <c r="C6" s="546" t="s">
        <v>1491</v>
      </c>
      <c r="D6" s="546" t="s">
        <v>1718</v>
      </c>
      <c r="E6" s="546" t="s">
        <v>1719</v>
      </c>
      <c r="F6" s="119">
        <v>1</v>
      </c>
      <c r="G6" s="119">
        <v>65</v>
      </c>
      <c r="H6" s="119">
        <v>1</v>
      </c>
      <c r="I6" s="119">
        <v>65</v>
      </c>
      <c r="J6" s="119"/>
      <c r="K6" s="119"/>
      <c r="L6" s="119"/>
      <c r="M6" s="119"/>
      <c r="N6" s="119"/>
      <c r="O6" s="119"/>
      <c r="P6" s="551"/>
      <c r="Q6" s="569"/>
    </row>
    <row r="7" spans="1:17" ht="14.4" customHeight="1" x14ac:dyDescent="0.3">
      <c r="A7" s="552" t="s">
        <v>1720</v>
      </c>
      <c r="B7" s="553" t="s">
        <v>1721</v>
      </c>
      <c r="C7" s="553" t="s">
        <v>1491</v>
      </c>
      <c r="D7" s="553" t="s">
        <v>1722</v>
      </c>
      <c r="E7" s="553" t="s">
        <v>1723</v>
      </c>
      <c r="F7" s="570">
        <v>246</v>
      </c>
      <c r="G7" s="570">
        <v>13038</v>
      </c>
      <c r="H7" s="570">
        <v>1</v>
      </c>
      <c r="I7" s="570">
        <v>53</v>
      </c>
      <c r="J7" s="570">
        <v>58</v>
      </c>
      <c r="K7" s="570">
        <v>3106</v>
      </c>
      <c r="L7" s="570">
        <v>0.23822672188986041</v>
      </c>
      <c r="M7" s="570">
        <v>53.551724137931032</v>
      </c>
      <c r="N7" s="570">
        <v>8</v>
      </c>
      <c r="O7" s="570">
        <v>432</v>
      </c>
      <c r="P7" s="558">
        <v>3.3133916244822828E-2</v>
      </c>
      <c r="Q7" s="571">
        <v>54</v>
      </c>
    </row>
    <row r="8" spans="1:17" ht="14.4" customHeight="1" x14ac:dyDescent="0.3">
      <c r="A8" s="552" t="s">
        <v>1720</v>
      </c>
      <c r="B8" s="553" t="s">
        <v>1721</v>
      </c>
      <c r="C8" s="553" t="s">
        <v>1491</v>
      </c>
      <c r="D8" s="553" t="s">
        <v>1724</v>
      </c>
      <c r="E8" s="553" t="s">
        <v>1725</v>
      </c>
      <c r="F8" s="570">
        <v>41</v>
      </c>
      <c r="G8" s="570">
        <v>6888</v>
      </c>
      <c r="H8" s="570">
        <v>1</v>
      </c>
      <c r="I8" s="570">
        <v>168</v>
      </c>
      <c r="J8" s="570">
        <v>16</v>
      </c>
      <c r="K8" s="570">
        <v>2697</v>
      </c>
      <c r="L8" s="570">
        <v>0.3915505226480836</v>
      </c>
      <c r="M8" s="570">
        <v>168.5625</v>
      </c>
      <c r="N8" s="570"/>
      <c r="O8" s="570"/>
      <c r="P8" s="558"/>
      <c r="Q8" s="571"/>
    </row>
    <row r="9" spans="1:17" ht="14.4" customHeight="1" x14ac:dyDescent="0.3">
      <c r="A9" s="552" t="s">
        <v>1720</v>
      </c>
      <c r="B9" s="553" t="s">
        <v>1721</v>
      </c>
      <c r="C9" s="553" t="s">
        <v>1491</v>
      </c>
      <c r="D9" s="553" t="s">
        <v>1726</v>
      </c>
      <c r="E9" s="553" t="s">
        <v>1727</v>
      </c>
      <c r="F9" s="570">
        <v>2</v>
      </c>
      <c r="G9" s="570">
        <v>632</v>
      </c>
      <c r="H9" s="570">
        <v>1</v>
      </c>
      <c r="I9" s="570">
        <v>316</v>
      </c>
      <c r="J9" s="570"/>
      <c r="K9" s="570"/>
      <c r="L9" s="570"/>
      <c r="M9" s="570"/>
      <c r="N9" s="570"/>
      <c r="O9" s="570"/>
      <c r="P9" s="558"/>
      <c r="Q9" s="571"/>
    </row>
    <row r="10" spans="1:17" ht="14.4" customHeight="1" x14ac:dyDescent="0.3">
      <c r="A10" s="552" t="s">
        <v>1720</v>
      </c>
      <c r="B10" s="553" t="s">
        <v>1721</v>
      </c>
      <c r="C10" s="553" t="s">
        <v>1491</v>
      </c>
      <c r="D10" s="553" t="s">
        <v>1728</v>
      </c>
      <c r="E10" s="553" t="s">
        <v>1729</v>
      </c>
      <c r="F10" s="570">
        <v>10</v>
      </c>
      <c r="G10" s="570">
        <v>3380</v>
      </c>
      <c r="H10" s="570">
        <v>1</v>
      </c>
      <c r="I10" s="570">
        <v>338</v>
      </c>
      <c r="J10" s="570"/>
      <c r="K10" s="570"/>
      <c r="L10" s="570"/>
      <c r="M10" s="570"/>
      <c r="N10" s="570"/>
      <c r="O10" s="570"/>
      <c r="P10" s="558"/>
      <c r="Q10" s="571"/>
    </row>
    <row r="11" spans="1:17" ht="14.4" customHeight="1" x14ac:dyDescent="0.3">
      <c r="A11" s="552" t="s">
        <v>1720</v>
      </c>
      <c r="B11" s="553" t="s">
        <v>1721</v>
      </c>
      <c r="C11" s="553" t="s">
        <v>1491</v>
      </c>
      <c r="D11" s="553" t="s">
        <v>1730</v>
      </c>
      <c r="E11" s="553" t="s">
        <v>1731</v>
      </c>
      <c r="F11" s="570">
        <v>81</v>
      </c>
      <c r="G11" s="570">
        <v>22761</v>
      </c>
      <c r="H11" s="570">
        <v>1</v>
      </c>
      <c r="I11" s="570">
        <v>281</v>
      </c>
      <c r="J11" s="570">
        <v>16</v>
      </c>
      <c r="K11" s="570">
        <v>4523</v>
      </c>
      <c r="L11" s="570">
        <v>0.1987171038179342</v>
      </c>
      <c r="M11" s="570">
        <v>282.6875</v>
      </c>
      <c r="N11" s="570">
        <v>3</v>
      </c>
      <c r="O11" s="570">
        <v>855</v>
      </c>
      <c r="P11" s="558">
        <v>3.7564254646105182E-2</v>
      </c>
      <c r="Q11" s="571">
        <v>285</v>
      </c>
    </row>
    <row r="12" spans="1:17" ht="14.4" customHeight="1" x14ac:dyDescent="0.3">
      <c r="A12" s="552" t="s">
        <v>1720</v>
      </c>
      <c r="B12" s="553" t="s">
        <v>1721</v>
      </c>
      <c r="C12" s="553" t="s">
        <v>1491</v>
      </c>
      <c r="D12" s="553" t="s">
        <v>1732</v>
      </c>
      <c r="E12" s="553" t="s">
        <v>1733</v>
      </c>
      <c r="F12" s="570">
        <v>33</v>
      </c>
      <c r="G12" s="570">
        <v>15048</v>
      </c>
      <c r="H12" s="570">
        <v>1</v>
      </c>
      <c r="I12" s="570">
        <v>456</v>
      </c>
      <c r="J12" s="570">
        <v>8</v>
      </c>
      <c r="K12" s="570">
        <v>3672</v>
      </c>
      <c r="L12" s="570">
        <v>0.24401913875598086</v>
      </c>
      <c r="M12" s="570">
        <v>459</v>
      </c>
      <c r="N12" s="570">
        <v>1</v>
      </c>
      <c r="O12" s="570">
        <v>462</v>
      </c>
      <c r="P12" s="558">
        <v>3.0701754385964911E-2</v>
      </c>
      <c r="Q12" s="571">
        <v>462</v>
      </c>
    </row>
    <row r="13" spans="1:17" ht="14.4" customHeight="1" x14ac:dyDescent="0.3">
      <c r="A13" s="552" t="s">
        <v>1720</v>
      </c>
      <c r="B13" s="553" t="s">
        <v>1721</v>
      </c>
      <c r="C13" s="553" t="s">
        <v>1491</v>
      </c>
      <c r="D13" s="553" t="s">
        <v>1734</v>
      </c>
      <c r="E13" s="553" t="s">
        <v>1735</v>
      </c>
      <c r="F13" s="570">
        <v>89</v>
      </c>
      <c r="G13" s="570">
        <v>30972</v>
      </c>
      <c r="H13" s="570">
        <v>1</v>
      </c>
      <c r="I13" s="570">
        <v>348</v>
      </c>
      <c r="J13" s="570">
        <v>23</v>
      </c>
      <c r="K13" s="570">
        <v>8082</v>
      </c>
      <c r="L13" s="570">
        <v>0.26094537001162338</v>
      </c>
      <c r="M13" s="570">
        <v>351.39130434782606</v>
      </c>
      <c r="N13" s="570">
        <v>4</v>
      </c>
      <c r="O13" s="570">
        <v>1424</v>
      </c>
      <c r="P13" s="558">
        <v>4.5977011494252873E-2</v>
      </c>
      <c r="Q13" s="571">
        <v>356</v>
      </c>
    </row>
    <row r="14" spans="1:17" ht="14.4" customHeight="1" x14ac:dyDescent="0.3">
      <c r="A14" s="552" t="s">
        <v>1720</v>
      </c>
      <c r="B14" s="553" t="s">
        <v>1721</v>
      </c>
      <c r="C14" s="553" t="s">
        <v>1491</v>
      </c>
      <c r="D14" s="553" t="s">
        <v>1736</v>
      </c>
      <c r="E14" s="553" t="s">
        <v>1737</v>
      </c>
      <c r="F14" s="570">
        <v>1</v>
      </c>
      <c r="G14" s="570">
        <v>115</v>
      </c>
      <c r="H14" s="570">
        <v>1</v>
      </c>
      <c r="I14" s="570">
        <v>115</v>
      </c>
      <c r="J14" s="570">
        <v>1</v>
      </c>
      <c r="K14" s="570">
        <v>115</v>
      </c>
      <c r="L14" s="570">
        <v>1</v>
      </c>
      <c r="M14" s="570">
        <v>115</v>
      </c>
      <c r="N14" s="570"/>
      <c r="O14" s="570"/>
      <c r="P14" s="558"/>
      <c r="Q14" s="571"/>
    </row>
    <row r="15" spans="1:17" ht="14.4" customHeight="1" x14ac:dyDescent="0.3">
      <c r="A15" s="552" t="s">
        <v>1720</v>
      </c>
      <c r="B15" s="553" t="s">
        <v>1721</v>
      </c>
      <c r="C15" s="553" t="s">
        <v>1491</v>
      </c>
      <c r="D15" s="553" t="s">
        <v>1738</v>
      </c>
      <c r="E15" s="553" t="s">
        <v>1739</v>
      </c>
      <c r="F15" s="570">
        <v>1</v>
      </c>
      <c r="G15" s="570">
        <v>1245</v>
      </c>
      <c r="H15" s="570">
        <v>1</v>
      </c>
      <c r="I15" s="570">
        <v>1245</v>
      </c>
      <c r="J15" s="570"/>
      <c r="K15" s="570"/>
      <c r="L15" s="570"/>
      <c r="M15" s="570"/>
      <c r="N15" s="570"/>
      <c r="O15" s="570"/>
      <c r="P15" s="558"/>
      <c r="Q15" s="571"/>
    </row>
    <row r="16" spans="1:17" ht="14.4" customHeight="1" x14ac:dyDescent="0.3">
      <c r="A16" s="552" t="s">
        <v>1720</v>
      </c>
      <c r="B16" s="553" t="s">
        <v>1721</v>
      </c>
      <c r="C16" s="553" t="s">
        <v>1491</v>
      </c>
      <c r="D16" s="553" t="s">
        <v>1740</v>
      </c>
      <c r="E16" s="553" t="s">
        <v>1741</v>
      </c>
      <c r="F16" s="570">
        <v>4</v>
      </c>
      <c r="G16" s="570">
        <v>1716</v>
      </c>
      <c r="H16" s="570">
        <v>1</v>
      </c>
      <c r="I16" s="570">
        <v>429</v>
      </c>
      <c r="J16" s="570"/>
      <c r="K16" s="570"/>
      <c r="L16" s="570"/>
      <c r="M16" s="570"/>
      <c r="N16" s="570"/>
      <c r="O16" s="570"/>
      <c r="P16" s="558"/>
      <c r="Q16" s="571"/>
    </row>
    <row r="17" spans="1:17" ht="14.4" customHeight="1" x14ac:dyDescent="0.3">
      <c r="A17" s="552" t="s">
        <v>1720</v>
      </c>
      <c r="B17" s="553" t="s">
        <v>1721</v>
      </c>
      <c r="C17" s="553" t="s">
        <v>1491</v>
      </c>
      <c r="D17" s="553" t="s">
        <v>1742</v>
      </c>
      <c r="E17" s="553" t="s">
        <v>1743</v>
      </c>
      <c r="F17" s="570">
        <v>6</v>
      </c>
      <c r="G17" s="570">
        <v>318</v>
      </c>
      <c r="H17" s="570">
        <v>1</v>
      </c>
      <c r="I17" s="570">
        <v>53</v>
      </c>
      <c r="J17" s="570"/>
      <c r="K17" s="570"/>
      <c r="L17" s="570"/>
      <c r="M17" s="570"/>
      <c r="N17" s="570">
        <v>4</v>
      </c>
      <c r="O17" s="570">
        <v>216</v>
      </c>
      <c r="P17" s="558">
        <v>0.67924528301886788</v>
      </c>
      <c r="Q17" s="571">
        <v>54</v>
      </c>
    </row>
    <row r="18" spans="1:17" ht="14.4" customHeight="1" x14ac:dyDescent="0.3">
      <c r="A18" s="552" t="s">
        <v>1720</v>
      </c>
      <c r="B18" s="553" t="s">
        <v>1721</v>
      </c>
      <c r="C18" s="553" t="s">
        <v>1491</v>
      </c>
      <c r="D18" s="553" t="s">
        <v>1744</v>
      </c>
      <c r="E18" s="553" t="s">
        <v>1745</v>
      </c>
      <c r="F18" s="570">
        <v>224</v>
      </c>
      <c r="G18" s="570">
        <v>36960</v>
      </c>
      <c r="H18" s="570">
        <v>1</v>
      </c>
      <c r="I18" s="570">
        <v>165</v>
      </c>
      <c r="J18" s="570">
        <v>39</v>
      </c>
      <c r="K18" s="570">
        <v>6486</v>
      </c>
      <c r="L18" s="570">
        <v>0.175487012987013</v>
      </c>
      <c r="M18" s="570">
        <v>166.30769230769232</v>
      </c>
      <c r="N18" s="570">
        <v>2</v>
      </c>
      <c r="O18" s="570">
        <v>338</v>
      </c>
      <c r="P18" s="558">
        <v>9.1450216450216452E-3</v>
      </c>
      <c r="Q18" s="571">
        <v>169</v>
      </c>
    </row>
    <row r="19" spans="1:17" ht="14.4" customHeight="1" thickBot="1" x14ac:dyDescent="0.35">
      <c r="A19" s="560" t="s">
        <v>1720</v>
      </c>
      <c r="B19" s="561" t="s">
        <v>1721</v>
      </c>
      <c r="C19" s="561" t="s">
        <v>1491</v>
      </c>
      <c r="D19" s="561" t="s">
        <v>1746</v>
      </c>
      <c r="E19" s="561" t="s">
        <v>1747</v>
      </c>
      <c r="F19" s="572">
        <v>1</v>
      </c>
      <c r="G19" s="572">
        <v>266</v>
      </c>
      <c r="H19" s="572">
        <v>1</v>
      </c>
      <c r="I19" s="572">
        <v>266</v>
      </c>
      <c r="J19" s="572"/>
      <c r="K19" s="572"/>
      <c r="L19" s="572"/>
      <c r="M19" s="572"/>
      <c r="N19" s="572"/>
      <c r="O19" s="572"/>
      <c r="P19" s="566"/>
      <c r="Q19" s="573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40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26.037520000000001</v>
      </c>
      <c r="C5" s="29">
        <v>39.537849999999999</v>
      </c>
      <c r="D5" s="8"/>
      <c r="E5" s="120">
        <v>53.241059999999997</v>
      </c>
      <c r="F5" s="28">
        <v>62.548055602295662</v>
      </c>
      <c r="G5" s="119">
        <f>E5-F5</f>
        <v>-9.3069956022956646</v>
      </c>
      <c r="H5" s="125">
        <f>IF(F5&lt;0.00000001,"",E5/F5)</f>
        <v>0.85120247923495684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460.94376999999997</v>
      </c>
      <c r="C6" s="31">
        <v>514.64157</v>
      </c>
      <c r="D6" s="8"/>
      <c r="E6" s="121">
        <v>405.15715999999998</v>
      </c>
      <c r="F6" s="30">
        <v>708.86805596244869</v>
      </c>
      <c r="G6" s="122">
        <f>E6-F6</f>
        <v>-303.71089596244872</v>
      </c>
      <c r="H6" s="126">
        <f>IF(F6&lt;0.00000001,"",E6/F6)</f>
        <v>0.57155511042165319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3488.4432599999991</v>
      </c>
      <c r="C7" s="31">
        <v>3464.7649700000043</v>
      </c>
      <c r="D7" s="8"/>
      <c r="E7" s="121">
        <v>3301.338700000003</v>
      </c>
      <c r="F7" s="30">
        <v>3382.6665601208638</v>
      </c>
      <c r="G7" s="122">
        <f>E7-F7</f>
        <v>-81.327860120860805</v>
      </c>
      <c r="H7" s="126">
        <f>IF(F7&lt;0.00000001,"",E7/F7)</f>
        <v>0.97595747062992966</v>
      </c>
    </row>
    <row r="8" spans="1:8" ht="14.4" customHeight="1" thickBot="1" x14ac:dyDescent="0.35">
      <c r="A8" s="1" t="s">
        <v>76</v>
      </c>
      <c r="B8" s="11">
        <v>573.26639000000034</v>
      </c>
      <c r="C8" s="33">
        <v>737.25608000000102</v>
      </c>
      <c r="D8" s="8"/>
      <c r="E8" s="123">
        <v>638.63396000000012</v>
      </c>
      <c r="F8" s="32">
        <v>635.25209902413656</v>
      </c>
      <c r="G8" s="124">
        <f>E8-F8</f>
        <v>3.3818609758635603</v>
      </c>
      <c r="H8" s="127">
        <f>IF(F8&lt;0.00000001,"",E8/F8)</f>
        <v>1.0053236517928217</v>
      </c>
    </row>
    <row r="9" spans="1:8" ht="14.4" customHeight="1" thickBot="1" x14ac:dyDescent="0.35">
      <c r="A9" s="2" t="s">
        <v>77</v>
      </c>
      <c r="B9" s="3">
        <v>4548.6909399999995</v>
      </c>
      <c r="C9" s="35">
        <v>4756.2004700000052</v>
      </c>
      <c r="D9" s="8"/>
      <c r="E9" s="3">
        <v>4398.3708800000031</v>
      </c>
      <c r="F9" s="34">
        <v>4789.3347707097446</v>
      </c>
      <c r="G9" s="34">
        <f>E9-F9</f>
        <v>-390.96389070974146</v>
      </c>
      <c r="H9" s="128">
        <f>IF(F9&lt;0.00000001,"",E9/F9)</f>
        <v>0.91836780901164616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1220.758</v>
      </c>
      <c r="C11" s="29">
        <f>IF(ISERROR(VLOOKUP("Celkem:",'ZV Vykáz.-A'!A:F,4,0)),0,VLOOKUP("Celkem:",'ZV Vykáz.-A'!A:F,4,0)/1000)</f>
        <v>1244.636</v>
      </c>
      <c r="D11" s="8"/>
      <c r="E11" s="120">
        <f>IF(ISERROR(VLOOKUP("Celkem:",'ZV Vykáz.-A'!A:F,6,0)),0,VLOOKUP("Celkem:",'ZV Vykáz.-A'!A:F,6,0)/1000)</f>
        <v>1450.0956799999999</v>
      </c>
      <c r="F11" s="28">
        <f>B11</f>
        <v>1220.758</v>
      </c>
      <c r="G11" s="119">
        <f>E11-F11</f>
        <v>229.33767999999986</v>
      </c>
      <c r="H11" s="125">
        <f>IF(F11&lt;0.00000001,"",E11/F11)</f>
        <v>1.1878649822487339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1220.758</v>
      </c>
      <c r="C13" s="37">
        <f>SUM(C11:C12)</f>
        <v>1244.636</v>
      </c>
      <c r="D13" s="8"/>
      <c r="E13" s="5">
        <f>SUM(E11:E12)</f>
        <v>1450.0956799999999</v>
      </c>
      <c r="F13" s="36">
        <f>SUM(F11:F12)</f>
        <v>1220.758</v>
      </c>
      <c r="G13" s="36">
        <f>E13-F13</f>
        <v>229.33767999999986</v>
      </c>
      <c r="H13" s="129">
        <f>IF(F13&lt;0.00000001,"",E13/F13)</f>
        <v>1.1878649822487339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0.26837567469466284</v>
      </c>
      <c r="C15" s="39">
        <f>IF(C9=0,"",C13/C9)</f>
        <v>0.26168703523970649</v>
      </c>
      <c r="D15" s="8"/>
      <c r="E15" s="6">
        <f>IF(E9=0,"",E13/E9)</f>
        <v>0.32968926895041623</v>
      </c>
      <c r="F15" s="38">
        <f>IF(F9=0,"",F13/F9)</f>
        <v>0.25489093129714391</v>
      </c>
      <c r="G15" s="38">
        <f>IF(ISERROR(F15-E15),"",E15-F15)</f>
        <v>7.4798337653272318E-2</v>
      </c>
      <c r="H15" s="130">
        <f>IF(ISERROR(F15-E15),"",IF(F15&lt;0.00000001,"",E15/F15))</f>
        <v>1.2934523298754586</v>
      </c>
    </row>
    <row r="17" spans="1:8" ht="14.4" customHeight="1" x14ac:dyDescent="0.3">
      <c r="A17" s="116" t="s">
        <v>165</v>
      </c>
    </row>
    <row r="18" spans="1:8" ht="14.4" customHeight="1" x14ac:dyDescent="0.3">
      <c r="A18" s="293" t="s">
        <v>206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205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40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3"/>
      <c r="B3" s="204" t="s">
        <v>82</v>
      </c>
      <c r="C3" s="205" t="s">
        <v>83</v>
      </c>
      <c r="D3" s="205" t="s">
        <v>84</v>
      </c>
      <c r="E3" s="204" t="s">
        <v>85</v>
      </c>
      <c r="F3" s="205" t="s">
        <v>86</v>
      </c>
      <c r="G3" s="205" t="s">
        <v>87</v>
      </c>
      <c r="H3" s="205" t="s">
        <v>88</v>
      </c>
      <c r="I3" s="205" t="s">
        <v>89</v>
      </c>
      <c r="J3" s="205" t="s">
        <v>90</v>
      </c>
      <c r="K3" s="205" t="s">
        <v>91</v>
      </c>
      <c r="L3" s="205" t="s">
        <v>92</v>
      </c>
      <c r="M3" s="205" t="s">
        <v>93</v>
      </c>
    </row>
    <row r="4" spans="1:13" ht="14.4" customHeight="1" x14ac:dyDescent="0.3">
      <c r="A4" s="203" t="s">
        <v>81</v>
      </c>
      <c r="B4" s="206">
        <f>(B10+B8)/B6</f>
        <v>0.31834463573835248</v>
      </c>
      <c r="C4" s="206">
        <f t="shared" ref="C4:M4" si="0">(C10+C8)/C6</f>
        <v>0.31398339732062364</v>
      </c>
      <c r="D4" s="206">
        <f t="shared" si="0"/>
        <v>0.33531302451149991</v>
      </c>
      <c r="E4" s="206">
        <f t="shared" si="0"/>
        <v>0.32968926440327828</v>
      </c>
      <c r="F4" s="206">
        <f t="shared" si="0"/>
        <v>0.32968926440327828</v>
      </c>
      <c r="G4" s="206">
        <f t="shared" si="0"/>
        <v>0.32968926440327828</v>
      </c>
      <c r="H4" s="206">
        <f t="shared" si="0"/>
        <v>0.32968926440327828</v>
      </c>
      <c r="I4" s="206">
        <f t="shared" si="0"/>
        <v>0.32968926440327828</v>
      </c>
      <c r="J4" s="206">
        <f t="shared" si="0"/>
        <v>0.32968926440327828</v>
      </c>
      <c r="K4" s="206">
        <f t="shared" si="0"/>
        <v>0.32968926440327828</v>
      </c>
      <c r="L4" s="206">
        <f t="shared" si="0"/>
        <v>0.32968926440327828</v>
      </c>
      <c r="M4" s="206">
        <f t="shared" si="0"/>
        <v>0.32968926440327828</v>
      </c>
    </row>
    <row r="5" spans="1:13" ht="14.4" customHeight="1" x14ac:dyDescent="0.3">
      <c r="A5" s="207" t="s">
        <v>53</v>
      </c>
      <c r="B5" s="206">
        <f>IF(ISERROR(VLOOKUP($A5,'Man Tab'!$A:$Q,COLUMN()+2,0)),0,VLOOKUP($A5,'Man Tab'!$A:$Q,COLUMN()+2,0))</f>
        <v>1005.5957100000001</v>
      </c>
      <c r="C5" s="206">
        <f>IF(ISERROR(VLOOKUP($A5,'Man Tab'!$A:$Q,COLUMN()+2,0)),0,VLOOKUP($A5,'Man Tab'!$A:$Q,COLUMN()+2,0))</f>
        <v>1118.3000300000001</v>
      </c>
      <c r="D5" s="206">
        <f>IF(ISERROR(VLOOKUP($A5,'Man Tab'!$A:$Q,COLUMN()+2,0)),0,VLOOKUP($A5,'Man Tab'!$A:$Q,COLUMN()+2,0))</f>
        <v>1164.5986499999999</v>
      </c>
      <c r="E5" s="206">
        <f>IF(ISERROR(VLOOKUP($A5,'Man Tab'!$A:$Q,COLUMN()+2,0)),0,VLOOKUP($A5,'Man Tab'!$A:$Q,COLUMN()+2,0))</f>
        <v>1109.8764900000001</v>
      </c>
      <c r="F5" s="206">
        <f>IF(ISERROR(VLOOKUP($A5,'Man Tab'!$A:$Q,COLUMN()+2,0)),0,VLOOKUP($A5,'Man Tab'!$A:$Q,COLUMN()+2,0))</f>
        <v>0</v>
      </c>
      <c r="G5" s="206">
        <f>IF(ISERROR(VLOOKUP($A5,'Man Tab'!$A:$Q,COLUMN()+2,0)),0,VLOOKUP($A5,'Man Tab'!$A:$Q,COLUMN()+2,0))</f>
        <v>0</v>
      </c>
      <c r="H5" s="206">
        <f>IF(ISERROR(VLOOKUP($A5,'Man Tab'!$A:$Q,COLUMN()+2,0)),0,VLOOKUP($A5,'Man Tab'!$A:$Q,COLUMN()+2,0))</f>
        <v>0</v>
      </c>
      <c r="I5" s="206">
        <f>IF(ISERROR(VLOOKUP($A5,'Man Tab'!$A:$Q,COLUMN()+2,0)),0,VLOOKUP($A5,'Man Tab'!$A:$Q,COLUMN()+2,0))</f>
        <v>0</v>
      </c>
      <c r="J5" s="206">
        <f>IF(ISERROR(VLOOKUP($A5,'Man Tab'!$A:$Q,COLUMN()+2,0)),0,VLOOKUP($A5,'Man Tab'!$A:$Q,COLUMN()+2,0))</f>
        <v>0</v>
      </c>
      <c r="K5" s="206">
        <f>IF(ISERROR(VLOOKUP($A5,'Man Tab'!$A:$Q,COLUMN()+2,0)),0,VLOOKUP($A5,'Man Tab'!$A:$Q,COLUMN()+2,0))</f>
        <v>0</v>
      </c>
      <c r="L5" s="206">
        <f>IF(ISERROR(VLOOKUP($A5,'Man Tab'!$A:$Q,COLUMN()+2,0)),0,VLOOKUP($A5,'Man Tab'!$A:$Q,COLUMN()+2,0))</f>
        <v>0</v>
      </c>
      <c r="M5" s="206">
        <f>IF(ISERROR(VLOOKUP($A5,'Man Tab'!$A:$Q,COLUMN()+2,0)),0,VLOOKUP($A5,'Man Tab'!$A:$Q,COLUMN()+2,0))</f>
        <v>0</v>
      </c>
    </row>
    <row r="6" spans="1:13" ht="14.4" customHeight="1" x14ac:dyDescent="0.3">
      <c r="A6" s="207" t="s">
        <v>77</v>
      </c>
      <c r="B6" s="208">
        <f>B5</f>
        <v>1005.5957100000001</v>
      </c>
      <c r="C6" s="208">
        <f t="shared" ref="C6:M6" si="1">C5+B6</f>
        <v>2123.8957399999999</v>
      </c>
      <c r="D6" s="208">
        <f t="shared" si="1"/>
        <v>3288.4943899999998</v>
      </c>
      <c r="E6" s="208">
        <f t="shared" si="1"/>
        <v>4398.3708800000004</v>
      </c>
      <c r="F6" s="208">
        <f t="shared" si="1"/>
        <v>4398.3708800000004</v>
      </c>
      <c r="G6" s="208">
        <f t="shared" si="1"/>
        <v>4398.3708800000004</v>
      </c>
      <c r="H6" s="208">
        <f t="shared" si="1"/>
        <v>4398.3708800000004</v>
      </c>
      <c r="I6" s="208">
        <f t="shared" si="1"/>
        <v>4398.3708800000004</v>
      </c>
      <c r="J6" s="208">
        <f t="shared" si="1"/>
        <v>4398.3708800000004</v>
      </c>
      <c r="K6" s="208">
        <f t="shared" si="1"/>
        <v>4398.3708800000004</v>
      </c>
      <c r="L6" s="208">
        <f t="shared" si="1"/>
        <v>4398.3708800000004</v>
      </c>
      <c r="M6" s="208">
        <f t="shared" si="1"/>
        <v>4398.3708800000004</v>
      </c>
    </row>
    <row r="7" spans="1:13" ht="14.4" customHeight="1" x14ac:dyDescent="0.3">
      <c r="A7" s="207" t="s">
        <v>103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4.4" customHeight="1" x14ac:dyDescent="0.3">
      <c r="A8" s="207" t="s">
        <v>78</v>
      </c>
      <c r="B8" s="208">
        <f>B7*30</f>
        <v>0</v>
      </c>
      <c r="C8" s="208">
        <f t="shared" ref="C8:M8" si="2">C7*30</f>
        <v>0</v>
      </c>
      <c r="D8" s="208">
        <f t="shared" si="2"/>
        <v>0</v>
      </c>
      <c r="E8" s="208">
        <f t="shared" si="2"/>
        <v>0</v>
      </c>
      <c r="F8" s="208">
        <f t="shared" si="2"/>
        <v>0</v>
      </c>
      <c r="G8" s="208">
        <f t="shared" si="2"/>
        <v>0</v>
      </c>
      <c r="H8" s="208">
        <f t="shared" si="2"/>
        <v>0</v>
      </c>
      <c r="I8" s="208">
        <f t="shared" si="2"/>
        <v>0</v>
      </c>
      <c r="J8" s="208">
        <f t="shared" si="2"/>
        <v>0</v>
      </c>
      <c r="K8" s="208">
        <f t="shared" si="2"/>
        <v>0</v>
      </c>
      <c r="L8" s="208">
        <f t="shared" si="2"/>
        <v>0</v>
      </c>
      <c r="M8" s="208">
        <f t="shared" si="2"/>
        <v>0</v>
      </c>
    </row>
    <row r="9" spans="1:13" ht="14.4" customHeight="1" x14ac:dyDescent="0.3">
      <c r="A9" s="207" t="s">
        <v>104</v>
      </c>
      <c r="B9" s="207">
        <v>320126</v>
      </c>
      <c r="C9" s="207">
        <v>346742</v>
      </c>
      <c r="D9" s="207">
        <v>435807</v>
      </c>
      <c r="E9" s="207">
        <v>347420.66000000003</v>
      </c>
      <c r="F9" s="207">
        <v>0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</row>
    <row r="10" spans="1:13" ht="14.4" customHeight="1" x14ac:dyDescent="0.3">
      <c r="A10" s="207" t="s">
        <v>79</v>
      </c>
      <c r="B10" s="208">
        <f>B9/1000</f>
        <v>320.12599999999998</v>
      </c>
      <c r="C10" s="208">
        <f t="shared" ref="C10:M10" si="3">C9/1000+B10</f>
        <v>666.86799999999994</v>
      </c>
      <c r="D10" s="208">
        <f t="shared" si="3"/>
        <v>1102.675</v>
      </c>
      <c r="E10" s="208">
        <f t="shared" si="3"/>
        <v>1450.09566</v>
      </c>
      <c r="F10" s="208">
        <f t="shared" si="3"/>
        <v>1450.09566</v>
      </c>
      <c r="G10" s="208">
        <f t="shared" si="3"/>
        <v>1450.09566</v>
      </c>
      <c r="H10" s="208">
        <f t="shared" si="3"/>
        <v>1450.09566</v>
      </c>
      <c r="I10" s="208">
        <f t="shared" si="3"/>
        <v>1450.09566</v>
      </c>
      <c r="J10" s="208">
        <f t="shared" si="3"/>
        <v>1450.09566</v>
      </c>
      <c r="K10" s="208">
        <f t="shared" si="3"/>
        <v>1450.09566</v>
      </c>
      <c r="L10" s="208">
        <f t="shared" si="3"/>
        <v>1450.09566</v>
      </c>
      <c r="M10" s="208">
        <f t="shared" si="3"/>
        <v>1450.09566</v>
      </c>
    </row>
    <row r="11" spans="1:13" ht="14.4" customHeight="1" x14ac:dyDescent="0.3">
      <c r="A11" s="203"/>
      <c r="B11" s="203" t="s">
        <v>94</v>
      </c>
      <c r="C11" s="203">
        <f ca="1">IF(MONTH(TODAY())=1,12,MONTH(TODAY())-1)</f>
        <v>4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</row>
    <row r="12" spans="1:13" ht="14.4" customHeight="1" x14ac:dyDescent="0.3">
      <c r="A12" s="203">
        <v>0</v>
      </c>
      <c r="B12" s="206">
        <f>IF(ISERROR(HI!F15),#REF!,HI!F15)</f>
        <v>0.25489093129714391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</row>
    <row r="13" spans="1:13" ht="14.4" customHeight="1" x14ac:dyDescent="0.3">
      <c r="A13" s="203">
        <v>1</v>
      </c>
      <c r="B13" s="206">
        <f>IF(ISERROR(HI!F15),#REF!,HI!F15)</f>
        <v>0.25489093129714391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9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9" customFormat="1" ht="14.4" customHeight="1" thickBot="1" x14ac:dyDescent="0.3">
      <c r="A2" s="240" t="s">
        <v>286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20.456150000000001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53.241059999999997</v>
      </c>
      <c r="Q7" s="96">
        <v>0.85120247923400005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2126.6041678873398</v>
      </c>
      <c r="C9" s="52">
        <v>177.217013990612</v>
      </c>
      <c r="D9" s="52">
        <v>35.609560000000002</v>
      </c>
      <c r="E9" s="52">
        <v>138.37891999999999</v>
      </c>
      <c r="F9" s="52">
        <v>146.95581000000001</v>
      </c>
      <c r="G9" s="52">
        <v>84.212869999999995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405.15715999999998</v>
      </c>
      <c r="Q9" s="96">
        <v>0.57155511042100005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10.116059999999999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22.39601</v>
      </c>
      <c r="Q11" s="96">
        <v>1.3551396758959999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5.5399999999999998E-2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12.325570000000001</v>
      </c>
      <c r="Q12" s="96">
        <v>0.99020638644400005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2.6426400000000001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19.287749999999999</v>
      </c>
      <c r="Q13" s="96">
        <v>0.32325839007000001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30.652000000000001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135.755</v>
      </c>
      <c r="Q14" s="96">
        <v>1.0714886514849999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2.51233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10.890470000000001</v>
      </c>
      <c r="Q17" s="96">
        <v>0.18419967557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39.683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43.997</v>
      </c>
      <c r="Q18" s="96" t="s">
        <v>287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30.24558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136.66748999999999</v>
      </c>
      <c r="Q19" s="96">
        <v>1.0922496346649999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826.74296000000004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3301.3386999999998</v>
      </c>
      <c r="Q20" s="96">
        <v>0.97595747062899996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57.658000000000001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235.73699999999999</v>
      </c>
      <c r="Q21" s="96">
        <v>1.0003024317860001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 t="s">
        <v>287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0</v>
      </c>
      <c r="C24" s="52">
        <v>2.2737367544323201E-13</v>
      </c>
      <c r="D24" s="52">
        <v>3.89757</v>
      </c>
      <c r="E24" s="52">
        <v>2.00021</v>
      </c>
      <c r="F24" s="52">
        <v>3.8999999999999999E-4</v>
      </c>
      <c r="G24" s="52">
        <v>4.8994999999989997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10.79767</v>
      </c>
      <c r="Q24" s="96" t="s">
        <v>287</v>
      </c>
    </row>
    <row r="25" spans="1:17" ht="14.4" customHeight="1" x14ac:dyDescent="0.3">
      <c r="A25" s="17" t="s">
        <v>53</v>
      </c>
      <c r="B25" s="54">
        <v>14368.0043121292</v>
      </c>
      <c r="C25" s="55">
        <v>1197.33369267744</v>
      </c>
      <c r="D25" s="55">
        <v>1005.5957100000001</v>
      </c>
      <c r="E25" s="55">
        <v>1118.3000300000001</v>
      </c>
      <c r="F25" s="55">
        <v>1164.5986499999999</v>
      </c>
      <c r="G25" s="55">
        <v>1109.8764900000001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4398.3708800000004</v>
      </c>
      <c r="Q25" s="97">
        <v>0.91836780901100001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115.61662</v>
      </c>
      <c r="E26" s="52">
        <v>124.04246000000001</v>
      </c>
      <c r="F26" s="52">
        <v>136.35830000000001</v>
      </c>
      <c r="G26" s="52">
        <v>121.40167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497.41905000000202</v>
      </c>
      <c r="Q26" s="96" t="s">
        <v>287</v>
      </c>
    </row>
    <row r="27" spans="1:17" ht="14.4" customHeight="1" x14ac:dyDescent="0.3">
      <c r="A27" s="18" t="s">
        <v>55</v>
      </c>
      <c r="B27" s="54">
        <v>14368.0043121292</v>
      </c>
      <c r="C27" s="55">
        <v>1197.33369267744</v>
      </c>
      <c r="D27" s="55">
        <v>1121.2123300000001</v>
      </c>
      <c r="E27" s="55">
        <v>1242.34249</v>
      </c>
      <c r="F27" s="55">
        <v>1300.95695</v>
      </c>
      <c r="G27" s="55">
        <v>1231.2781600000001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4895.7899299999999</v>
      </c>
      <c r="Q27" s="97">
        <v>1.022227546076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71.292169999999999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361.63517000000002</v>
      </c>
      <c r="Q28" s="96">
        <v>0.90550777008100003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10.78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40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1" t="s">
        <v>289</v>
      </c>
      <c r="B6" s="423">
        <v>14410.285970278899</v>
      </c>
      <c r="C6" s="423">
        <v>14695.057419999999</v>
      </c>
      <c r="D6" s="424">
        <v>284.77144972113302</v>
      </c>
      <c r="E6" s="425">
        <v>1.019761679283</v>
      </c>
      <c r="F6" s="423">
        <v>14368.0043121292</v>
      </c>
      <c r="G6" s="424">
        <v>4789.33477070974</v>
      </c>
      <c r="H6" s="426">
        <v>1109.8764900000001</v>
      </c>
      <c r="I6" s="423">
        <v>4398.3708800000004</v>
      </c>
      <c r="J6" s="424">
        <v>-390.96389070974101</v>
      </c>
      <c r="K6" s="427">
        <v>0.30612260300299998</v>
      </c>
    </row>
    <row r="7" spans="1:11" ht="14.4" customHeight="1" thickBot="1" x14ac:dyDescent="0.35">
      <c r="A7" s="442" t="s">
        <v>290</v>
      </c>
      <c r="B7" s="423">
        <v>3031.61570736055</v>
      </c>
      <c r="C7" s="423">
        <v>2687.8569600000001</v>
      </c>
      <c r="D7" s="424">
        <v>-343.75874736054999</v>
      </c>
      <c r="E7" s="425">
        <v>0.88660873258899997</v>
      </c>
      <c r="F7" s="423">
        <v>2960.2635939468601</v>
      </c>
      <c r="G7" s="424">
        <v>986.75453131562097</v>
      </c>
      <c r="H7" s="426">
        <v>148.13462000000001</v>
      </c>
      <c r="I7" s="423">
        <v>648.16296999999997</v>
      </c>
      <c r="J7" s="424">
        <v>-338.59156131562099</v>
      </c>
      <c r="K7" s="427">
        <v>0.21895447801500001</v>
      </c>
    </row>
    <row r="8" spans="1:11" ht="14.4" customHeight="1" thickBot="1" x14ac:dyDescent="0.35">
      <c r="A8" s="443" t="s">
        <v>291</v>
      </c>
      <c r="B8" s="423">
        <v>2631.2959112076001</v>
      </c>
      <c r="C8" s="423">
        <v>2329.8729600000001</v>
      </c>
      <c r="D8" s="424">
        <v>-301.42295120759798</v>
      </c>
      <c r="E8" s="425">
        <v>0.88544695793200001</v>
      </c>
      <c r="F8" s="423">
        <v>2580.1709075376698</v>
      </c>
      <c r="G8" s="424">
        <v>860.05696917922398</v>
      </c>
      <c r="H8" s="426">
        <v>117.48262</v>
      </c>
      <c r="I8" s="423">
        <v>512.40796999999998</v>
      </c>
      <c r="J8" s="424">
        <v>-347.64899917922298</v>
      </c>
      <c r="K8" s="427">
        <v>0.19859458476200001</v>
      </c>
    </row>
    <row r="9" spans="1:11" ht="14.4" customHeight="1" thickBot="1" x14ac:dyDescent="0.35">
      <c r="A9" s="444" t="s">
        <v>292</v>
      </c>
      <c r="B9" s="428">
        <v>0</v>
      </c>
      <c r="C9" s="428">
        <v>-3.00000000000018E-5</v>
      </c>
      <c r="D9" s="429">
        <v>-3.00000000000018E-5</v>
      </c>
      <c r="E9" s="430" t="s">
        <v>287</v>
      </c>
      <c r="F9" s="428">
        <v>0</v>
      </c>
      <c r="G9" s="429">
        <v>0</v>
      </c>
      <c r="H9" s="431">
        <v>-5.0000000000000001E-4</v>
      </c>
      <c r="I9" s="428">
        <v>4.2000000000000002E-4</v>
      </c>
      <c r="J9" s="429">
        <v>4.2000000000000002E-4</v>
      </c>
      <c r="K9" s="432" t="s">
        <v>287</v>
      </c>
    </row>
    <row r="10" spans="1:11" ht="14.4" customHeight="1" thickBot="1" x14ac:dyDescent="0.35">
      <c r="A10" s="445" t="s">
        <v>293</v>
      </c>
      <c r="B10" s="423">
        <v>0</v>
      </c>
      <c r="C10" s="423">
        <v>-3.00000000000018E-5</v>
      </c>
      <c r="D10" s="424">
        <v>-3.00000000000018E-5</v>
      </c>
      <c r="E10" s="433" t="s">
        <v>287</v>
      </c>
      <c r="F10" s="423">
        <v>0</v>
      </c>
      <c r="G10" s="424">
        <v>0</v>
      </c>
      <c r="H10" s="426">
        <v>-5.0000000000000001E-4</v>
      </c>
      <c r="I10" s="423">
        <v>4.2000000000000002E-4</v>
      </c>
      <c r="J10" s="424">
        <v>4.2000000000000002E-4</v>
      </c>
      <c r="K10" s="434" t="s">
        <v>287</v>
      </c>
    </row>
    <row r="11" spans="1:11" ht="14.4" customHeight="1" thickBot="1" x14ac:dyDescent="0.35">
      <c r="A11" s="444" t="s">
        <v>294</v>
      </c>
      <c r="B11" s="428">
        <v>144.059134131088</v>
      </c>
      <c r="C11" s="428">
        <v>145.99010000000001</v>
      </c>
      <c r="D11" s="429">
        <v>1.9309658689119999</v>
      </c>
      <c r="E11" s="435">
        <v>1.013403980806</v>
      </c>
      <c r="F11" s="428">
        <v>187.64416680688899</v>
      </c>
      <c r="G11" s="429">
        <v>62.548055602296003</v>
      </c>
      <c r="H11" s="431">
        <v>20.456150000000001</v>
      </c>
      <c r="I11" s="428">
        <v>53.241059999999997</v>
      </c>
      <c r="J11" s="429">
        <v>-9.3069956022960003</v>
      </c>
      <c r="K11" s="436">
        <v>0.28373415974400001</v>
      </c>
    </row>
    <row r="12" spans="1:11" ht="14.4" customHeight="1" thickBot="1" x14ac:dyDescent="0.35">
      <c r="A12" s="445" t="s">
        <v>295</v>
      </c>
      <c r="B12" s="423">
        <v>115.956099177507</v>
      </c>
      <c r="C12" s="423">
        <v>118.01636000000001</v>
      </c>
      <c r="D12" s="424">
        <v>2.0602608224929999</v>
      </c>
      <c r="E12" s="425">
        <v>1.0177675933999999</v>
      </c>
      <c r="F12" s="423">
        <v>160.862341011322</v>
      </c>
      <c r="G12" s="424">
        <v>53.620780337107</v>
      </c>
      <c r="H12" s="426">
        <v>17.902010000000001</v>
      </c>
      <c r="I12" s="423">
        <v>45.517769999999999</v>
      </c>
      <c r="J12" s="424">
        <v>-8.1030103371069995</v>
      </c>
      <c r="K12" s="427">
        <v>0.28296100699400001</v>
      </c>
    </row>
    <row r="13" spans="1:11" ht="14.4" customHeight="1" thickBot="1" x14ac:dyDescent="0.35">
      <c r="A13" s="445" t="s">
        <v>296</v>
      </c>
      <c r="B13" s="423">
        <v>28.103034953580998</v>
      </c>
      <c r="C13" s="423">
        <v>27.973739999999999</v>
      </c>
      <c r="D13" s="424">
        <v>-0.12929495358099999</v>
      </c>
      <c r="E13" s="425">
        <v>0.99539925300599996</v>
      </c>
      <c r="F13" s="423">
        <v>26.781825795566998</v>
      </c>
      <c r="G13" s="424">
        <v>8.9272752651889995</v>
      </c>
      <c r="H13" s="426">
        <v>2.5541399999999999</v>
      </c>
      <c r="I13" s="423">
        <v>7.7232900000000004</v>
      </c>
      <c r="J13" s="424">
        <v>-1.203985265189</v>
      </c>
      <c r="K13" s="427">
        <v>0.28837802392299999</v>
      </c>
    </row>
    <row r="14" spans="1:11" ht="14.4" customHeight="1" thickBot="1" x14ac:dyDescent="0.35">
      <c r="A14" s="444" t="s">
        <v>297</v>
      </c>
      <c r="B14" s="428">
        <v>2118.29316622431</v>
      </c>
      <c r="C14" s="428">
        <v>1905.7286099999999</v>
      </c>
      <c r="D14" s="429">
        <v>-212.56455622431099</v>
      </c>
      <c r="E14" s="435">
        <v>0.89965290941999998</v>
      </c>
      <c r="F14" s="428">
        <v>2126.6041678873398</v>
      </c>
      <c r="G14" s="429">
        <v>708.86805596244801</v>
      </c>
      <c r="H14" s="431">
        <v>84.212869999999995</v>
      </c>
      <c r="I14" s="428">
        <v>405.15715999999998</v>
      </c>
      <c r="J14" s="429">
        <v>-303.71089596244701</v>
      </c>
      <c r="K14" s="436">
        <v>0.19051837014</v>
      </c>
    </row>
    <row r="15" spans="1:11" ht="14.4" customHeight="1" thickBot="1" x14ac:dyDescent="0.35">
      <c r="A15" s="445" t="s">
        <v>298</v>
      </c>
      <c r="B15" s="423">
        <v>57.999991384965</v>
      </c>
      <c r="C15" s="423">
        <v>53.413069999999998</v>
      </c>
      <c r="D15" s="424">
        <v>-4.5869213849649997</v>
      </c>
      <c r="E15" s="425">
        <v>0.92091513678799997</v>
      </c>
      <c r="F15" s="423">
        <v>63.999997984155002</v>
      </c>
      <c r="G15" s="424">
        <v>21.333332661385001</v>
      </c>
      <c r="H15" s="426">
        <v>0</v>
      </c>
      <c r="I15" s="423">
        <v>10.25656</v>
      </c>
      <c r="J15" s="424">
        <v>-11.076772661385</v>
      </c>
      <c r="K15" s="427">
        <v>0.16025875504699999</v>
      </c>
    </row>
    <row r="16" spans="1:11" ht="14.4" customHeight="1" thickBot="1" x14ac:dyDescent="0.35">
      <c r="A16" s="445" t="s">
        <v>299</v>
      </c>
      <c r="B16" s="423">
        <v>399.99978462413401</v>
      </c>
      <c r="C16" s="423">
        <v>172.1739</v>
      </c>
      <c r="D16" s="424">
        <v>-227.82588462413301</v>
      </c>
      <c r="E16" s="425">
        <v>0.43043498176299999</v>
      </c>
      <c r="F16" s="423">
        <v>149.999995275364</v>
      </c>
      <c r="G16" s="424">
        <v>49.999998425120999</v>
      </c>
      <c r="H16" s="426">
        <v>0</v>
      </c>
      <c r="I16" s="423">
        <v>0</v>
      </c>
      <c r="J16" s="424">
        <v>-49.999998425120999</v>
      </c>
      <c r="K16" s="427">
        <v>0</v>
      </c>
    </row>
    <row r="17" spans="1:11" ht="14.4" customHeight="1" thickBot="1" x14ac:dyDescent="0.35">
      <c r="A17" s="445" t="s">
        <v>300</v>
      </c>
      <c r="B17" s="423">
        <v>599.99982931462</v>
      </c>
      <c r="C17" s="423">
        <v>597.67963999999995</v>
      </c>
      <c r="D17" s="424">
        <v>-2.3201893146189998</v>
      </c>
      <c r="E17" s="425">
        <v>0.99613301670800003</v>
      </c>
      <c r="F17" s="423">
        <v>599.99998110145395</v>
      </c>
      <c r="G17" s="424">
        <v>199.99999370048499</v>
      </c>
      <c r="H17" s="426">
        <v>9.7725000000000009</v>
      </c>
      <c r="I17" s="423">
        <v>110.09156</v>
      </c>
      <c r="J17" s="424">
        <v>-89.908433700483997</v>
      </c>
      <c r="K17" s="427">
        <v>0.18348593911200001</v>
      </c>
    </row>
    <row r="18" spans="1:11" ht="14.4" customHeight="1" thickBot="1" x14ac:dyDescent="0.35">
      <c r="A18" s="445" t="s">
        <v>301</v>
      </c>
      <c r="B18" s="423">
        <v>0</v>
      </c>
      <c r="C18" s="423">
        <v>0</v>
      </c>
      <c r="D18" s="424">
        <v>0</v>
      </c>
      <c r="E18" s="425">
        <v>1</v>
      </c>
      <c r="F18" s="423">
        <v>45</v>
      </c>
      <c r="G18" s="424">
        <v>15</v>
      </c>
      <c r="H18" s="426">
        <v>0</v>
      </c>
      <c r="I18" s="423">
        <v>0</v>
      </c>
      <c r="J18" s="424">
        <v>-15</v>
      </c>
      <c r="K18" s="427">
        <v>0</v>
      </c>
    </row>
    <row r="19" spans="1:11" ht="14.4" customHeight="1" thickBot="1" x14ac:dyDescent="0.35">
      <c r="A19" s="445" t="s">
        <v>302</v>
      </c>
      <c r="B19" s="423">
        <v>264.01972221030297</v>
      </c>
      <c r="C19" s="423">
        <v>256.24878999999999</v>
      </c>
      <c r="D19" s="424">
        <v>-7.7709322103030001</v>
      </c>
      <c r="E19" s="425">
        <v>0.97056684953200001</v>
      </c>
      <c r="F19" s="423">
        <v>354.92981404305698</v>
      </c>
      <c r="G19" s="424">
        <v>118.309938014352</v>
      </c>
      <c r="H19" s="426">
        <v>9.6267700000000005</v>
      </c>
      <c r="I19" s="423">
        <v>59.166930000000001</v>
      </c>
      <c r="J19" s="424">
        <v>-59.143008014351999</v>
      </c>
      <c r="K19" s="427">
        <v>0.16670036626599999</v>
      </c>
    </row>
    <row r="20" spans="1:11" ht="14.4" customHeight="1" thickBot="1" x14ac:dyDescent="0.35">
      <c r="A20" s="445" t="s">
        <v>303</v>
      </c>
      <c r="B20" s="423">
        <v>133.11115353635901</v>
      </c>
      <c r="C20" s="423">
        <v>134.75585000000001</v>
      </c>
      <c r="D20" s="424">
        <v>1.644696463641</v>
      </c>
      <c r="E20" s="425">
        <v>1.0123558125659999</v>
      </c>
      <c r="F20" s="423">
        <v>224.82485656095099</v>
      </c>
      <c r="G20" s="424">
        <v>74.941618853649999</v>
      </c>
      <c r="H20" s="426">
        <v>11.835430000000001</v>
      </c>
      <c r="I20" s="423">
        <v>30.35812</v>
      </c>
      <c r="J20" s="424">
        <v>-44.583498853649999</v>
      </c>
      <c r="K20" s="427">
        <v>0.13503008726099999</v>
      </c>
    </row>
    <row r="21" spans="1:11" ht="14.4" customHeight="1" thickBot="1" x14ac:dyDescent="0.35">
      <c r="A21" s="445" t="s">
        <v>304</v>
      </c>
      <c r="B21" s="423">
        <v>9.000099799989</v>
      </c>
      <c r="C21" s="423">
        <v>0.24510000000000001</v>
      </c>
      <c r="D21" s="424">
        <v>-8.7549997999889992</v>
      </c>
      <c r="E21" s="425">
        <v>2.7233031349E-2</v>
      </c>
      <c r="F21" s="423">
        <v>0.24509999227900001</v>
      </c>
      <c r="G21" s="424">
        <v>8.1699997425999996E-2</v>
      </c>
      <c r="H21" s="426">
        <v>0</v>
      </c>
      <c r="I21" s="423">
        <v>0</v>
      </c>
      <c r="J21" s="424">
        <v>-8.1699997425999996E-2</v>
      </c>
      <c r="K21" s="427">
        <v>0</v>
      </c>
    </row>
    <row r="22" spans="1:11" ht="14.4" customHeight="1" thickBot="1" x14ac:dyDescent="0.35">
      <c r="A22" s="445" t="s">
        <v>305</v>
      </c>
      <c r="B22" s="423">
        <v>575.60342709220197</v>
      </c>
      <c r="C22" s="423">
        <v>587.53479000000004</v>
      </c>
      <c r="D22" s="424">
        <v>11.931362907798</v>
      </c>
      <c r="E22" s="425">
        <v>1.020728443136</v>
      </c>
      <c r="F22" s="423">
        <v>539.71703364557902</v>
      </c>
      <c r="G22" s="424">
        <v>179.90567788185999</v>
      </c>
      <c r="H22" s="426">
        <v>48.57488</v>
      </c>
      <c r="I22" s="423">
        <v>173.3288</v>
      </c>
      <c r="J22" s="424">
        <v>-6.5768778818589997</v>
      </c>
      <c r="K22" s="427">
        <v>0.32114754435100001</v>
      </c>
    </row>
    <row r="23" spans="1:11" ht="14.4" customHeight="1" thickBot="1" x14ac:dyDescent="0.35">
      <c r="A23" s="445" t="s">
        <v>306</v>
      </c>
      <c r="B23" s="423">
        <v>2.7098645096520002</v>
      </c>
      <c r="C23" s="423">
        <v>1.5385599999999999</v>
      </c>
      <c r="D23" s="424">
        <v>-1.1713045096520001</v>
      </c>
      <c r="E23" s="425">
        <v>0.56776270345500002</v>
      </c>
      <c r="F23" s="423">
        <v>15.999999496038001</v>
      </c>
      <c r="G23" s="424">
        <v>5.3333331653459997</v>
      </c>
      <c r="H23" s="426">
        <v>0.16800000000000001</v>
      </c>
      <c r="I23" s="423">
        <v>1.5315300000000001</v>
      </c>
      <c r="J23" s="424">
        <v>-3.801803165346</v>
      </c>
      <c r="K23" s="427">
        <v>9.5720628013999998E-2</v>
      </c>
    </row>
    <row r="24" spans="1:11" ht="14.4" customHeight="1" thickBot="1" x14ac:dyDescent="0.35">
      <c r="A24" s="445" t="s">
        <v>307</v>
      </c>
      <c r="B24" s="423">
        <v>33.849374790581003</v>
      </c>
      <c r="C24" s="423">
        <v>60.676409999999997</v>
      </c>
      <c r="D24" s="424">
        <v>26.827035209418</v>
      </c>
      <c r="E24" s="425">
        <v>1.7925415277350001</v>
      </c>
      <c r="F24" s="423">
        <v>89.888434913751993</v>
      </c>
      <c r="G24" s="424">
        <v>29.962811637917</v>
      </c>
      <c r="H24" s="426">
        <v>1.5941000000000001</v>
      </c>
      <c r="I24" s="423">
        <v>8.1454000000000004</v>
      </c>
      <c r="J24" s="424">
        <v>-21.817411637917001</v>
      </c>
      <c r="K24" s="427">
        <v>9.0616774090999996E-2</v>
      </c>
    </row>
    <row r="25" spans="1:11" ht="14.4" customHeight="1" thickBot="1" x14ac:dyDescent="0.35">
      <c r="A25" s="445" t="s">
        <v>308</v>
      </c>
      <c r="B25" s="423">
        <v>41.999918961504001</v>
      </c>
      <c r="C25" s="423">
        <v>41.462499999999999</v>
      </c>
      <c r="D25" s="424">
        <v>-0.53741896150400004</v>
      </c>
      <c r="E25" s="425">
        <v>0.98720428575100005</v>
      </c>
      <c r="F25" s="423">
        <v>41.998954874711004</v>
      </c>
      <c r="G25" s="424">
        <v>13.999651624903001</v>
      </c>
      <c r="H25" s="426">
        <v>2.6411899999999999</v>
      </c>
      <c r="I25" s="423">
        <v>12.27826</v>
      </c>
      <c r="J25" s="424">
        <v>-1.7213916249029999</v>
      </c>
      <c r="K25" s="427">
        <v>0.292346798548</v>
      </c>
    </row>
    <row r="26" spans="1:11" ht="14.4" customHeight="1" thickBot="1" x14ac:dyDescent="0.35">
      <c r="A26" s="444" t="s">
        <v>309</v>
      </c>
      <c r="B26" s="428">
        <v>66.666134213592002</v>
      </c>
      <c r="C26" s="428">
        <v>59.165959999999998</v>
      </c>
      <c r="D26" s="429">
        <v>-7.5001742135920004</v>
      </c>
      <c r="E26" s="435">
        <v>0.88749648825299998</v>
      </c>
      <c r="F26" s="428">
        <v>49.580151179299001</v>
      </c>
      <c r="G26" s="429">
        <v>16.526717059766</v>
      </c>
      <c r="H26" s="431">
        <v>10.116059999999999</v>
      </c>
      <c r="I26" s="428">
        <v>22.39601</v>
      </c>
      <c r="J26" s="429">
        <v>5.8692929402329996</v>
      </c>
      <c r="K26" s="436">
        <v>0.45171322529800001</v>
      </c>
    </row>
    <row r="27" spans="1:11" ht="14.4" customHeight="1" thickBot="1" x14ac:dyDescent="0.35">
      <c r="A27" s="445" t="s">
        <v>310</v>
      </c>
      <c r="B27" s="423">
        <v>2.872533181988</v>
      </c>
      <c r="C27" s="423">
        <v>7.2831999999999999</v>
      </c>
      <c r="D27" s="424">
        <v>4.4106668180110002</v>
      </c>
      <c r="E27" s="425">
        <v>2.5354624432769999</v>
      </c>
      <c r="F27" s="423">
        <v>0</v>
      </c>
      <c r="G27" s="424">
        <v>0</v>
      </c>
      <c r="H27" s="426">
        <v>0</v>
      </c>
      <c r="I27" s="423">
        <v>0.71389999999999998</v>
      </c>
      <c r="J27" s="424">
        <v>0.71389999999999998</v>
      </c>
      <c r="K27" s="434" t="s">
        <v>287</v>
      </c>
    </row>
    <row r="28" spans="1:11" ht="14.4" customHeight="1" thickBot="1" x14ac:dyDescent="0.35">
      <c r="A28" s="445" t="s">
        <v>311</v>
      </c>
      <c r="B28" s="423">
        <v>1.574307030565</v>
      </c>
      <c r="C28" s="423">
        <v>1.35358</v>
      </c>
      <c r="D28" s="424">
        <v>-0.22072703056500001</v>
      </c>
      <c r="E28" s="425">
        <v>0.85979416576300005</v>
      </c>
      <c r="F28" s="423">
        <v>0.99999996850200001</v>
      </c>
      <c r="G28" s="424">
        <v>0.33333332283400002</v>
      </c>
      <c r="H28" s="426">
        <v>6.7030000000000006E-2</v>
      </c>
      <c r="I28" s="423">
        <v>0.25374999999999998</v>
      </c>
      <c r="J28" s="424">
        <v>-7.9583322834000006E-2</v>
      </c>
      <c r="K28" s="427">
        <v>0.25375000799199998</v>
      </c>
    </row>
    <row r="29" spans="1:11" ht="14.4" customHeight="1" thickBot="1" x14ac:dyDescent="0.35">
      <c r="A29" s="445" t="s">
        <v>312</v>
      </c>
      <c r="B29" s="423">
        <v>13.322351368114999</v>
      </c>
      <c r="C29" s="423">
        <v>17.906700000000001</v>
      </c>
      <c r="D29" s="424">
        <v>4.5843486318839997</v>
      </c>
      <c r="E29" s="425">
        <v>1.344109572342</v>
      </c>
      <c r="F29" s="423">
        <v>15.719037466403</v>
      </c>
      <c r="G29" s="424">
        <v>5.2396791554669999</v>
      </c>
      <c r="H29" s="426">
        <v>3.8042099999999999</v>
      </c>
      <c r="I29" s="423">
        <v>8.4123800000000006</v>
      </c>
      <c r="J29" s="424">
        <v>3.1727008445320002</v>
      </c>
      <c r="K29" s="427">
        <v>0.53517144532399996</v>
      </c>
    </row>
    <row r="30" spans="1:11" ht="14.4" customHeight="1" thickBot="1" x14ac:dyDescent="0.35">
      <c r="A30" s="445" t="s">
        <v>313</v>
      </c>
      <c r="B30" s="423">
        <v>16.628718342587</v>
      </c>
      <c r="C30" s="423">
        <v>12.059010000000001</v>
      </c>
      <c r="D30" s="424">
        <v>-4.569708342587</v>
      </c>
      <c r="E30" s="425">
        <v>0.72519178878099999</v>
      </c>
      <c r="F30" s="423">
        <v>10.999999653526</v>
      </c>
      <c r="G30" s="424">
        <v>3.6666665511750001</v>
      </c>
      <c r="H30" s="426">
        <v>1.0035000000000001</v>
      </c>
      <c r="I30" s="423">
        <v>4.0867100000000001</v>
      </c>
      <c r="J30" s="424">
        <v>0.42004344882400002</v>
      </c>
      <c r="K30" s="427">
        <v>0.37151910261100002</v>
      </c>
    </row>
    <row r="31" spans="1:11" ht="14.4" customHeight="1" thickBot="1" x14ac:dyDescent="0.35">
      <c r="A31" s="445" t="s">
        <v>314</v>
      </c>
      <c r="B31" s="423">
        <v>4.9995948694530004</v>
      </c>
      <c r="C31" s="423">
        <v>2.2378</v>
      </c>
      <c r="D31" s="424">
        <v>-2.7617948694529999</v>
      </c>
      <c r="E31" s="425">
        <v>0.44759626698400001</v>
      </c>
      <c r="F31" s="423">
        <v>4.9999998425119996</v>
      </c>
      <c r="G31" s="424">
        <v>1.6666666141699999</v>
      </c>
      <c r="H31" s="426">
        <v>1.31897</v>
      </c>
      <c r="I31" s="423">
        <v>1.31897</v>
      </c>
      <c r="J31" s="424">
        <v>-0.34769661416999997</v>
      </c>
      <c r="K31" s="427">
        <v>0.26379400830799998</v>
      </c>
    </row>
    <row r="32" spans="1:11" ht="14.4" customHeight="1" thickBot="1" x14ac:dyDescent="0.35">
      <c r="A32" s="445" t="s">
        <v>315</v>
      </c>
      <c r="B32" s="423">
        <v>4.129036613387</v>
      </c>
      <c r="C32" s="423">
        <v>3.13998</v>
      </c>
      <c r="D32" s="424">
        <v>-0.98905661338700002</v>
      </c>
      <c r="E32" s="425">
        <v>0.76046310410899998</v>
      </c>
      <c r="F32" s="423">
        <v>3.2655632784650002</v>
      </c>
      <c r="G32" s="424">
        <v>1.0885210928210001</v>
      </c>
      <c r="H32" s="426">
        <v>0.39924999999999999</v>
      </c>
      <c r="I32" s="423">
        <v>0.39924999999999999</v>
      </c>
      <c r="J32" s="424">
        <v>-0.68927109282099996</v>
      </c>
      <c r="K32" s="427">
        <v>0.122260683978</v>
      </c>
    </row>
    <row r="33" spans="1:11" ht="14.4" customHeight="1" thickBot="1" x14ac:dyDescent="0.35">
      <c r="A33" s="445" t="s">
        <v>316</v>
      </c>
      <c r="B33" s="423">
        <v>0</v>
      </c>
      <c r="C33" s="423">
        <v>0</v>
      </c>
      <c r="D33" s="424">
        <v>0</v>
      </c>
      <c r="E33" s="425">
        <v>1</v>
      </c>
      <c r="F33" s="423">
        <v>0</v>
      </c>
      <c r="G33" s="424">
        <v>0</v>
      </c>
      <c r="H33" s="426">
        <v>0</v>
      </c>
      <c r="I33" s="423">
        <v>0.42349999999999999</v>
      </c>
      <c r="J33" s="424">
        <v>0.42349999999999999</v>
      </c>
      <c r="K33" s="434" t="s">
        <v>317</v>
      </c>
    </row>
    <row r="34" spans="1:11" ht="14.4" customHeight="1" thickBot="1" x14ac:dyDescent="0.35">
      <c r="A34" s="445" t="s">
        <v>318</v>
      </c>
      <c r="B34" s="423">
        <v>14.766335388641</v>
      </c>
      <c r="C34" s="423">
        <v>8.1017499999999991</v>
      </c>
      <c r="D34" s="424">
        <v>-6.664585388641</v>
      </c>
      <c r="E34" s="425">
        <v>0.54866355035000003</v>
      </c>
      <c r="F34" s="423">
        <v>10.595551064383001</v>
      </c>
      <c r="G34" s="424">
        <v>3.5318503547939999</v>
      </c>
      <c r="H34" s="426">
        <v>3.3972000000000002</v>
      </c>
      <c r="I34" s="423">
        <v>4.4741</v>
      </c>
      <c r="J34" s="424">
        <v>0.94224964520499999</v>
      </c>
      <c r="K34" s="427">
        <v>0.42226213368299997</v>
      </c>
    </row>
    <row r="35" spans="1:11" ht="14.4" customHeight="1" thickBot="1" x14ac:dyDescent="0.35">
      <c r="A35" s="445" t="s">
        <v>319</v>
      </c>
      <c r="B35" s="423">
        <v>8.3732574188529991</v>
      </c>
      <c r="C35" s="423">
        <v>7.0839400000000001</v>
      </c>
      <c r="D35" s="424">
        <v>-1.2893174188530001</v>
      </c>
      <c r="E35" s="425">
        <v>0.84601961287399996</v>
      </c>
      <c r="F35" s="423">
        <v>2.9999999055069999</v>
      </c>
      <c r="G35" s="424">
        <v>0.99999996850200001</v>
      </c>
      <c r="H35" s="426">
        <v>0.12590000000000001</v>
      </c>
      <c r="I35" s="423">
        <v>2.31345</v>
      </c>
      <c r="J35" s="424">
        <v>1.3134500314969999</v>
      </c>
      <c r="K35" s="427">
        <v>0.77115002428900004</v>
      </c>
    </row>
    <row r="36" spans="1:11" ht="14.4" customHeight="1" thickBot="1" x14ac:dyDescent="0.35">
      <c r="A36" s="444" t="s">
        <v>320</v>
      </c>
      <c r="B36" s="428">
        <v>18.244089757295999</v>
      </c>
      <c r="C36" s="428">
        <v>28.31287</v>
      </c>
      <c r="D36" s="429">
        <v>10.068780242703999</v>
      </c>
      <c r="E36" s="435">
        <v>1.551892715758</v>
      </c>
      <c r="F36" s="428">
        <v>37.342427302205998</v>
      </c>
      <c r="G36" s="429">
        <v>12.447475767402</v>
      </c>
      <c r="H36" s="431">
        <v>5.5399999999999998E-2</v>
      </c>
      <c r="I36" s="428">
        <v>12.325570000000001</v>
      </c>
      <c r="J36" s="429">
        <v>-0.121905767402</v>
      </c>
      <c r="K36" s="436">
        <v>0.33006879548099999</v>
      </c>
    </row>
    <row r="37" spans="1:11" ht="14.4" customHeight="1" thickBot="1" x14ac:dyDescent="0.35">
      <c r="A37" s="445" t="s">
        <v>321</v>
      </c>
      <c r="B37" s="423">
        <v>0.93244233989900005</v>
      </c>
      <c r="C37" s="423">
        <v>1.49</v>
      </c>
      <c r="D37" s="424">
        <v>0.55755766009999996</v>
      </c>
      <c r="E37" s="425">
        <v>1.597954035593</v>
      </c>
      <c r="F37" s="423">
        <v>0</v>
      </c>
      <c r="G37" s="424">
        <v>0</v>
      </c>
      <c r="H37" s="426">
        <v>0</v>
      </c>
      <c r="I37" s="423">
        <v>0</v>
      </c>
      <c r="J37" s="424">
        <v>0</v>
      </c>
      <c r="K37" s="427">
        <v>4</v>
      </c>
    </row>
    <row r="38" spans="1:11" ht="14.4" customHeight="1" thickBot="1" x14ac:dyDescent="0.35">
      <c r="A38" s="445" t="s">
        <v>322</v>
      </c>
      <c r="B38" s="423">
        <v>5.8283241405249999</v>
      </c>
      <c r="C38" s="423">
        <v>0.24199999999999999</v>
      </c>
      <c r="D38" s="424">
        <v>-5.5863241405249999</v>
      </c>
      <c r="E38" s="425">
        <v>4.1521369464000001E-2</v>
      </c>
      <c r="F38" s="423">
        <v>1.3097232742839999</v>
      </c>
      <c r="G38" s="424">
        <v>0.436574424761</v>
      </c>
      <c r="H38" s="426">
        <v>0</v>
      </c>
      <c r="I38" s="423">
        <v>0</v>
      </c>
      <c r="J38" s="424">
        <v>-0.436574424761</v>
      </c>
      <c r="K38" s="427">
        <v>0</v>
      </c>
    </row>
    <row r="39" spans="1:11" ht="14.4" customHeight="1" thickBot="1" x14ac:dyDescent="0.35">
      <c r="A39" s="445" t="s">
        <v>323</v>
      </c>
      <c r="B39" s="423">
        <v>8.4827637828259999</v>
      </c>
      <c r="C39" s="423">
        <v>25.239820000000002</v>
      </c>
      <c r="D39" s="424">
        <v>16.757056217173002</v>
      </c>
      <c r="E39" s="425">
        <v>2.975424124281</v>
      </c>
      <c r="F39" s="423">
        <v>33.032704122414003</v>
      </c>
      <c r="G39" s="424">
        <v>11.010901374137999</v>
      </c>
      <c r="H39" s="426">
        <v>0</v>
      </c>
      <c r="I39" s="423">
        <v>12.21067</v>
      </c>
      <c r="J39" s="424">
        <v>1.1997686258610001</v>
      </c>
      <c r="K39" s="427">
        <v>0.36965396337899997</v>
      </c>
    </row>
    <row r="40" spans="1:11" ht="14.4" customHeight="1" thickBot="1" x14ac:dyDescent="0.35">
      <c r="A40" s="445" t="s">
        <v>324</v>
      </c>
      <c r="B40" s="423">
        <v>0</v>
      </c>
      <c r="C40" s="423">
        <v>0.90749999999999997</v>
      </c>
      <c r="D40" s="424">
        <v>0.90749999999999997</v>
      </c>
      <c r="E40" s="433" t="s">
        <v>287</v>
      </c>
      <c r="F40" s="423">
        <v>0</v>
      </c>
      <c r="G40" s="424">
        <v>0</v>
      </c>
      <c r="H40" s="426">
        <v>0</v>
      </c>
      <c r="I40" s="423">
        <v>0</v>
      </c>
      <c r="J40" s="424">
        <v>0</v>
      </c>
      <c r="K40" s="434" t="s">
        <v>287</v>
      </c>
    </row>
    <row r="41" spans="1:11" ht="14.4" customHeight="1" thickBot="1" x14ac:dyDescent="0.35">
      <c r="A41" s="445" t="s">
        <v>325</v>
      </c>
      <c r="B41" s="423">
        <v>3.0005594940439999</v>
      </c>
      <c r="C41" s="423">
        <v>0.43354999999999999</v>
      </c>
      <c r="D41" s="424">
        <v>-2.567009494044</v>
      </c>
      <c r="E41" s="425">
        <v>0.14448971962000001</v>
      </c>
      <c r="F41" s="423">
        <v>2.9999999055069999</v>
      </c>
      <c r="G41" s="424">
        <v>0.99999996850200001</v>
      </c>
      <c r="H41" s="426">
        <v>5.5399999999999998E-2</v>
      </c>
      <c r="I41" s="423">
        <v>0.1149</v>
      </c>
      <c r="J41" s="424">
        <v>-0.88509996850200001</v>
      </c>
      <c r="K41" s="427">
        <v>3.8300001206000002E-2</v>
      </c>
    </row>
    <row r="42" spans="1:11" ht="14.4" customHeight="1" thickBot="1" x14ac:dyDescent="0.35">
      <c r="A42" s="444" t="s">
        <v>326</v>
      </c>
      <c r="B42" s="428">
        <v>284.03338688130998</v>
      </c>
      <c r="C42" s="428">
        <v>178.96645000000001</v>
      </c>
      <c r="D42" s="429">
        <v>-105.06693688131</v>
      </c>
      <c r="E42" s="435">
        <v>0.63008948337000004</v>
      </c>
      <c r="F42" s="428">
        <v>178.999994361934</v>
      </c>
      <c r="G42" s="429">
        <v>59.666664787310999</v>
      </c>
      <c r="H42" s="431">
        <v>2.6426400000000001</v>
      </c>
      <c r="I42" s="428">
        <v>19.287749999999999</v>
      </c>
      <c r="J42" s="429">
        <v>-40.378914787310997</v>
      </c>
      <c r="K42" s="436">
        <v>0.10775279669</v>
      </c>
    </row>
    <row r="43" spans="1:11" ht="14.4" customHeight="1" thickBot="1" x14ac:dyDescent="0.35">
      <c r="A43" s="445" t="s">
        <v>327</v>
      </c>
      <c r="B43" s="423">
        <v>13.039426427111</v>
      </c>
      <c r="C43" s="423">
        <v>5.4602199999999996</v>
      </c>
      <c r="D43" s="424">
        <v>-7.579206427111</v>
      </c>
      <c r="E43" s="425">
        <v>0.41874694646400001</v>
      </c>
      <c r="F43" s="423">
        <v>7.9999997480190004</v>
      </c>
      <c r="G43" s="424">
        <v>2.6666665826729998</v>
      </c>
      <c r="H43" s="426">
        <v>0</v>
      </c>
      <c r="I43" s="423">
        <v>1.82409</v>
      </c>
      <c r="J43" s="424">
        <v>-0.84257658267299995</v>
      </c>
      <c r="K43" s="427">
        <v>0.22801125718099999</v>
      </c>
    </row>
    <row r="44" spans="1:11" ht="14.4" customHeight="1" thickBot="1" x14ac:dyDescent="0.35">
      <c r="A44" s="445" t="s">
        <v>328</v>
      </c>
      <c r="B44" s="423">
        <v>0</v>
      </c>
      <c r="C44" s="423">
        <v>0</v>
      </c>
      <c r="D44" s="424">
        <v>0</v>
      </c>
      <c r="E44" s="425">
        <v>1</v>
      </c>
      <c r="F44" s="423">
        <v>0.99999996850200001</v>
      </c>
      <c r="G44" s="424">
        <v>0.33333332283400002</v>
      </c>
      <c r="H44" s="426">
        <v>0</v>
      </c>
      <c r="I44" s="423">
        <v>0</v>
      </c>
      <c r="J44" s="424">
        <v>-0.33333332283400002</v>
      </c>
      <c r="K44" s="427">
        <v>0</v>
      </c>
    </row>
    <row r="45" spans="1:11" ht="14.4" customHeight="1" thickBot="1" x14ac:dyDescent="0.35">
      <c r="A45" s="445" t="s">
        <v>329</v>
      </c>
      <c r="B45" s="423">
        <v>0</v>
      </c>
      <c r="C45" s="423">
        <v>0.59599999999999997</v>
      </c>
      <c r="D45" s="424">
        <v>0.59599999999999997</v>
      </c>
      <c r="E45" s="433" t="s">
        <v>317</v>
      </c>
      <c r="F45" s="423">
        <v>0</v>
      </c>
      <c r="G45" s="424">
        <v>0</v>
      </c>
      <c r="H45" s="426">
        <v>0</v>
      </c>
      <c r="I45" s="423">
        <v>0</v>
      </c>
      <c r="J45" s="424">
        <v>0</v>
      </c>
      <c r="K45" s="434" t="s">
        <v>287</v>
      </c>
    </row>
    <row r="46" spans="1:11" ht="14.4" customHeight="1" thickBot="1" x14ac:dyDescent="0.35">
      <c r="A46" s="445" t="s">
        <v>330</v>
      </c>
      <c r="B46" s="423">
        <v>45.000096194057001</v>
      </c>
      <c r="C46" s="423">
        <v>62.767389999999999</v>
      </c>
      <c r="D46" s="424">
        <v>17.767293805942</v>
      </c>
      <c r="E46" s="425">
        <v>1.3948279072400001</v>
      </c>
      <c r="F46" s="423">
        <v>61.999998047150001</v>
      </c>
      <c r="G46" s="424">
        <v>20.666666015716</v>
      </c>
      <c r="H46" s="426">
        <v>0</v>
      </c>
      <c r="I46" s="423">
        <v>0.31097999999999998</v>
      </c>
      <c r="J46" s="424">
        <v>-20.355686015716</v>
      </c>
      <c r="K46" s="427">
        <v>5.015806609E-3</v>
      </c>
    </row>
    <row r="47" spans="1:11" ht="14.4" customHeight="1" thickBot="1" x14ac:dyDescent="0.35">
      <c r="A47" s="445" t="s">
        <v>331</v>
      </c>
      <c r="B47" s="423">
        <v>210.99590291523401</v>
      </c>
      <c r="C47" s="423">
        <v>76.497079999999997</v>
      </c>
      <c r="D47" s="424">
        <v>-134.49882291523301</v>
      </c>
      <c r="E47" s="425">
        <v>0.36255244269199999</v>
      </c>
      <c r="F47" s="423">
        <v>76.999997574686006</v>
      </c>
      <c r="G47" s="424">
        <v>25.666665858228001</v>
      </c>
      <c r="H47" s="426">
        <v>0</v>
      </c>
      <c r="I47" s="423">
        <v>12.35172</v>
      </c>
      <c r="J47" s="424">
        <v>-13.314945858228</v>
      </c>
      <c r="K47" s="427">
        <v>0.160411953104</v>
      </c>
    </row>
    <row r="48" spans="1:11" ht="14.4" customHeight="1" thickBot="1" x14ac:dyDescent="0.35">
      <c r="A48" s="445" t="s">
        <v>332</v>
      </c>
      <c r="B48" s="423">
        <v>14.997961344907999</v>
      </c>
      <c r="C48" s="423">
        <v>33.645760000000003</v>
      </c>
      <c r="D48" s="424">
        <v>18.647798655091002</v>
      </c>
      <c r="E48" s="425">
        <v>2.2433555618819998</v>
      </c>
      <c r="F48" s="423">
        <v>30.999999023575</v>
      </c>
      <c r="G48" s="424">
        <v>10.333333007858</v>
      </c>
      <c r="H48" s="426">
        <v>2.6426400000000001</v>
      </c>
      <c r="I48" s="423">
        <v>4.8009599999999999</v>
      </c>
      <c r="J48" s="424">
        <v>-5.5323730078580002</v>
      </c>
      <c r="K48" s="427">
        <v>0.15486968229699999</v>
      </c>
    </row>
    <row r="49" spans="1:11" ht="14.4" customHeight="1" thickBot="1" x14ac:dyDescent="0.35">
      <c r="A49" s="444" t="s">
        <v>333</v>
      </c>
      <c r="B49" s="428">
        <v>0</v>
      </c>
      <c r="C49" s="428">
        <v>11.709</v>
      </c>
      <c r="D49" s="429">
        <v>11.709</v>
      </c>
      <c r="E49" s="430" t="s">
        <v>287</v>
      </c>
      <c r="F49" s="428">
        <v>0</v>
      </c>
      <c r="G49" s="429">
        <v>0</v>
      </c>
      <c r="H49" s="431">
        <v>0</v>
      </c>
      <c r="I49" s="428">
        <v>0</v>
      </c>
      <c r="J49" s="429">
        <v>0</v>
      </c>
      <c r="K49" s="432" t="s">
        <v>287</v>
      </c>
    </row>
    <row r="50" spans="1:11" ht="14.4" customHeight="1" thickBot="1" x14ac:dyDescent="0.35">
      <c r="A50" s="445" t="s">
        <v>334</v>
      </c>
      <c r="B50" s="423">
        <v>0</v>
      </c>
      <c r="C50" s="423">
        <v>11.709</v>
      </c>
      <c r="D50" s="424">
        <v>11.709</v>
      </c>
      <c r="E50" s="433" t="s">
        <v>287</v>
      </c>
      <c r="F50" s="423">
        <v>0</v>
      </c>
      <c r="G50" s="424">
        <v>0</v>
      </c>
      <c r="H50" s="426">
        <v>0</v>
      </c>
      <c r="I50" s="423">
        <v>0</v>
      </c>
      <c r="J50" s="424">
        <v>0</v>
      </c>
      <c r="K50" s="434" t="s">
        <v>287</v>
      </c>
    </row>
    <row r="51" spans="1:11" ht="14.4" customHeight="1" thickBot="1" x14ac:dyDescent="0.35">
      <c r="A51" s="443" t="s">
        <v>42</v>
      </c>
      <c r="B51" s="423">
        <v>400.31979615295302</v>
      </c>
      <c r="C51" s="423">
        <v>357.98399999999998</v>
      </c>
      <c r="D51" s="424">
        <v>-42.335796152952</v>
      </c>
      <c r="E51" s="425">
        <v>0.89424505967500001</v>
      </c>
      <c r="F51" s="423">
        <v>380.09268640919203</v>
      </c>
      <c r="G51" s="424">
        <v>126.697562136397</v>
      </c>
      <c r="H51" s="426">
        <v>30.652000000000001</v>
      </c>
      <c r="I51" s="423">
        <v>135.755</v>
      </c>
      <c r="J51" s="424">
        <v>9.0574378636020008</v>
      </c>
      <c r="K51" s="427">
        <v>0.35716288382799999</v>
      </c>
    </row>
    <row r="52" spans="1:11" ht="14.4" customHeight="1" thickBot="1" x14ac:dyDescent="0.35">
      <c r="A52" s="444" t="s">
        <v>335</v>
      </c>
      <c r="B52" s="428">
        <v>400.31979615295302</v>
      </c>
      <c r="C52" s="428">
        <v>357.98399999999998</v>
      </c>
      <c r="D52" s="429">
        <v>-42.335796152952</v>
      </c>
      <c r="E52" s="435">
        <v>0.89424505967500001</v>
      </c>
      <c r="F52" s="428">
        <v>380.09268640919203</v>
      </c>
      <c r="G52" s="429">
        <v>126.697562136397</v>
      </c>
      <c r="H52" s="431">
        <v>30.652000000000001</v>
      </c>
      <c r="I52" s="428">
        <v>135.755</v>
      </c>
      <c r="J52" s="429">
        <v>9.0574378636020008</v>
      </c>
      <c r="K52" s="436">
        <v>0.35716288382799999</v>
      </c>
    </row>
    <row r="53" spans="1:11" ht="14.4" customHeight="1" thickBot="1" x14ac:dyDescent="0.35">
      <c r="A53" s="445" t="s">
        <v>336</v>
      </c>
      <c r="B53" s="423">
        <v>124.073716642102</v>
      </c>
      <c r="C53" s="423">
        <v>104.262</v>
      </c>
      <c r="D53" s="424">
        <v>-19.811716642101</v>
      </c>
      <c r="E53" s="425">
        <v>0.84032301781300001</v>
      </c>
      <c r="F53" s="423">
        <v>107.09269500803001</v>
      </c>
      <c r="G53" s="424">
        <v>35.697565002676001</v>
      </c>
      <c r="H53" s="426">
        <v>8.57</v>
      </c>
      <c r="I53" s="423">
        <v>35.01</v>
      </c>
      <c r="J53" s="424">
        <v>-0.68756500267599996</v>
      </c>
      <c r="K53" s="427">
        <v>0.32691305412900001</v>
      </c>
    </row>
    <row r="54" spans="1:11" ht="14.4" customHeight="1" thickBot="1" x14ac:dyDescent="0.35">
      <c r="A54" s="445" t="s">
        <v>337</v>
      </c>
      <c r="B54" s="423">
        <v>200.04435548869299</v>
      </c>
      <c r="C54" s="423">
        <v>183.03</v>
      </c>
      <c r="D54" s="424">
        <v>-17.014355488692999</v>
      </c>
      <c r="E54" s="425">
        <v>0.91494708537400005</v>
      </c>
      <c r="F54" s="423">
        <v>199.99999370048499</v>
      </c>
      <c r="G54" s="424">
        <v>66.666664566828004</v>
      </c>
      <c r="H54" s="426">
        <v>15.436</v>
      </c>
      <c r="I54" s="423">
        <v>63.485999999999997</v>
      </c>
      <c r="J54" s="424">
        <v>-3.1806645668279998</v>
      </c>
      <c r="K54" s="427">
        <v>0.31743000999799997</v>
      </c>
    </row>
    <row r="55" spans="1:11" ht="14.4" customHeight="1" thickBot="1" x14ac:dyDescent="0.35">
      <c r="A55" s="445" t="s">
        <v>338</v>
      </c>
      <c r="B55" s="423">
        <v>76.201724022156995</v>
      </c>
      <c r="C55" s="423">
        <v>70.691999999999993</v>
      </c>
      <c r="D55" s="424">
        <v>-5.5097240221570001</v>
      </c>
      <c r="E55" s="425">
        <v>0.92769554635499996</v>
      </c>
      <c r="F55" s="423">
        <v>72.999997700677</v>
      </c>
      <c r="G55" s="424">
        <v>24.333332566892</v>
      </c>
      <c r="H55" s="426">
        <v>6.6459999999999999</v>
      </c>
      <c r="I55" s="423">
        <v>37.259</v>
      </c>
      <c r="J55" s="424">
        <v>12.925667433107</v>
      </c>
      <c r="K55" s="427">
        <v>0.51039727634999998</v>
      </c>
    </row>
    <row r="56" spans="1:11" ht="14.4" customHeight="1" thickBot="1" x14ac:dyDescent="0.35">
      <c r="A56" s="446" t="s">
        <v>339</v>
      </c>
      <c r="B56" s="428">
        <v>467.55077009187102</v>
      </c>
      <c r="C56" s="428">
        <v>600.37422000000004</v>
      </c>
      <c r="D56" s="429">
        <v>132.82344990812899</v>
      </c>
      <c r="E56" s="435">
        <v>1.2840834801359999</v>
      </c>
      <c r="F56" s="428">
        <v>552.74385624042202</v>
      </c>
      <c r="G56" s="429">
        <v>184.247952080141</v>
      </c>
      <c r="H56" s="431">
        <v>72.440910000000002</v>
      </c>
      <c r="I56" s="428">
        <v>191.55495999999999</v>
      </c>
      <c r="J56" s="429">
        <v>7.3070079198590001</v>
      </c>
      <c r="K56" s="436">
        <v>0.34655285235099997</v>
      </c>
    </row>
    <row r="57" spans="1:11" ht="14.4" customHeight="1" thickBot="1" x14ac:dyDescent="0.35">
      <c r="A57" s="443" t="s">
        <v>45</v>
      </c>
      <c r="B57" s="423">
        <v>36.838875787467003</v>
      </c>
      <c r="C57" s="423">
        <v>170.94602</v>
      </c>
      <c r="D57" s="424">
        <v>134.10714421253201</v>
      </c>
      <c r="E57" s="425">
        <v>4.6403701618420001</v>
      </c>
      <c r="F57" s="423">
        <v>177.36953063971799</v>
      </c>
      <c r="G57" s="424">
        <v>59.123176879905003</v>
      </c>
      <c r="H57" s="426">
        <v>2.51233</v>
      </c>
      <c r="I57" s="423">
        <v>10.890470000000001</v>
      </c>
      <c r="J57" s="424">
        <v>-48.232706879905002</v>
      </c>
      <c r="K57" s="427">
        <v>6.1399891855999998E-2</v>
      </c>
    </row>
    <row r="58" spans="1:11" ht="14.4" customHeight="1" thickBot="1" x14ac:dyDescent="0.35">
      <c r="A58" s="447" t="s">
        <v>340</v>
      </c>
      <c r="B58" s="423">
        <v>36.838875787467003</v>
      </c>
      <c r="C58" s="423">
        <v>170.94602</v>
      </c>
      <c r="D58" s="424">
        <v>134.10714421253201</v>
      </c>
      <c r="E58" s="425">
        <v>4.6403701618420001</v>
      </c>
      <c r="F58" s="423">
        <v>177.36953063971799</v>
      </c>
      <c r="G58" s="424">
        <v>59.123176879905003</v>
      </c>
      <c r="H58" s="426">
        <v>2.51233</v>
      </c>
      <c r="I58" s="423">
        <v>10.890470000000001</v>
      </c>
      <c r="J58" s="424">
        <v>-48.232706879905002</v>
      </c>
      <c r="K58" s="427">
        <v>6.1399891855999998E-2</v>
      </c>
    </row>
    <row r="59" spans="1:11" ht="14.4" customHeight="1" thickBot="1" x14ac:dyDescent="0.35">
      <c r="A59" s="445" t="s">
        <v>341</v>
      </c>
      <c r="B59" s="423">
        <v>6.0951600582819996</v>
      </c>
      <c r="C59" s="423">
        <v>123.78946000000001</v>
      </c>
      <c r="D59" s="424">
        <v>117.69429994171701</v>
      </c>
      <c r="E59" s="425">
        <v>20.309468302113</v>
      </c>
      <c r="F59" s="423">
        <v>107.81204629163599</v>
      </c>
      <c r="G59" s="424">
        <v>35.937348763877999</v>
      </c>
      <c r="H59" s="426">
        <v>0</v>
      </c>
      <c r="I59" s="423">
        <v>6.7640000000000002</v>
      </c>
      <c r="J59" s="424">
        <v>-29.173348763878</v>
      </c>
      <c r="K59" s="427">
        <v>6.2738814747999999E-2</v>
      </c>
    </row>
    <row r="60" spans="1:11" ht="14.4" customHeight="1" thickBot="1" x14ac:dyDescent="0.35">
      <c r="A60" s="445" t="s">
        <v>342</v>
      </c>
      <c r="B60" s="423">
        <v>3.2573686531120001</v>
      </c>
      <c r="C60" s="423">
        <v>1.121</v>
      </c>
      <c r="D60" s="424">
        <v>-2.1363686531120001</v>
      </c>
      <c r="E60" s="425">
        <v>0.34414280954299997</v>
      </c>
      <c r="F60" s="423">
        <v>0.34669936658400002</v>
      </c>
      <c r="G60" s="424">
        <v>0.115566455528</v>
      </c>
      <c r="H60" s="426">
        <v>2.51233</v>
      </c>
      <c r="I60" s="423">
        <v>2.8753299999999999</v>
      </c>
      <c r="J60" s="424">
        <v>2.7597635444709998</v>
      </c>
      <c r="K60" s="427">
        <v>8.2934388612410004</v>
      </c>
    </row>
    <row r="61" spans="1:11" ht="14.4" customHeight="1" thickBot="1" x14ac:dyDescent="0.35">
      <c r="A61" s="445" t="s">
        <v>343</v>
      </c>
      <c r="B61" s="423">
        <v>25.999956104110002</v>
      </c>
      <c r="C61" s="423">
        <v>40.499420000000001</v>
      </c>
      <c r="D61" s="424">
        <v>14.499463895889001</v>
      </c>
      <c r="E61" s="425">
        <v>1.557672629824</v>
      </c>
      <c r="F61" s="423">
        <v>64.999997952656997</v>
      </c>
      <c r="G61" s="424">
        <v>21.666665984219001</v>
      </c>
      <c r="H61" s="426">
        <v>0</v>
      </c>
      <c r="I61" s="423">
        <v>0</v>
      </c>
      <c r="J61" s="424">
        <v>-21.666665984219001</v>
      </c>
      <c r="K61" s="427">
        <v>0</v>
      </c>
    </row>
    <row r="62" spans="1:11" ht="14.4" customHeight="1" thickBot="1" x14ac:dyDescent="0.35">
      <c r="A62" s="445" t="s">
        <v>344</v>
      </c>
      <c r="B62" s="423">
        <v>1.486390971961</v>
      </c>
      <c r="C62" s="423">
        <v>5.5361399999999996</v>
      </c>
      <c r="D62" s="424">
        <v>4.0497490280379997</v>
      </c>
      <c r="E62" s="425">
        <v>3.724551685547</v>
      </c>
      <c r="F62" s="423">
        <v>4.2107870288390004</v>
      </c>
      <c r="G62" s="424">
        <v>1.4035956762790001</v>
      </c>
      <c r="H62" s="426">
        <v>0</v>
      </c>
      <c r="I62" s="423">
        <v>1.2511399999999999</v>
      </c>
      <c r="J62" s="424">
        <v>-0.152455676279</v>
      </c>
      <c r="K62" s="427">
        <v>0.29712735206699997</v>
      </c>
    </row>
    <row r="63" spans="1:11" ht="14.4" customHeight="1" thickBot="1" x14ac:dyDescent="0.35">
      <c r="A63" s="448" t="s">
        <v>46</v>
      </c>
      <c r="B63" s="428">
        <v>0</v>
      </c>
      <c r="C63" s="428">
        <v>90.411000000000001</v>
      </c>
      <c r="D63" s="429">
        <v>90.411000000000001</v>
      </c>
      <c r="E63" s="430" t="s">
        <v>287</v>
      </c>
      <c r="F63" s="428">
        <v>0</v>
      </c>
      <c r="G63" s="429">
        <v>0</v>
      </c>
      <c r="H63" s="431">
        <v>39.683</v>
      </c>
      <c r="I63" s="428">
        <v>43.997</v>
      </c>
      <c r="J63" s="429">
        <v>43.997</v>
      </c>
      <c r="K63" s="432" t="s">
        <v>287</v>
      </c>
    </row>
    <row r="64" spans="1:11" ht="14.4" customHeight="1" thickBot="1" x14ac:dyDescent="0.35">
      <c r="A64" s="444" t="s">
        <v>345</v>
      </c>
      <c r="B64" s="428">
        <v>0</v>
      </c>
      <c r="C64" s="428">
        <v>90.411000000000001</v>
      </c>
      <c r="D64" s="429">
        <v>90.411000000000001</v>
      </c>
      <c r="E64" s="430" t="s">
        <v>287</v>
      </c>
      <c r="F64" s="428">
        <v>0</v>
      </c>
      <c r="G64" s="429">
        <v>0</v>
      </c>
      <c r="H64" s="431">
        <v>39.683</v>
      </c>
      <c r="I64" s="428">
        <v>43.997</v>
      </c>
      <c r="J64" s="429">
        <v>43.997</v>
      </c>
      <c r="K64" s="432" t="s">
        <v>287</v>
      </c>
    </row>
    <row r="65" spans="1:11" ht="14.4" customHeight="1" thickBot="1" x14ac:dyDescent="0.35">
      <c r="A65" s="445" t="s">
        <v>346</v>
      </c>
      <c r="B65" s="423">
        <v>0</v>
      </c>
      <c r="C65" s="423">
        <v>84.813999999999993</v>
      </c>
      <c r="D65" s="424">
        <v>84.813999999999993</v>
      </c>
      <c r="E65" s="433" t="s">
        <v>287</v>
      </c>
      <c r="F65" s="423">
        <v>0</v>
      </c>
      <c r="G65" s="424">
        <v>0</v>
      </c>
      <c r="H65" s="426">
        <v>17.843</v>
      </c>
      <c r="I65" s="423">
        <v>19.657</v>
      </c>
      <c r="J65" s="424">
        <v>19.657</v>
      </c>
      <c r="K65" s="434" t="s">
        <v>287</v>
      </c>
    </row>
    <row r="66" spans="1:11" ht="14.4" customHeight="1" thickBot="1" x14ac:dyDescent="0.35">
      <c r="A66" s="445" t="s">
        <v>347</v>
      </c>
      <c r="B66" s="423">
        <v>0</v>
      </c>
      <c r="C66" s="423">
        <v>5.5970000000000004</v>
      </c>
      <c r="D66" s="424">
        <v>5.5970000000000004</v>
      </c>
      <c r="E66" s="433" t="s">
        <v>287</v>
      </c>
      <c r="F66" s="423">
        <v>0</v>
      </c>
      <c r="G66" s="424">
        <v>0</v>
      </c>
      <c r="H66" s="426">
        <v>21.84</v>
      </c>
      <c r="I66" s="423">
        <v>24.34</v>
      </c>
      <c r="J66" s="424">
        <v>24.34</v>
      </c>
      <c r="K66" s="434" t="s">
        <v>287</v>
      </c>
    </row>
    <row r="67" spans="1:11" ht="14.4" customHeight="1" thickBot="1" x14ac:dyDescent="0.35">
      <c r="A67" s="443" t="s">
        <v>47</v>
      </c>
      <c r="B67" s="423">
        <v>430.71189430440302</v>
      </c>
      <c r="C67" s="423">
        <v>339.0172</v>
      </c>
      <c r="D67" s="424">
        <v>-91.694694304403001</v>
      </c>
      <c r="E67" s="425">
        <v>0.78710898046400002</v>
      </c>
      <c r="F67" s="423">
        <v>375.37432560070499</v>
      </c>
      <c r="G67" s="424">
        <v>125.12477520023501</v>
      </c>
      <c r="H67" s="426">
        <v>30.24558</v>
      </c>
      <c r="I67" s="423">
        <v>136.66748999999999</v>
      </c>
      <c r="J67" s="424">
        <v>11.542714799764999</v>
      </c>
      <c r="K67" s="427">
        <v>0.36408321155500001</v>
      </c>
    </row>
    <row r="68" spans="1:11" ht="14.4" customHeight="1" thickBot="1" x14ac:dyDescent="0.35">
      <c r="A68" s="444" t="s">
        <v>348</v>
      </c>
      <c r="B68" s="428">
        <v>8.2737648577E-2</v>
      </c>
      <c r="C68" s="428">
        <v>0.10299999999999999</v>
      </c>
      <c r="D68" s="429">
        <v>2.0262351421999999E-2</v>
      </c>
      <c r="E68" s="435">
        <v>1.244898806908</v>
      </c>
      <c r="F68" s="428">
        <v>0.10486887285300001</v>
      </c>
      <c r="G68" s="429">
        <v>3.4956290951000002E-2</v>
      </c>
      <c r="H68" s="431">
        <v>0</v>
      </c>
      <c r="I68" s="428">
        <v>0</v>
      </c>
      <c r="J68" s="429">
        <v>-3.4956290951000002E-2</v>
      </c>
      <c r="K68" s="436">
        <v>0</v>
      </c>
    </row>
    <row r="69" spans="1:11" ht="14.4" customHeight="1" thickBot="1" x14ac:dyDescent="0.35">
      <c r="A69" s="445" t="s">
        <v>349</v>
      </c>
      <c r="B69" s="423">
        <v>8.2737648577E-2</v>
      </c>
      <c r="C69" s="423">
        <v>0.10299999999999999</v>
      </c>
      <c r="D69" s="424">
        <v>2.0262351421999999E-2</v>
      </c>
      <c r="E69" s="425">
        <v>1.244898806908</v>
      </c>
      <c r="F69" s="423">
        <v>0.10486887285300001</v>
      </c>
      <c r="G69" s="424">
        <v>3.4956290951000002E-2</v>
      </c>
      <c r="H69" s="426">
        <v>0</v>
      </c>
      <c r="I69" s="423">
        <v>0</v>
      </c>
      <c r="J69" s="424">
        <v>-3.4956290951000002E-2</v>
      </c>
      <c r="K69" s="427">
        <v>0</v>
      </c>
    </row>
    <row r="70" spans="1:11" ht="14.4" customHeight="1" thickBot="1" x14ac:dyDescent="0.35">
      <c r="A70" s="444" t="s">
        <v>350</v>
      </c>
      <c r="B70" s="428">
        <v>15.744386076068</v>
      </c>
      <c r="C70" s="428">
        <v>16.01163</v>
      </c>
      <c r="D70" s="429">
        <v>0.26724392393099999</v>
      </c>
      <c r="E70" s="435">
        <v>1.016973918363</v>
      </c>
      <c r="F70" s="428">
        <v>16.809319618993001</v>
      </c>
      <c r="G70" s="429">
        <v>5.6031065396640001</v>
      </c>
      <c r="H70" s="431">
        <v>0.50683999999999996</v>
      </c>
      <c r="I70" s="428">
        <v>3.06169</v>
      </c>
      <c r="J70" s="429">
        <v>-2.5414165396640001</v>
      </c>
      <c r="K70" s="436">
        <v>0.18214241083999999</v>
      </c>
    </row>
    <row r="71" spans="1:11" ht="14.4" customHeight="1" thickBot="1" x14ac:dyDescent="0.35">
      <c r="A71" s="445" t="s">
        <v>351</v>
      </c>
      <c r="B71" s="423">
        <v>3.4113521736469998</v>
      </c>
      <c r="C71" s="423">
        <v>3.6995</v>
      </c>
      <c r="D71" s="424">
        <v>0.28814782635199998</v>
      </c>
      <c r="E71" s="425">
        <v>1.084467334852</v>
      </c>
      <c r="F71" s="423">
        <v>3.678170838932</v>
      </c>
      <c r="G71" s="424">
        <v>1.22605694631</v>
      </c>
      <c r="H71" s="426">
        <v>0.2394</v>
      </c>
      <c r="I71" s="423">
        <v>1.2388999999999999</v>
      </c>
      <c r="J71" s="424">
        <v>1.2843053689E-2</v>
      </c>
      <c r="K71" s="427">
        <v>0.336825029138</v>
      </c>
    </row>
    <row r="72" spans="1:11" ht="14.4" customHeight="1" thickBot="1" x14ac:dyDescent="0.35">
      <c r="A72" s="445" t="s">
        <v>352</v>
      </c>
      <c r="B72" s="423">
        <v>12.33303390242</v>
      </c>
      <c r="C72" s="423">
        <v>12.31213</v>
      </c>
      <c r="D72" s="424">
        <v>-2.0903902419999999E-2</v>
      </c>
      <c r="E72" s="425">
        <v>0.99830504784200003</v>
      </c>
      <c r="F72" s="423">
        <v>13.131148780061</v>
      </c>
      <c r="G72" s="424">
        <v>4.377049593353</v>
      </c>
      <c r="H72" s="426">
        <v>0.26744000000000001</v>
      </c>
      <c r="I72" s="423">
        <v>1.8227899999999999</v>
      </c>
      <c r="J72" s="424">
        <v>-2.5542595933530001</v>
      </c>
      <c r="K72" s="427">
        <v>0.138814206626</v>
      </c>
    </row>
    <row r="73" spans="1:11" ht="14.4" customHeight="1" thickBot="1" x14ac:dyDescent="0.35">
      <c r="A73" s="444" t="s">
        <v>353</v>
      </c>
      <c r="B73" s="428">
        <v>21.548007502813999</v>
      </c>
      <c r="C73" s="428">
        <v>20.52</v>
      </c>
      <c r="D73" s="429">
        <v>-1.0280075028140001</v>
      </c>
      <c r="E73" s="435">
        <v>0.95229222457399998</v>
      </c>
      <c r="F73" s="428">
        <v>17.999999433043001</v>
      </c>
      <c r="G73" s="429">
        <v>5.9999998110139998</v>
      </c>
      <c r="H73" s="431">
        <v>2.97</v>
      </c>
      <c r="I73" s="428">
        <v>7.56</v>
      </c>
      <c r="J73" s="429">
        <v>1.5600001889849999</v>
      </c>
      <c r="K73" s="436">
        <v>0.42000001322800001</v>
      </c>
    </row>
    <row r="74" spans="1:11" ht="14.4" customHeight="1" thickBot="1" x14ac:dyDescent="0.35">
      <c r="A74" s="445" t="s">
        <v>354</v>
      </c>
      <c r="B74" s="423">
        <v>21.273314108478999</v>
      </c>
      <c r="C74" s="423">
        <v>20.52</v>
      </c>
      <c r="D74" s="424">
        <v>-0.75331410847900004</v>
      </c>
      <c r="E74" s="425">
        <v>0.96458877518300001</v>
      </c>
      <c r="F74" s="423">
        <v>17.999999433043001</v>
      </c>
      <c r="G74" s="424">
        <v>5.9999998110139998</v>
      </c>
      <c r="H74" s="426">
        <v>2.97</v>
      </c>
      <c r="I74" s="423">
        <v>7.56</v>
      </c>
      <c r="J74" s="424">
        <v>1.5600001889849999</v>
      </c>
      <c r="K74" s="427">
        <v>0.42000001322800001</v>
      </c>
    </row>
    <row r="75" spans="1:11" ht="14.4" customHeight="1" thickBot="1" x14ac:dyDescent="0.35">
      <c r="A75" s="445" t="s">
        <v>355</v>
      </c>
      <c r="B75" s="423">
        <v>0.27469339433399997</v>
      </c>
      <c r="C75" s="423">
        <v>0</v>
      </c>
      <c r="D75" s="424">
        <v>-0.27469339433399997</v>
      </c>
      <c r="E75" s="425">
        <v>0</v>
      </c>
      <c r="F75" s="423">
        <v>0</v>
      </c>
      <c r="G75" s="424">
        <v>0</v>
      </c>
      <c r="H75" s="426">
        <v>0</v>
      </c>
      <c r="I75" s="423">
        <v>0</v>
      </c>
      <c r="J75" s="424">
        <v>0</v>
      </c>
      <c r="K75" s="427">
        <v>4</v>
      </c>
    </row>
    <row r="76" spans="1:11" ht="14.4" customHeight="1" thickBot="1" x14ac:dyDescent="0.35">
      <c r="A76" s="444" t="s">
        <v>356</v>
      </c>
      <c r="B76" s="428">
        <v>325.47536506302998</v>
      </c>
      <c r="C76" s="428">
        <v>222.75806</v>
      </c>
      <c r="D76" s="429">
        <v>-102.71730506303</v>
      </c>
      <c r="E76" s="435">
        <v>0.68440835746999995</v>
      </c>
      <c r="F76" s="428">
        <v>273.05511842977398</v>
      </c>
      <c r="G76" s="429">
        <v>91.018372809924003</v>
      </c>
      <c r="H76" s="431">
        <v>23.400739999999999</v>
      </c>
      <c r="I76" s="428">
        <v>92.853300000000004</v>
      </c>
      <c r="J76" s="429">
        <v>1.8349271900749999</v>
      </c>
      <c r="K76" s="436">
        <v>0.34005332159200002</v>
      </c>
    </row>
    <row r="77" spans="1:11" ht="14.4" customHeight="1" thickBot="1" x14ac:dyDescent="0.35">
      <c r="A77" s="445" t="s">
        <v>357</v>
      </c>
      <c r="B77" s="423">
        <v>276.30675760059199</v>
      </c>
      <c r="C77" s="423">
        <v>171.89385999999999</v>
      </c>
      <c r="D77" s="424">
        <v>-104.412897600592</v>
      </c>
      <c r="E77" s="425">
        <v>0.62211239961200004</v>
      </c>
      <c r="F77" s="423">
        <v>221.84644712114999</v>
      </c>
      <c r="G77" s="424">
        <v>73.948815707050002</v>
      </c>
      <c r="H77" s="426">
        <v>18.887869999999999</v>
      </c>
      <c r="I77" s="423">
        <v>74.699640000000002</v>
      </c>
      <c r="J77" s="424">
        <v>0.75082429294999997</v>
      </c>
      <c r="K77" s="427">
        <v>0.336717765685</v>
      </c>
    </row>
    <row r="78" spans="1:11" ht="14.4" customHeight="1" thickBot="1" x14ac:dyDescent="0.35">
      <c r="A78" s="445" t="s">
        <v>358</v>
      </c>
      <c r="B78" s="423">
        <v>49.168607462437002</v>
      </c>
      <c r="C78" s="423">
        <v>50.864199999999997</v>
      </c>
      <c r="D78" s="424">
        <v>1.695592537562</v>
      </c>
      <c r="E78" s="425">
        <v>1.0344852666169999</v>
      </c>
      <c r="F78" s="423">
        <v>51.208671308623998</v>
      </c>
      <c r="G78" s="424">
        <v>17.069557102874001</v>
      </c>
      <c r="H78" s="426">
        <v>4.5128700000000004</v>
      </c>
      <c r="I78" s="423">
        <v>18.153659999999999</v>
      </c>
      <c r="J78" s="424">
        <v>1.084102897125</v>
      </c>
      <c r="K78" s="427">
        <v>0.35450363260899997</v>
      </c>
    </row>
    <row r="79" spans="1:11" ht="14.4" customHeight="1" thickBot="1" x14ac:dyDescent="0.35">
      <c r="A79" s="444" t="s">
        <v>359</v>
      </c>
      <c r="B79" s="428">
        <v>67.861398013913004</v>
      </c>
      <c r="C79" s="428">
        <v>79.624510000000001</v>
      </c>
      <c r="D79" s="429">
        <v>11.763111986086001</v>
      </c>
      <c r="E79" s="435">
        <v>1.173340254258</v>
      </c>
      <c r="F79" s="428">
        <v>67.405019246039998</v>
      </c>
      <c r="G79" s="429">
        <v>22.468339748679998</v>
      </c>
      <c r="H79" s="431">
        <v>3.3679999999999999</v>
      </c>
      <c r="I79" s="428">
        <v>33.192500000000003</v>
      </c>
      <c r="J79" s="429">
        <v>10.724160251319001</v>
      </c>
      <c r="K79" s="436">
        <v>0.49243365510800002</v>
      </c>
    </row>
    <row r="80" spans="1:11" ht="14.4" customHeight="1" thickBot="1" x14ac:dyDescent="0.35">
      <c r="A80" s="445" t="s">
        <v>360</v>
      </c>
      <c r="B80" s="423">
        <v>0</v>
      </c>
      <c r="C80" s="423">
        <v>11.444000000000001</v>
      </c>
      <c r="D80" s="424">
        <v>11.444000000000001</v>
      </c>
      <c r="E80" s="433" t="s">
        <v>317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>
        <v>4</v>
      </c>
    </row>
    <row r="81" spans="1:11" ht="14.4" customHeight="1" thickBot="1" x14ac:dyDescent="0.35">
      <c r="A81" s="445" t="s">
        <v>361</v>
      </c>
      <c r="B81" s="423">
        <v>65.167906593225993</v>
      </c>
      <c r="C81" s="423">
        <v>66.213049999999996</v>
      </c>
      <c r="D81" s="424">
        <v>1.0451434067730001</v>
      </c>
      <c r="E81" s="425">
        <v>1.0160377010920001</v>
      </c>
      <c r="F81" s="423">
        <v>62.566935763427999</v>
      </c>
      <c r="G81" s="424">
        <v>20.855645254475998</v>
      </c>
      <c r="H81" s="426">
        <v>3.3679999999999999</v>
      </c>
      <c r="I81" s="423">
        <v>33.192500000000003</v>
      </c>
      <c r="J81" s="424">
        <v>12.336854745523</v>
      </c>
      <c r="K81" s="427">
        <v>0.53051183656300005</v>
      </c>
    </row>
    <row r="82" spans="1:11" ht="14.4" customHeight="1" thickBot="1" x14ac:dyDescent="0.35">
      <c r="A82" s="445" t="s">
        <v>362</v>
      </c>
      <c r="B82" s="423">
        <v>2.0007288334809998</v>
      </c>
      <c r="C82" s="423">
        <v>0</v>
      </c>
      <c r="D82" s="424">
        <v>-2.0007288334809998</v>
      </c>
      <c r="E82" s="425">
        <v>0</v>
      </c>
      <c r="F82" s="423">
        <v>0</v>
      </c>
      <c r="G82" s="424">
        <v>0</v>
      </c>
      <c r="H82" s="426">
        <v>0</v>
      </c>
      <c r="I82" s="423">
        <v>0</v>
      </c>
      <c r="J82" s="424">
        <v>0</v>
      </c>
      <c r="K82" s="427">
        <v>4</v>
      </c>
    </row>
    <row r="83" spans="1:11" ht="14.4" customHeight="1" thickBot="1" x14ac:dyDescent="0.35">
      <c r="A83" s="445" t="s">
        <v>363</v>
      </c>
      <c r="B83" s="423">
        <v>0.69276258720499995</v>
      </c>
      <c r="C83" s="423">
        <v>0.58079999999999998</v>
      </c>
      <c r="D83" s="424">
        <v>-0.11196258720500001</v>
      </c>
      <c r="E83" s="425">
        <v>0.83838245702900005</v>
      </c>
      <c r="F83" s="423">
        <v>1.652689792596</v>
      </c>
      <c r="G83" s="424">
        <v>0.55089659753200004</v>
      </c>
      <c r="H83" s="426">
        <v>0</v>
      </c>
      <c r="I83" s="423">
        <v>0</v>
      </c>
      <c r="J83" s="424">
        <v>-0.55089659753200004</v>
      </c>
      <c r="K83" s="427">
        <v>0</v>
      </c>
    </row>
    <row r="84" spans="1:11" ht="14.4" customHeight="1" thickBot="1" x14ac:dyDescent="0.35">
      <c r="A84" s="445" t="s">
        <v>364</v>
      </c>
      <c r="B84" s="423">
        <v>0</v>
      </c>
      <c r="C84" s="423">
        <v>1.38666</v>
      </c>
      <c r="D84" s="424">
        <v>1.38666</v>
      </c>
      <c r="E84" s="433" t="s">
        <v>317</v>
      </c>
      <c r="F84" s="423">
        <v>3.1853936900150002</v>
      </c>
      <c r="G84" s="424">
        <v>1.061797896671</v>
      </c>
      <c r="H84" s="426">
        <v>0</v>
      </c>
      <c r="I84" s="423">
        <v>0</v>
      </c>
      <c r="J84" s="424">
        <v>-1.061797896671</v>
      </c>
      <c r="K84" s="427">
        <v>0</v>
      </c>
    </row>
    <row r="85" spans="1:11" ht="14.4" customHeight="1" thickBot="1" x14ac:dyDescent="0.35">
      <c r="A85" s="442" t="s">
        <v>48</v>
      </c>
      <c r="B85" s="423">
        <v>10074.049832651401</v>
      </c>
      <c r="C85" s="423">
        <v>10464.76491</v>
      </c>
      <c r="D85" s="424">
        <v>390.71507734864502</v>
      </c>
      <c r="E85" s="425">
        <v>1.038784310564</v>
      </c>
      <c r="F85" s="423">
        <v>10147.9996803626</v>
      </c>
      <c r="G85" s="424">
        <v>3382.6665601208601</v>
      </c>
      <c r="H85" s="426">
        <v>826.74296000000004</v>
      </c>
      <c r="I85" s="423">
        <v>3301.3386999999998</v>
      </c>
      <c r="J85" s="424">
        <v>-81.327860120862994</v>
      </c>
      <c r="K85" s="427">
        <v>0.32531915687599999</v>
      </c>
    </row>
    <row r="86" spans="1:11" ht="14.4" customHeight="1" thickBot="1" x14ac:dyDescent="0.35">
      <c r="A86" s="448" t="s">
        <v>365</v>
      </c>
      <c r="B86" s="428">
        <v>7468.9999999998699</v>
      </c>
      <c r="C86" s="428">
        <v>7775.7179999999998</v>
      </c>
      <c r="D86" s="429">
        <v>306.71800000013701</v>
      </c>
      <c r="E86" s="435">
        <v>1.0410654706110001</v>
      </c>
      <c r="F86" s="428">
        <v>7522.9997630437301</v>
      </c>
      <c r="G86" s="429">
        <v>2507.6665876812399</v>
      </c>
      <c r="H86" s="431">
        <v>612.404</v>
      </c>
      <c r="I86" s="428">
        <v>2445.442</v>
      </c>
      <c r="J86" s="429">
        <v>-62.224587681241999</v>
      </c>
      <c r="K86" s="436">
        <v>0.32506208653800001</v>
      </c>
    </row>
    <row r="87" spans="1:11" ht="14.4" customHeight="1" thickBot="1" x14ac:dyDescent="0.35">
      <c r="A87" s="444" t="s">
        <v>366</v>
      </c>
      <c r="B87" s="428">
        <v>7442.9999999998699</v>
      </c>
      <c r="C87" s="428">
        <v>7766.7830000000004</v>
      </c>
      <c r="D87" s="429">
        <v>323.78300000013797</v>
      </c>
      <c r="E87" s="435">
        <v>1.0435016794300001</v>
      </c>
      <c r="F87" s="428">
        <v>7499.9997637681699</v>
      </c>
      <c r="G87" s="429">
        <v>2499.9999212560601</v>
      </c>
      <c r="H87" s="431">
        <v>612.25599999999997</v>
      </c>
      <c r="I87" s="428">
        <v>2444.9059999999999</v>
      </c>
      <c r="J87" s="429">
        <v>-55.093921256057001</v>
      </c>
      <c r="K87" s="436">
        <v>0.32598747693399999</v>
      </c>
    </row>
    <row r="88" spans="1:11" ht="14.4" customHeight="1" thickBot="1" x14ac:dyDescent="0.35">
      <c r="A88" s="445" t="s">
        <v>367</v>
      </c>
      <c r="B88" s="423">
        <v>7442.9999999998699</v>
      </c>
      <c r="C88" s="423">
        <v>7766.7830000000004</v>
      </c>
      <c r="D88" s="424">
        <v>323.78300000013797</v>
      </c>
      <c r="E88" s="425">
        <v>1.0435016794300001</v>
      </c>
      <c r="F88" s="423">
        <v>7499.9997637681699</v>
      </c>
      <c r="G88" s="424">
        <v>2499.9999212560601</v>
      </c>
      <c r="H88" s="426">
        <v>612.25599999999997</v>
      </c>
      <c r="I88" s="423">
        <v>2444.9059999999999</v>
      </c>
      <c r="J88" s="424">
        <v>-55.093921256057001</v>
      </c>
      <c r="K88" s="427">
        <v>0.32598747693399999</v>
      </c>
    </row>
    <row r="89" spans="1:11" ht="14.4" customHeight="1" thickBot="1" x14ac:dyDescent="0.35">
      <c r="A89" s="444" t="s">
        <v>368</v>
      </c>
      <c r="B89" s="428">
        <v>0</v>
      </c>
      <c r="C89" s="428">
        <v>2.6280000000000001</v>
      </c>
      <c r="D89" s="429">
        <v>2.6280000000000001</v>
      </c>
      <c r="E89" s="430" t="s">
        <v>287</v>
      </c>
      <c r="F89" s="428">
        <v>0</v>
      </c>
      <c r="G89" s="429">
        <v>0</v>
      </c>
      <c r="H89" s="431">
        <v>0.14799999999999999</v>
      </c>
      <c r="I89" s="428">
        <v>0.53600000000000003</v>
      </c>
      <c r="J89" s="429">
        <v>0.53600000000000003</v>
      </c>
      <c r="K89" s="432" t="s">
        <v>287</v>
      </c>
    </row>
    <row r="90" spans="1:11" ht="14.4" customHeight="1" thickBot="1" x14ac:dyDescent="0.35">
      <c r="A90" s="445" t="s">
        <v>369</v>
      </c>
      <c r="B90" s="423">
        <v>0</v>
      </c>
      <c r="C90" s="423">
        <v>2.6280000000000001</v>
      </c>
      <c r="D90" s="424">
        <v>2.6280000000000001</v>
      </c>
      <c r="E90" s="433" t="s">
        <v>287</v>
      </c>
      <c r="F90" s="423">
        <v>0</v>
      </c>
      <c r="G90" s="424">
        <v>0</v>
      </c>
      <c r="H90" s="426">
        <v>0.14799999999999999</v>
      </c>
      <c r="I90" s="423">
        <v>0.53600000000000003</v>
      </c>
      <c r="J90" s="424">
        <v>0.53600000000000003</v>
      </c>
      <c r="K90" s="434" t="s">
        <v>287</v>
      </c>
    </row>
    <row r="91" spans="1:11" ht="14.4" customHeight="1" thickBot="1" x14ac:dyDescent="0.35">
      <c r="A91" s="444" t="s">
        <v>370</v>
      </c>
      <c r="B91" s="428">
        <v>25.999999999999002</v>
      </c>
      <c r="C91" s="428">
        <v>6.3070000000000004</v>
      </c>
      <c r="D91" s="429">
        <v>-19.692999999999</v>
      </c>
      <c r="E91" s="435">
        <v>0.24257692307600001</v>
      </c>
      <c r="F91" s="428">
        <v>22.999999275554998</v>
      </c>
      <c r="G91" s="429">
        <v>7.6666664251850003</v>
      </c>
      <c r="H91" s="431">
        <v>0</v>
      </c>
      <c r="I91" s="428">
        <v>0</v>
      </c>
      <c r="J91" s="429">
        <v>-7.6666664251850003</v>
      </c>
      <c r="K91" s="436">
        <v>0</v>
      </c>
    </row>
    <row r="92" spans="1:11" ht="14.4" customHeight="1" thickBot="1" x14ac:dyDescent="0.35">
      <c r="A92" s="445" t="s">
        <v>371</v>
      </c>
      <c r="B92" s="423">
        <v>25.999999999999002</v>
      </c>
      <c r="C92" s="423">
        <v>6.3070000000000004</v>
      </c>
      <c r="D92" s="424">
        <v>-19.692999999999</v>
      </c>
      <c r="E92" s="425">
        <v>0.24257692307600001</v>
      </c>
      <c r="F92" s="423">
        <v>22.999999275554998</v>
      </c>
      <c r="G92" s="424">
        <v>7.6666664251850003</v>
      </c>
      <c r="H92" s="426">
        <v>0</v>
      </c>
      <c r="I92" s="423">
        <v>0</v>
      </c>
      <c r="J92" s="424">
        <v>-7.6666664251850003</v>
      </c>
      <c r="K92" s="427">
        <v>0</v>
      </c>
    </row>
    <row r="93" spans="1:11" ht="14.4" customHeight="1" thickBot="1" x14ac:dyDescent="0.35">
      <c r="A93" s="443" t="s">
        <v>372</v>
      </c>
      <c r="B93" s="423">
        <v>2531.0498326514899</v>
      </c>
      <c r="C93" s="423">
        <v>2611.2853799999998</v>
      </c>
      <c r="D93" s="424">
        <v>80.235547348506003</v>
      </c>
      <c r="E93" s="425">
        <v>1.03170050084</v>
      </c>
      <c r="F93" s="423">
        <v>2549.99991968118</v>
      </c>
      <c r="G93" s="424">
        <v>849.99997322705997</v>
      </c>
      <c r="H93" s="426">
        <v>208.21700000000001</v>
      </c>
      <c r="I93" s="423">
        <v>831.44850000000099</v>
      </c>
      <c r="J93" s="424">
        <v>-18.551473227058999</v>
      </c>
      <c r="K93" s="427">
        <v>0.32605824556399998</v>
      </c>
    </row>
    <row r="94" spans="1:11" ht="14.4" customHeight="1" thickBot="1" x14ac:dyDescent="0.35">
      <c r="A94" s="444" t="s">
        <v>373</v>
      </c>
      <c r="B94" s="428">
        <v>670.04983265153305</v>
      </c>
      <c r="C94" s="428">
        <v>699.25063</v>
      </c>
      <c r="D94" s="429">
        <v>29.200797348466999</v>
      </c>
      <c r="E94" s="435">
        <v>1.0435800382680001</v>
      </c>
      <c r="F94" s="428">
        <v>674.99997873913605</v>
      </c>
      <c r="G94" s="429">
        <v>224.99999291304499</v>
      </c>
      <c r="H94" s="431">
        <v>55.116</v>
      </c>
      <c r="I94" s="428">
        <v>220.08799999999999</v>
      </c>
      <c r="J94" s="429">
        <v>-4.9119929130450002</v>
      </c>
      <c r="K94" s="436">
        <v>0.32605630656599999</v>
      </c>
    </row>
    <row r="95" spans="1:11" ht="14.4" customHeight="1" thickBot="1" x14ac:dyDescent="0.35">
      <c r="A95" s="445" t="s">
        <v>374</v>
      </c>
      <c r="B95" s="423">
        <v>670.04983265153305</v>
      </c>
      <c r="C95" s="423">
        <v>699.25063</v>
      </c>
      <c r="D95" s="424">
        <v>29.200797348466999</v>
      </c>
      <c r="E95" s="425">
        <v>1.0435800382680001</v>
      </c>
      <c r="F95" s="423">
        <v>674.99997873913605</v>
      </c>
      <c r="G95" s="424">
        <v>224.99999291304499</v>
      </c>
      <c r="H95" s="426">
        <v>55.116</v>
      </c>
      <c r="I95" s="423">
        <v>220.08799999999999</v>
      </c>
      <c r="J95" s="424">
        <v>-4.9119929130450002</v>
      </c>
      <c r="K95" s="427">
        <v>0.32605630656599999</v>
      </c>
    </row>
    <row r="96" spans="1:11" ht="14.4" customHeight="1" thickBot="1" x14ac:dyDescent="0.35">
      <c r="A96" s="444" t="s">
        <v>375</v>
      </c>
      <c r="B96" s="428">
        <v>1860.99999999996</v>
      </c>
      <c r="C96" s="428">
        <v>1912.03475</v>
      </c>
      <c r="D96" s="429">
        <v>51.034750000038002</v>
      </c>
      <c r="E96" s="435">
        <v>1.0274232939279999</v>
      </c>
      <c r="F96" s="428">
        <v>1874.99994094204</v>
      </c>
      <c r="G96" s="429">
        <v>624.99998031401503</v>
      </c>
      <c r="H96" s="431">
        <v>153.101</v>
      </c>
      <c r="I96" s="428">
        <v>611.3605</v>
      </c>
      <c r="J96" s="429">
        <v>-13.639480314014</v>
      </c>
      <c r="K96" s="436">
        <v>0.32605894360299997</v>
      </c>
    </row>
    <row r="97" spans="1:11" ht="14.4" customHeight="1" thickBot="1" x14ac:dyDescent="0.35">
      <c r="A97" s="445" t="s">
        <v>376</v>
      </c>
      <c r="B97" s="423">
        <v>1860.99999999996</v>
      </c>
      <c r="C97" s="423">
        <v>1912.03475</v>
      </c>
      <c r="D97" s="424">
        <v>51.034750000038002</v>
      </c>
      <c r="E97" s="425">
        <v>1.0274232939279999</v>
      </c>
      <c r="F97" s="423">
        <v>1874.99994094204</v>
      </c>
      <c r="G97" s="424">
        <v>624.99998031401503</v>
      </c>
      <c r="H97" s="426">
        <v>153.101</v>
      </c>
      <c r="I97" s="423">
        <v>611.3605</v>
      </c>
      <c r="J97" s="424">
        <v>-13.639480314014</v>
      </c>
      <c r="K97" s="427">
        <v>0.32605894360299997</v>
      </c>
    </row>
    <row r="98" spans="1:11" ht="14.4" customHeight="1" thickBot="1" x14ac:dyDescent="0.35">
      <c r="A98" s="443" t="s">
        <v>377</v>
      </c>
      <c r="B98" s="423">
        <v>73.999999999997996</v>
      </c>
      <c r="C98" s="423">
        <v>77.761529999999993</v>
      </c>
      <c r="D98" s="424">
        <v>3.7615300000010001</v>
      </c>
      <c r="E98" s="425">
        <v>1.050831486486</v>
      </c>
      <c r="F98" s="423">
        <v>74.999997637681005</v>
      </c>
      <c r="G98" s="424">
        <v>24.999999212559999</v>
      </c>
      <c r="H98" s="426">
        <v>6.1219599999999996</v>
      </c>
      <c r="I98" s="423">
        <v>24.4482</v>
      </c>
      <c r="J98" s="424">
        <v>-0.55179921255999997</v>
      </c>
      <c r="K98" s="427">
        <v>0.32597601026700002</v>
      </c>
    </row>
    <row r="99" spans="1:11" ht="14.4" customHeight="1" thickBot="1" x14ac:dyDescent="0.35">
      <c r="A99" s="444" t="s">
        <v>378</v>
      </c>
      <c r="B99" s="428">
        <v>73.999999999997996</v>
      </c>
      <c r="C99" s="428">
        <v>77.761529999999993</v>
      </c>
      <c r="D99" s="429">
        <v>3.7615300000010001</v>
      </c>
      <c r="E99" s="435">
        <v>1.050831486486</v>
      </c>
      <c r="F99" s="428">
        <v>74.999997637681005</v>
      </c>
      <c r="G99" s="429">
        <v>24.999999212559999</v>
      </c>
      <c r="H99" s="431">
        <v>6.1219599999999996</v>
      </c>
      <c r="I99" s="428">
        <v>24.4482</v>
      </c>
      <c r="J99" s="429">
        <v>-0.55179921255999997</v>
      </c>
      <c r="K99" s="436">
        <v>0.32597601026700002</v>
      </c>
    </row>
    <row r="100" spans="1:11" ht="14.4" customHeight="1" thickBot="1" x14ac:dyDescent="0.35">
      <c r="A100" s="445" t="s">
        <v>379</v>
      </c>
      <c r="B100" s="423">
        <v>73.999999999997996</v>
      </c>
      <c r="C100" s="423">
        <v>77.761529999999993</v>
      </c>
      <c r="D100" s="424">
        <v>3.7615300000010001</v>
      </c>
      <c r="E100" s="425">
        <v>1.050831486486</v>
      </c>
      <c r="F100" s="423">
        <v>74.999997637681005</v>
      </c>
      <c r="G100" s="424">
        <v>24.999999212559999</v>
      </c>
      <c r="H100" s="426">
        <v>6.1219599999999996</v>
      </c>
      <c r="I100" s="423">
        <v>24.4482</v>
      </c>
      <c r="J100" s="424">
        <v>-0.55179921255999997</v>
      </c>
      <c r="K100" s="427">
        <v>0.32597601026700002</v>
      </c>
    </row>
    <row r="101" spans="1:11" ht="14.4" customHeight="1" thickBot="1" x14ac:dyDescent="0.35">
      <c r="A101" s="442" t="s">
        <v>380</v>
      </c>
      <c r="B101" s="423">
        <v>0</v>
      </c>
      <c r="C101" s="423">
        <v>85.842330000000004</v>
      </c>
      <c r="D101" s="424">
        <v>85.842330000000004</v>
      </c>
      <c r="E101" s="433" t="s">
        <v>287</v>
      </c>
      <c r="F101" s="423">
        <v>0</v>
      </c>
      <c r="G101" s="424">
        <v>0</v>
      </c>
      <c r="H101" s="426">
        <v>4.9000000000000004</v>
      </c>
      <c r="I101" s="423">
        <v>10.79725</v>
      </c>
      <c r="J101" s="424">
        <v>10.79725</v>
      </c>
      <c r="K101" s="434" t="s">
        <v>287</v>
      </c>
    </row>
    <row r="102" spans="1:11" ht="14.4" customHeight="1" thickBot="1" x14ac:dyDescent="0.35">
      <c r="A102" s="443" t="s">
        <v>381</v>
      </c>
      <c r="B102" s="423">
        <v>0</v>
      </c>
      <c r="C102" s="423">
        <v>9.3529999999999998</v>
      </c>
      <c r="D102" s="424">
        <v>9.3529999999999998</v>
      </c>
      <c r="E102" s="433" t="s">
        <v>287</v>
      </c>
      <c r="F102" s="423">
        <v>0</v>
      </c>
      <c r="G102" s="424">
        <v>0</v>
      </c>
      <c r="H102" s="426">
        <v>0</v>
      </c>
      <c r="I102" s="423">
        <v>0</v>
      </c>
      <c r="J102" s="424">
        <v>0</v>
      </c>
      <c r="K102" s="434" t="s">
        <v>287</v>
      </c>
    </row>
    <row r="103" spans="1:11" ht="14.4" customHeight="1" thickBot="1" x14ac:dyDescent="0.35">
      <c r="A103" s="444" t="s">
        <v>382</v>
      </c>
      <c r="B103" s="428">
        <v>0</v>
      </c>
      <c r="C103" s="428">
        <v>9.3529999999999998</v>
      </c>
      <c r="D103" s="429">
        <v>9.3529999999999998</v>
      </c>
      <c r="E103" s="430" t="s">
        <v>287</v>
      </c>
      <c r="F103" s="428">
        <v>0</v>
      </c>
      <c r="G103" s="429">
        <v>0</v>
      </c>
      <c r="H103" s="431">
        <v>0</v>
      </c>
      <c r="I103" s="428">
        <v>0</v>
      </c>
      <c r="J103" s="429">
        <v>0</v>
      </c>
      <c r="K103" s="432" t="s">
        <v>287</v>
      </c>
    </row>
    <row r="104" spans="1:11" ht="14.4" customHeight="1" thickBot="1" x14ac:dyDescent="0.35">
      <c r="A104" s="445" t="s">
        <v>383</v>
      </c>
      <c r="B104" s="423">
        <v>0</v>
      </c>
      <c r="C104" s="423">
        <v>9.3529999999999998</v>
      </c>
      <c r="D104" s="424">
        <v>9.3529999999999998</v>
      </c>
      <c r="E104" s="433" t="s">
        <v>287</v>
      </c>
      <c r="F104" s="423">
        <v>0</v>
      </c>
      <c r="G104" s="424">
        <v>0</v>
      </c>
      <c r="H104" s="426">
        <v>0</v>
      </c>
      <c r="I104" s="423">
        <v>0</v>
      </c>
      <c r="J104" s="424">
        <v>0</v>
      </c>
      <c r="K104" s="434" t="s">
        <v>287</v>
      </c>
    </row>
    <row r="105" spans="1:11" ht="14.4" customHeight="1" thickBot="1" x14ac:dyDescent="0.35">
      <c r="A105" s="443" t="s">
        <v>384</v>
      </c>
      <c r="B105" s="423">
        <v>0</v>
      </c>
      <c r="C105" s="423">
        <v>76.489329999999995</v>
      </c>
      <c r="D105" s="424">
        <v>76.489329999999995</v>
      </c>
      <c r="E105" s="433" t="s">
        <v>287</v>
      </c>
      <c r="F105" s="423">
        <v>0</v>
      </c>
      <c r="G105" s="424">
        <v>0</v>
      </c>
      <c r="H105" s="426">
        <v>4.9000000000000004</v>
      </c>
      <c r="I105" s="423">
        <v>10.79725</v>
      </c>
      <c r="J105" s="424">
        <v>10.79725</v>
      </c>
      <c r="K105" s="434" t="s">
        <v>287</v>
      </c>
    </row>
    <row r="106" spans="1:11" ht="14.4" customHeight="1" thickBot="1" x14ac:dyDescent="0.35">
      <c r="A106" s="444" t="s">
        <v>385</v>
      </c>
      <c r="B106" s="428">
        <v>0</v>
      </c>
      <c r="C106" s="428">
        <v>62.411000000000001</v>
      </c>
      <c r="D106" s="429">
        <v>62.411000000000001</v>
      </c>
      <c r="E106" s="430" t="s">
        <v>287</v>
      </c>
      <c r="F106" s="428">
        <v>0</v>
      </c>
      <c r="G106" s="429">
        <v>0</v>
      </c>
      <c r="H106" s="431">
        <v>3.4</v>
      </c>
      <c r="I106" s="428">
        <v>9.29725</v>
      </c>
      <c r="J106" s="429">
        <v>9.29725</v>
      </c>
      <c r="K106" s="432" t="s">
        <v>287</v>
      </c>
    </row>
    <row r="107" spans="1:11" ht="14.4" customHeight="1" thickBot="1" x14ac:dyDescent="0.35">
      <c r="A107" s="445" t="s">
        <v>386</v>
      </c>
      <c r="B107" s="423">
        <v>0</v>
      </c>
      <c r="C107" s="423">
        <v>2.2610000000000001</v>
      </c>
      <c r="D107" s="424">
        <v>2.2610000000000001</v>
      </c>
      <c r="E107" s="433" t="s">
        <v>287</v>
      </c>
      <c r="F107" s="423">
        <v>0</v>
      </c>
      <c r="G107" s="424">
        <v>0</v>
      </c>
      <c r="H107" s="426">
        <v>0</v>
      </c>
      <c r="I107" s="423">
        <v>0.49725000000000003</v>
      </c>
      <c r="J107" s="424">
        <v>0.49725000000000003</v>
      </c>
      <c r="K107" s="434" t="s">
        <v>287</v>
      </c>
    </row>
    <row r="108" spans="1:11" ht="14.4" customHeight="1" thickBot="1" x14ac:dyDescent="0.35">
      <c r="A108" s="445" t="s">
        <v>387</v>
      </c>
      <c r="B108" s="423">
        <v>0</v>
      </c>
      <c r="C108" s="423">
        <v>46.15</v>
      </c>
      <c r="D108" s="424">
        <v>46.15</v>
      </c>
      <c r="E108" s="433" t="s">
        <v>287</v>
      </c>
      <c r="F108" s="423">
        <v>0</v>
      </c>
      <c r="G108" s="424">
        <v>0</v>
      </c>
      <c r="H108" s="426">
        <v>0</v>
      </c>
      <c r="I108" s="423">
        <v>0</v>
      </c>
      <c r="J108" s="424">
        <v>0</v>
      </c>
      <c r="K108" s="434" t="s">
        <v>287</v>
      </c>
    </row>
    <row r="109" spans="1:11" ht="14.4" customHeight="1" thickBot="1" x14ac:dyDescent="0.35">
      <c r="A109" s="445" t="s">
        <v>388</v>
      </c>
      <c r="B109" s="423">
        <v>0</v>
      </c>
      <c r="C109" s="423">
        <v>14</v>
      </c>
      <c r="D109" s="424">
        <v>14</v>
      </c>
      <c r="E109" s="433" t="s">
        <v>287</v>
      </c>
      <c r="F109" s="423">
        <v>0</v>
      </c>
      <c r="G109" s="424">
        <v>0</v>
      </c>
      <c r="H109" s="426">
        <v>3.4</v>
      </c>
      <c r="I109" s="423">
        <v>8.8000000000000007</v>
      </c>
      <c r="J109" s="424">
        <v>8.8000000000000007</v>
      </c>
      <c r="K109" s="434" t="s">
        <v>287</v>
      </c>
    </row>
    <row r="110" spans="1:11" ht="14.4" customHeight="1" thickBot="1" x14ac:dyDescent="0.35">
      <c r="A110" s="444" t="s">
        <v>389</v>
      </c>
      <c r="B110" s="428">
        <v>0</v>
      </c>
      <c r="C110" s="428">
        <v>-1.13167</v>
      </c>
      <c r="D110" s="429">
        <v>-1.13167</v>
      </c>
      <c r="E110" s="430" t="s">
        <v>317</v>
      </c>
      <c r="F110" s="428">
        <v>0</v>
      </c>
      <c r="G110" s="429">
        <v>0</v>
      </c>
      <c r="H110" s="431">
        <v>0</v>
      </c>
      <c r="I110" s="428">
        <v>0</v>
      </c>
      <c r="J110" s="429">
        <v>0</v>
      </c>
      <c r="K110" s="432" t="s">
        <v>287</v>
      </c>
    </row>
    <row r="111" spans="1:11" ht="14.4" customHeight="1" thickBot="1" x14ac:dyDescent="0.35">
      <c r="A111" s="445" t="s">
        <v>390</v>
      </c>
      <c r="B111" s="423">
        <v>0</v>
      </c>
      <c r="C111" s="423">
        <v>-1.13167</v>
      </c>
      <c r="D111" s="424">
        <v>-1.13167</v>
      </c>
      <c r="E111" s="433" t="s">
        <v>317</v>
      </c>
      <c r="F111" s="423">
        <v>0</v>
      </c>
      <c r="G111" s="424">
        <v>0</v>
      </c>
      <c r="H111" s="426">
        <v>0</v>
      </c>
      <c r="I111" s="423">
        <v>0</v>
      </c>
      <c r="J111" s="424">
        <v>0</v>
      </c>
      <c r="K111" s="434" t="s">
        <v>287</v>
      </c>
    </row>
    <row r="112" spans="1:11" ht="14.4" customHeight="1" thickBot="1" x14ac:dyDescent="0.35">
      <c r="A112" s="447" t="s">
        <v>391</v>
      </c>
      <c r="B112" s="423">
        <v>0</v>
      </c>
      <c r="C112" s="423">
        <v>14.2</v>
      </c>
      <c r="D112" s="424">
        <v>14.2</v>
      </c>
      <c r="E112" s="433" t="s">
        <v>287</v>
      </c>
      <c r="F112" s="423">
        <v>0</v>
      </c>
      <c r="G112" s="424">
        <v>0</v>
      </c>
      <c r="H112" s="426">
        <v>1.5</v>
      </c>
      <c r="I112" s="423">
        <v>1.5</v>
      </c>
      <c r="J112" s="424">
        <v>1.5</v>
      </c>
      <c r="K112" s="434" t="s">
        <v>287</v>
      </c>
    </row>
    <row r="113" spans="1:11" ht="14.4" customHeight="1" thickBot="1" x14ac:dyDescent="0.35">
      <c r="A113" s="445" t="s">
        <v>392</v>
      </c>
      <c r="B113" s="423">
        <v>0</v>
      </c>
      <c r="C113" s="423">
        <v>14.2</v>
      </c>
      <c r="D113" s="424">
        <v>14.2</v>
      </c>
      <c r="E113" s="433" t="s">
        <v>287</v>
      </c>
      <c r="F113" s="423">
        <v>0</v>
      </c>
      <c r="G113" s="424">
        <v>0</v>
      </c>
      <c r="H113" s="426">
        <v>1.5</v>
      </c>
      <c r="I113" s="423">
        <v>1.5</v>
      </c>
      <c r="J113" s="424">
        <v>1.5</v>
      </c>
      <c r="K113" s="434" t="s">
        <v>287</v>
      </c>
    </row>
    <row r="114" spans="1:11" ht="14.4" customHeight="1" thickBot="1" x14ac:dyDescent="0.35">
      <c r="A114" s="444" t="s">
        <v>393</v>
      </c>
      <c r="B114" s="428">
        <v>0</v>
      </c>
      <c r="C114" s="428">
        <v>1.01</v>
      </c>
      <c r="D114" s="429">
        <v>1.01</v>
      </c>
      <c r="E114" s="430" t="s">
        <v>287</v>
      </c>
      <c r="F114" s="428">
        <v>0</v>
      </c>
      <c r="G114" s="429">
        <v>0</v>
      </c>
      <c r="H114" s="431">
        <v>0</v>
      </c>
      <c r="I114" s="428">
        <v>0</v>
      </c>
      <c r="J114" s="429">
        <v>0</v>
      </c>
      <c r="K114" s="432" t="s">
        <v>287</v>
      </c>
    </row>
    <row r="115" spans="1:11" ht="14.4" customHeight="1" thickBot="1" x14ac:dyDescent="0.35">
      <c r="A115" s="445" t="s">
        <v>394</v>
      </c>
      <c r="B115" s="423">
        <v>0</v>
      </c>
      <c r="C115" s="423">
        <v>1.01</v>
      </c>
      <c r="D115" s="424">
        <v>1.01</v>
      </c>
      <c r="E115" s="433" t="s">
        <v>287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34" t="s">
        <v>287</v>
      </c>
    </row>
    <row r="116" spans="1:11" ht="14.4" customHeight="1" thickBot="1" x14ac:dyDescent="0.35">
      <c r="A116" s="442" t="s">
        <v>395</v>
      </c>
      <c r="B116" s="423">
        <v>837.06966017508898</v>
      </c>
      <c r="C116" s="423">
        <v>856.21900000000005</v>
      </c>
      <c r="D116" s="424">
        <v>19.149339824910999</v>
      </c>
      <c r="E116" s="425">
        <v>1.022876638272</v>
      </c>
      <c r="F116" s="423">
        <v>706.99718157935399</v>
      </c>
      <c r="G116" s="424">
        <v>235.66572719311799</v>
      </c>
      <c r="H116" s="426">
        <v>57.658000000000001</v>
      </c>
      <c r="I116" s="423">
        <v>246.517</v>
      </c>
      <c r="J116" s="424">
        <v>10.851272806881999</v>
      </c>
      <c r="K116" s="427">
        <v>0.34868172946499998</v>
      </c>
    </row>
    <row r="117" spans="1:11" ht="14.4" customHeight="1" thickBot="1" x14ac:dyDescent="0.35">
      <c r="A117" s="443" t="s">
        <v>396</v>
      </c>
      <c r="B117" s="423">
        <v>797.06966017508898</v>
      </c>
      <c r="C117" s="423">
        <v>789.702</v>
      </c>
      <c r="D117" s="424">
        <v>-7.367660175088</v>
      </c>
      <c r="E117" s="425">
        <v>0.99075656678000001</v>
      </c>
      <c r="F117" s="423">
        <v>706.99718157935399</v>
      </c>
      <c r="G117" s="424">
        <v>235.66572719311799</v>
      </c>
      <c r="H117" s="426">
        <v>57.658000000000001</v>
      </c>
      <c r="I117" s="423">
        <v>235.73699999999999</v>
      </c>
      <c r="J117" s="424">
        <v>7.1272806881999995E-2</v>
      </c>
      <c r="K117" s="427">
        <v>0.33343414392800003</v>
      </c>
    </row>
    <row r="118" spans="1:11" ht="14.4" customHeight="1" thickBot="1" x14ac:dyDescent="0.35">
      <c r="A118" s="444" t="s">
        <v>397</v>
      </c>
      <c r="B118" s="428">
        <v>797.06966017508898</v>
      </c>
      <c r="C118" s="428">
        <v>789.702</v>
      </c>
      <c r="D118" s="429">
        <v>-7.367660175088</v>
      </c>
      <c r="E118" s="435">
        <v>0.99075656678000001</v>
      </c>
      <c r="F118" s="428">
        <v>706.99718157935399</v>
      </c>
      <c r="G118" s="429">
        <v>235.66572719311799</v>
      </c>
      <c r="H118" s="431">
        <v>57.658000000000001</v>
      </c>
      <c r="I118" s="428">
        <v>233.81399999999999</v>
      </c>
      <c r="J118" s="429">
        <v>-1.8517271931170001</v>
      </c>
      <c r="K118" s="436">
        <v>0.330714189662</v>
      </c>
    </row>
    <row r="119" spans="1:11" ht="14.4" customHeight="1" thickBot="1" x14ac:dyDescent="0.35">
      <c r="A119" s="445" t="s">
        <v>398</v>
      </c>
      <c r="B119" s="423">
        <v>46.998132700413002</v>
      </c>
      <c r="C119" s="423">
        <v>43.582000000000001</v>
      </c>
      <c r="D119" s="424">
        <v>-3.4161327004130002</v>
      </c>
      <c r="E119" s="425">
        <v>0.92731343770200003</v>
      </c>
      <c r="F119" s="423">
        <v>37.999998803091003</v>
      </c>
      <c r="G119" s="424">
        <v>12.666666267697</v>
      </c>
      <c r="H119" s="426">
        <v>3.137</v>
      </c>
      <c r="I119" s="423">
        <v>12.547000000000001</v>
      </c>
      <c r="J119" s="424">
        <v>-0.11966626769700001</v>
      </c>
      <c r="K119" s="427">
        <v>0.33018422092600003</v>
      </c>
    </row>
    <row r="120" spans="1:11" ht="14.4" customHeight="1" thickBot="1" x14ac:dyDescent="0.35">
      <c r="A120" s="445" t="s">
        <v>399</v>
      </c>
      <c r="B120" s="423">
        <v>62.999999999998003</v>
      </c>
      <c r="C120" s="423">
        <v>63.13</v>
      </c>
      <c r="D120" s="424">
        <v>0.13000000000100001</v>
      </c>
      <c r="E120" s="425">
        <v>1.002063492063</v>
      </c>
      <c r="F120" s="423">
        <v>62.99999801565</v>
      </c>
      <c r="G120" s="424">
        <v>20.999999338550001</v>
      </c>
      <c r="H120" s="426">
        <v>5.26</v>
      </c>
      <c r="I120" s="423">
        <v>21.04</v>
      </c>
      <c r="J120" s="424">
        <v>4.0000661448999997E-2</v>
      </c>
      <c r="K120" s="427">
        <v>0.33396826448700001</v>
      </c>
    </row>
    <row r="121" spans="1:11" ht="14.4" customHeight="1" thickBot="1" x14ac:dyDescent="0.35">
      <c r="A121" s="445" t="s">
        <v>400</v>
      </c>
      <c r="B121" s="423">
        <v>4.0751735582590003</v>
      </c>
      <c r="C121" s="423">
        <v>3.7919999999999998</v>
      </c>
      <c r="D121" s="424">
        <v>-0.28317355825899998</v>
      </c>
      <c r="E121" s="425">
        <v>0.93051251579500005</v>
      </c>
      <c r="F121" s="423">
        <v>0.99999996850200001</v>
      </c>
      <c r="G121" s="424">
        <v>0.33333332283400002</v>
      </c>
      <c r="H121" s="426">
        <v>0</v>
      </c>
      <c r="I121" s="423">
        <v>0.94799999999999995</v>
      </c>
      <c r="J121" s="424">
        <v>0.61466667716500001</v>
      </c>
      <c r="K121" s="427">
        <v>0.948000029859</v>
      </c>
    </row>
    <row r="122" spans="1:11" ht="14.4" customHeight="1" thickBot="1" x14ac:dyDescent="0.35">
      <c r="A122" s="445" t="s">
        <v>401</v>
      </c>
      <c r="B122" s="423">
        <v>295.99635391642403</v>
      </c>
      <c r="C122" s="423">
        <v>291.58300000000003</v>
      </c>
      <c r="D122" s="424">
        <v>-4.4133539164229996</v>
      </c>
      <c r="E122" s="425">
        <v>0.98508983689100005</v>
      </c>
      <c r="F122" s="423">
        <v>284.997194871342</v>
      </c>
      <c r="G122" s="424">
        <v>94.999064957113006</v>
      </c>
      <c r="H122" s="426">
        <v>23.667999999999999</v>
      </c>
      <c r="I122" s="423">
        <v>94.671000000000006</v>
      </c>
      <c r="J122" s="424">
        <v>-0.32806495711299999</v>
      </c>
      <c r="K122" s="427">
        <v>0.33218221688999999</v>
      </c>
    </row>
    <row r="123" spans="1:11" ht="14.4" customHeight="1" thickBot="1" x14ac:dyDescent="0.35">
      <c r="A123" s="445" t="s">
        <v>402</v>
      </c>
      <c r="B123" s="423">
        <v>317.99999999999397</v>
      </c>
      <c r="C123" s="423">
        <v>318.81799999999998</v>
      </c>
      <c r="D123" s="424">
        <v>0.81800000000499995</v>
      </c>
      <c r="E123" s="425">
        <v>1.0025723270439999</v>
      </c>
      <c r="F123" s="423">
        <v>316.99999001526101</v>
      </c>
      <c r="G123" s="424">
        <v>105.66666333841999</v>
      </c>
      <c r="H123" s="426">
        <v>25.344000000000001</v>
      </c>
      <c r="I123" s="423">
        <v>103.61199999999999</v>
      </c>
      <c r="J123" s="424">
        <v>-2.0546633384200002</v>
      </c>
      <c r="K123" s="427">
        <v>0.32685174531</v>
      </c>
    </row>
    <row r="124" spans="1:11" ht="14.4" customHeight="1" thickBot="1" x14ac:dyDescent="0.35">
      <c r="A124" s="445" t="s">
        <v>403</v>
      </c>
      <c r="B124" s="423">
        <v>68.999999999997996</v>
      </c>
      <c r="C124" s="423">
        <v>68.796999999999997</v>
      </c>
      <c r="D124" s="424">
        <v>-0.202999999998</v>
      </c>
      <c r="E124" s="425">
        <v>0.99705797101399996</v>
      </c>
      <c r="F124" s="423">
        <v>2.9999999055069999</v>
      </c>
      <c r="G124" s="424">
        <v>0.99999996850200001</v>
      </c>
      <c r="H124" s="426">
        <v>0.249</v>
      </c>
      <c r="I124" s="423">
        <v>0.996</v>
      </c>
      <c r="J124" s="424">
        <v>-3.9999685020000002E-3</v>
      </c>
      <c r="K124" s="427">
        <v>0.33200001045700001</v>
      </c>
    </row>
    <row r="125" spans="1:11" ht="14.4" customHeight="1" thickBot="1" x14ac:dyDescent="0.35">
      <c r="A125" s="444" t="s">
        <v>404</v>
      </c>
      <c r="B125" s="428">
        <v>0</v>
      </c>
      <c r="C125" s="428">
        <v>0</v>
      </c>
      <c r="D125" s="429">
        <v>0</v>
      </c>
      <c r="E125" s="435">
        <v>1</v>
      </c>
      <c r="F125" s="428">
        <v>0</v>
      </c>
      <c r="G125" s="429">
        <v>0</v>
      </c>
      <c r="H125" s="431">
        <v>0</v>
      </c>
      <c r="I125" s="428">
        <v>1.923</v>
      </c>
      <c r="J125" s="429">
        <v>1.923</v>
      </c>
      <c r="K125" s="432" t="s">
        <v>317</v>
      </c>
    </row>
    <row r="126" spans="1:11" ht="14.4" customHeight="1" thickBot="1" x14ac:dyDescent="0.35">
      <c r="A126" s="445" t="s">
        <v>405</v>
      </c>
      <c r="B126" s="423">
        <v>0</v>
      </c>
      <c r="C126" s="423">
        <v>0</v>
      </c>
      <c r="D126" s="424">
        <v>0</v>
      </c>
      <c r="E126" s="425">
        <v>1</v>
      </c>
      <c r="F126" s="423">
        <v>0</v>
      </c>
      <c r="G126" s="424">
        <v>0</v>
      </c>
      <c r="H126" s="426">
        <v>0</v>
      </c>
      <c r="I126" s="423">
        <v>1.923</v>
      </c>
      <c r="J126" s="424">
        <v>1.923</v>
      </c>
      <c r="K126" s="434" t="s">
        <v>317</v>
      </c>
    </row>
    <row r="127" spans="1:11" ht="14.4" customHeight="1" thickBot="1" x14ac:dyDescent="0.35">
      <c r="A127" s="443" t="s">
        <v>406</v>
      </c>
      <c r="B127" s="423">
        <v>40</v>
      </c>
      <c r="C127" s="423">
        <v>66.516999999999996</v>
      </c>
      <c r="D127" s="424">
        <v>26.516999999999999</v>
      </c>
      <c r="E127" s="425">
        <v>1.662925</v>
      </c>
      <c r="F127" s="423">
        <v>0</v>
      </c>
      <c r="G127" s="424">
        <v>0</v>
      </c>
      <c r="H127" s="426">
        <v>0</v>
      </c>
      <c r="I127" s="423">
        <v>10.78</v>
      </c>
      <c r="J127" s="424">
        <v>10.78</v>
      </c>
      <c r="K127" s="434" t="s">
        <v>287</v>
      </c>
    </row>
    <row r="128" spans="1:11" ht="14.4" customHeight="1" thickBot="1" x14ac:dyDescent="0.35">
      <c r="A128" s="444" t="s">
        <v>407</v>
      </c>
      <c r="B128" s="428">
        <v>40</v>
      </c>
      <c r="C128" s="428">
        <v>46.768000000000001</v>
      </c>
      <c r="D128" s="429">
        <v>6.7679999999999998</v>
      </c>
      <c r="E128" s="435">
        <v>1.1692</v>
      </c>
      <c r="F128" s="428">
        <v>0</v>
      </c>
      <c r="G128" s="429">
        <v>0</v>
      </c>
      <c r="H128" s="431">
        <v>0</v>
      </c>
      <c r="I128" s="428">
        <v>0</v>
      </c>
      <c r="J128" s="429">
        <v>0</v>
      </c>
      <c r="K128" s="432" t="s">
        <v>287</v>
      </c>
    </row>
    <row r="129" spans="1:11" ht="14.4" customHeight="1" thickBot="1" x14ac:dyDescent="0.35">
      <c r="A129" s="445" t="s">
        <v>408</v>
      </c>
      <c r="B129" s="423">
        <v>40</v>
      </c>
      <c r="C129" s="423">
        <v>25</v>
      </c>
      <c r="D129" s="424">
        <v>-15</v>
      </c>
      <c r="E129" s="425">
        <v>0.625</v>
      </c>
      <c r="F129" s="423">
        <v>0</v>
      </c>
      <c r="G129" s="424">
        <v>0</v>
      </c>
      <c r="H129" s="426">
        <v>0</v>
      </c>
      <c r="I129" s="423">
        <v>0</v>
      </c>
      <c r="J129" s="424">
        <v>0</v>
      </c>
      <c r="K129" s="434" t="s">
        <v>287</v>
      </c>
    </row>
    <row r="130" spans="1:11" ht="14.4" customHeight="1" thickBot="1" x14ac:dyDescent="0.35">
      <c r="A130" s="445" t="s">
        <v>409</v>
      </c>
      <c r="B130" s="423">
        <v>0</v>
      </c>
      <c r="C130" s="423">
        <v>21.768000000000001</v>
      </c>
      <c r="D130" s="424">
        <v>21.768000000000001</v>
      </c>
      <c r="E130" s="433" t="s">
        <v>287</v>
      </c>
      <c r="F130" s="423">
        <v>0</v>
      </c>
      <c r="G130" s="424">
        <v>0</v>
      </c>
      <c r="H130" s="426">
        <v>0</v>
      </c>
      <c r="I130" s="423">
        <v>0</v>
      </c>
      <c r="J130" s="424">
        <v>0</v>
      </c>
      <c r="K130" s="434" t="s">
        <v>287</v>
      </c>
    </row>
    <row r="131" spans="1:11" ht="14.4" customHeight="1" thickBot="1" x14ac:dyDescent="0.35">
      <c r="A131" s="444" t="s">
        <v>410</v>
      </c>
      <c r="B131" s="428">
        <v>0</v>
      </c>
      <c r="C131" s="428">
        <v>19.748999999999999</v>
      </c>
      <c r="D131" s="429">
        <v>19.748999999999999</v>
      </c>
      <c r="E131" s="430" t="s">
        <v>317</v>
      </c>
      <c r="F131" s="428">
        <v>0</v>
      </c>
      <c r="G131" s="429">
        <v>0</v>
      </c>
      <c r="H131" s="431">
        <v>0</v>
      </c>
      <c r="I131" s="428">
        <v>0</v>
      </c>
      <c r="J131" s="429">
        <v>0</v>
      </c>
      <c r="K131" s="432" t="s">
        <v>287</v>
      </c>
    </row>
    <row r="132" spans="1:11" ht="14.4" customHeight="1" thickBot="1" x14ac:dyDescent="0.35">
      <c r="A132" s="445" t="s">
        <v>411</v>
      </c>
      <c r="B132" s="423">
        <v>0</v>
      </c>
      <c r="C132" s="423">
        <v>9.9999999900000002E-4</v>
      </c>
      <c r="D132" s="424">
        <v>9.9999999900000002E-4</v>
      </c>
      <c r="E132" s="433" t="s">
        <v>317</v>
      </c>
      <c r="F132" s="423">
        <v>0</v>
      </c>
      <c r="G132" s="424">
        <v>0</v>
      </c>
      <c r="H132" s="426">
        <v>0</v>
      </c>
      <c r="I132" s="423">
        <v>0</v>
      </c>
      <c r="J132" s="424">
        <v>0</v>
      </c>
      <c r="K132" s="434" t="s">
        <v>287</v>
      </c>
    </row>
    <row r="133" spans="1:11" ht="14.4" customHeight="1" thickBot="1" x14ac:dyDescent="0.35">
      <c r="A133" s="445" t="s">
        <v>412</v>
      </c>
      <c r="B133" s="423">
        <v>0</v>
      </c>
      <c r="C133" s="423">
        <v>3.9929999999999999</v>
      </c>
      <c r="D133" s="424">
        <v>3.9929999999999999</v>
      </c>
      <c r="E133" s="433" t="s">
        <v>317</v>
      </c>
      <c r="F133" s="423">
        <v>0</v>
      </c>
      <c r="G133" s="424">
        <v>0</v>
      </c>
      <c r="H133" s="426">
        <v>0</v>
      </c>
      <c r="I133" s="423">
        <v>0</v>
      </c>
      <c r="J133" s="424">
        <v>0</v>
      </c>
      <c r="K133" s="434" t="s">
        <v>287</v>
      </c>
    </row>
    <row r="134" spans="1:11" ht="14.4" customHeight="1" thickBot="1" x14ac:dyDescent="0.35">
      <c r="A134" s="445" t="s">
        <v>413</v>
      </c>
      <c r="B134" s="423">
        <v>0</v>
      </c>
      <c r="C134" s="423">
        <v>15.755000000000001</v>
      </c>
      <c r="D134" s="424">
        <v>15.755000000000001</v>
      </c>
      <c r="E134" s="433" t="s">
        <v>317</v>
      </c>
      <c r="F134" s="423">
        <v>0</v>
      </c>
      <c r="G134" s="424">
        <v>0</v>
      </c>
      <c r="H134" s="426">
        <v>0</v>
      </c>
      <c r="I134" s="423">
        <v>0</v>
      </c>
      <c r="J134" s="424">
        <v>0</v>
      </c>
      <c r="K134" s="434" t="s">
        <v>287</v>
      </c>
    </row>
    <row r="135" spans="1:11" ht="14.4" customHeight="1" thickBot="1" x14ac:dyDescent="0.35">
      <c r="A135" s="444" t="s">
        <v>414</v>
      </c>
      <c r="B135" s="428">
        <v>0</v>
      </c>
      <c r="C135" s="428">
        <v>0</v>
      </c>
      <c r="D135" s="429">
        <v>0</v>
      </c>
      <c r="E135" s="430" t="s">
        <v>287</v>
      </c>
      <c r="F135" s="428">
        <v>0</v>
      </c>
      <c r="G135" s="429">
        <v>0</v>
      </c>
      <c r="H135" s="431">
        <v>0</v>
      </c>
      <c r="I135" s="428">
        <v>10.78</v>
      </c>
      <c r="J135" s="429">
        <v>10.78</v>
      </c>
      <c r="K135" s="432" t="s">
        <v>317</v>
      </c>
    </row>
    <row r="136" spans="1:11" ht="14.4" customHeight="1" thickBot="1" x14ac:dyDescent="0.35">
      <c r="A136" s="445" t="s">
        <v>415</v>
      </c>
      <c r="B136" s="423">
        <v>0</v>
      </c>
      <c r="C136" s="423">
        <v>0</v>
      </c>
      <c r="D136" s="424">
        <v>0</v>
      </c>
      <c r="E136" s="433" t="s">
        <v>287</v>
      </c>
      <c r="F136" s="423">
        <v>0</v>
      </c>
      <c r="G136" s="424">
        <v>0</v>
      </c>
      <c r="H136" s="426">
        <v>0</v>
      </c>
      <c r="I136" s="423">
        <v>10.78</v>
      </c>
      <c r="J136" s="424">
        <v>10.78</v>
      </c>
      <c r="K136" s="434" t="s">
        <v>317</v>
      </c>
    </row>
    <row r="137" spans="1:11" ht="14.4" customHeight="1" thickBot="1" x14ac:dyDescent="0.35">
      <c r="A137" s="441" t="s">
        <v>416</v>
      </c>
      <c r="B137" s="423">
        <v>6291.8248511234397</v>
      </c>
      <c r="C137" s="423">
        <v>3574.0793100000001</v>
      </c>
      <c r="D137" s="424">
        <v>-2717.74554112344</v>
      </c>
      <c r="E137" s="425">
        <v>0.568051303806</v>
      </c>
      <c r="F137" s="423">
        <v>5586.5949524791804</v>
      </c>
      <c r="G137" s="424">
        <v>1862.1983174930599</v>
      </c>
      <c r="H137" s="426">
        <v>221.38408999999999</v>
      </c>
      <c r="I137" s="423">
        <v>1061.3349700000001</v>
      </c>
      <c r="J137" s="424">
        <v>-800.86334749306002</v>
      </c>
      <c r="K137" s="427">
        <v>0.189978865306</v>
      </c>
    </row>
    <row r="138" spans="1:11" ht="14.4" customHeight="1" thickBot="1" x14ac:dyDescent="0.35">
      <c r="A138" s="442" t="s">
        <v>417</v>
      </c>
      <c r="B138" s="423">
        <v>6273.1623290185298</v>
      </c>
      <c r="C138" s="423">
        <v>3495.7142199999998</v>
      </c>
      <c r="D138" s="424">
        <v>-2777.44810901853</v>
      </c>
      <c r="E138" s="425">
        <v>0.557249125186</v>
      </c>
      <c r="F138" s="423">
        <v>5582.5949524791804</v>
      </c>
      <c r="G138" s="424">
        <v>1860.8649841597301</v>
      </c>
      <c r="H138" s="426">
        <v>221.38442000000001</v>
      </c>
      <c r="I138" s="423">
        <v>1050.5552299999999</v>
      </c>
      <c r="J138" s="424">
        <v>-810.30975415972705</v>
      </c>
      <c r="K138" s="427">
        <v>0.18818403250499999</v>
      </c>
    </row>
    <row r="139" spans="1:11" ht="14.4" customHeight="1" thickBot="1" x14ac:dyDescent="0.35">
      <c r="A139" s="443" t="s">
        <v>418</v>
      </c>
      <c r="B139" s="423">
        <v>6273.1623290185298</v>
      </c>
      <c r="C139" s="423">
        <v>3495.7142199999998</v>
      </c>
      <c r="D139" s="424">
        <v>-2777.44810901853</v>
      </c>
      <c r="E139" s="425">
        <v>0.557249125186</v>
      </c>
      <c r="F139" s="423">
        <v>5582.5949524791804</v>
      </c>
      <c r="G139" s="424">
        <v>1860.8649841597301</v>
      </c>
      <c r="H139" s="426">
        <v>221.38442000000001</v>
      </c>
      <c r="I139" s="423">
        <v>1050.5552299999999</v>
      </c>
      <c r="J139" s="424">
        <v>-810.30975415972705</v>
      </c>
      <c r="K139" s="427">
        <v>0.18818403250499999</v>
      </c>
    </row>
    <row r="140" spans="1:11" ht="14.4" customHeight="1" thickBot="1" x14ac:dyDescent="0.35">
      <c r="A140" s="444" t="s">
        <v>419</v>
      </c>
      <c r="B140" s="428">
        <v>1918.16234905383</v>
      </c>
      <c r="C140" s="428">
        <v>1209.2185099999999</v>
      </c>
      <c r="D140" s="429">
        <v>-708.94383905382597</v>
      </c>
      <c r="E140" s="435">
        <v>0.63040467382499998</v>
      </c>
      <c r="F140" s="428">
        <v>1198.11838820763</v>
      </c>
      <c r="G140" s="429">
        <v>399.37279606920998</v>
      </c>
      <c r="H140" s="431">
        <v>71.292169999999999</v>
      </c>
      <c r="I140" s="428">
        <v>361.63517000000002</v>
      </c>
      <c r="J140" s="429">
        <v>-37.737626069210002</v>
      </c>
      <c r="K140" s="436">
        <v>0.30183592335999998</v>
      </c>
    </row>
    <row r="141" spans="1:11" ht="14.4" customHeight="1" thickBot="1" x14ac:dyDescent="0.35">
      <c r="A141" s="445" t="s">
        <v>420</v>
      </c>
      <c r="B141" s="423">
        <v>10.041766225843</v>
      </c>
      <c r="C141" s="423">
        <v>7.0460399999999996</v>
      </c>
      <c r="D141" s="424">
        <v>-2.9957262258430002</v>
      </c>
      <c r="E141" s="425">
        <v>0.70167337513399997</v>
      </c>
      <c r="F141" s="423">
        <v>6.2125148566709996</v>
      </c>
      <c r="G141" s="424">
        <v>2.070838285557</v>
      </c>
      <c r="H141" s="426">
        <v>0.22314000000000001</v>
      </c>
      <c r="I141" s="423">
        <v>1.64459</v>
      </c>
      <c r="J141" s="424">
        <v>-0.42624828555700001</v>
      </c>
      <c r="K141" s="427">
        <v>0.26472210335700003</v>
      </c>
    </row>
    <row r="142" spans="1:11" ht="14.4" customHeight="1" thickBot="1" x14ac:dyDescent="0.35">
      <c r="A142" s="445" t="s">
        <v>421</v>
      </c>
      <c r="B142" s="423">
        <v>0.59286381124599996</v>
      </c>
      <c r="C142" s="423">
        <v>0.46800000000000003</v>
      </c>
      <c r="D142" s="424">
        <v>-0.124863811246</v>
      </c>
      <c r="E142" s="425">
        <v>0.78938871140599998</v>
      </c>
      <c r="F142" s="423">
        <v>0.46076381940700001</v>
      </c>
      <c r="G142" s="424">
        <v>0.153587939802</v>
      </c>
      <c r="H142" s="426">
        <v>0</v>
      </c>
      <c r="I142" s="423">
        <v>0.23499999999999999</v>
      </c>
      <c r="J142" s="424">
        <v>8.1412060196999994E-2</v>
      </c>
      <c r="K142" s="427">
        <v>0.51002268429399999</v>
      </c>
    </row>
    <row r="143" spans="1:11" ht="14.4" customHeight="1" thickBot="1" x14ac:dyDescent="0.35">
      <c r="A143" s="445" t="s">
        <v>422</v>
      </c>
      <c r="B143" s="423">
        <v>15.441952028698999</v>
      </c>
      <c r="C143" s="423">
        <v>2.08704</v>
      </c>
      <c r="D143" s="424">
        <v>-13.354912028698999</v>
      </c>
      <c r="E143" s="425">
        <v>0.13515389739</v>
      </c>
      <c r="F143" s="423">
        <v>2.1397219121459998</v>
      </c>
      <c r="G143" s="424">
        <v>0.71324063738200005</v>
      </c>
      <c r="H143" s="426">
        <v>2.7827199999999999</v>
      </c>
      <c r="I143" s="423">
        <v>2.7827199999999999</v>
      </c>
      <c r="J143" s="424">
        <v>2.0694793626169998</v>
      </c>
      <c r="K143" s="427">
        <v>1.3005054461529999</v>
      </c>
    </row>
    <row r="144" spans="1:11" ht="14.4" customHeight="1" thickBot="1" x14ac:dyDescent="0.35">
      <c r="A144" s="445" t="s">
        <v>423</v>
      </c>
      <c r="B144" s="423">
        <v>38.191788334998002</v>
      </c>
      <c r="C144" s="423">
        <v>23.334689999999998</v>
      </c>
      <c r="D144" s="424">
        <v>-14.857098334998</v>
      </c>
      <c r="E144" s="425">
        <v>0.61098710003599999</v>
      </c>
      <c r="F144" s="423">
        <v>20.572702056817</v>
      </c>
      <c r="G144" s="424">
        <v>6.8575673522720004</v>
      </c>
      <c r="H144" s="426">
        <v>1.4861599999999999</v>
      </c>
      <c r="I144" s="423">
        <v>48.481900000000003</v>
      </c>
      <c r="J144" s="424">
        <v>41.624332647727002</v>
      </c>
      <c r="K144" s="427">
        <v>2.3566131403689998</v>
      </c>
    </row>
    <row r="145" spans="1:11" ht="14.4" customHeight="1" thickBot="1" x14ac:dyDescent="0.35">
      <c r="A145" s="445" t="s">
        <v>424</v>
      </c>
      <c r="B145" s="423">
        <v>1853.89397865304</v>
      </c>
      <c r="C145" s="423">
        <v>1176.2827400000001</v>
      </c>
      <c r="D145" s="424">
        <v>-677.61123865303705</v>
      </c>
      <c r="E145" s="425">
        <v>0.63449299341999998</v>
      </c>
      <c r="F145" s="423">
        <v>1168.7326855625899</v>
      </c>
      <c r="G145" s="424">
        <v>389.57756185419601</v>
      </c>
      <c r="H145" s="426">
        <v>66.800150000000002</v>
      </c>
      <c r="I145" s="423">
        <v>308.49095999999997</v>
      </c>
      <c r="J145" s="424">
        <v>-81.086601854196005</v>
      </c>
      <c r="K145" s="427">
        <v>0.26395339482699998</v>
      </c>
    </row>
    <row r="146" spans="1:11" ht="14.4" customHeight="1" thickBot="1" x14ac:dyDescent="0.35">
      <c r="A146" s="444" t="s">
        <v>425</v>
      </c>
      <c r="B146" s="428">
        <v>0</v>
      </c>
      <c r="C146" s="428">
        <v>27.703679999999999</v>
      </c>
      <c r="D146" s="429">
        <v>27.703679999999999</v>
      </c>
      <c r="E146" s="430" t="s">
        <v>287</v>
      </c>
      <c r="F146" s="428">
        <v>37.000000000009003</v>
      </c>
      <c r="G146" s="429">
        <v>12.333333333336</v>
      </c>
      <c r="H146" s="431">
        <v>0.373</v>
      </c>
      <c r="I146" s="428">
        <v>3.3481000000000001</v>
      </c>
      <c r="J146" s="429">
        <v>-8.9852333333359997</v>
      </c>
      <c r="K146" s="436">
        <v>9.0489189188999994E-2</v>
      </c>
    </row>
    <row r="147" spans="1:11" ht="14.4" customHeight="1" thickBot="1" x14ac:dyDescent="0.35">
      <c r="A147" s="445" t="s">
        <v>426</v>
      </c>
      <c r="B147" s="423">
        <v>0</v>
      </c>
      <c r="C147" s="423">
        <v>27.703679999999999</v>
      </c>
      <c r="D147" s="424">
        <v>27.703679999999999</v>
      </c>
      <c r="E147" s="433" t="s">
        <v>287</v>
      </c>
      <c r="F147" s="423">
        <v>37.000000000009003</v>
      </c>
      <c r="G147" s="424">
        <v>12.333333333336</v>
      </c>
      <c r="H147" s="426">
        <v>0.373</v>
      </c>
      <c r="I147" s="423">
        <v>3.3481000000000001</v>
      </c>
      <c r="J147" s="424">
        <v>-8.9852333333359997</v>
      </c>
      <c r="K147" s="427">
        <v>9.0489189188999994E-2</v>
      </c>
    </row>
    <row r="148" spans="1:11" ht="14.4" customHeight="1" thickBot="1" x14ac:dyDescent="0.35">
      <c r="A148" s="444" t="s">
        <v>427</v>
      </c>
      <c r="B148" s="428">
        <v>2.9999799647069998</v>
      </c>
      <c r="C148" s="428">
        <v>0.47736000000000001</v>
      </c>
      <c r="D148" s="429">
        <v>-2.5226199647069998</v>
      </c>
      <c r="E148" s="435">
        <v>0.159121062679</v>
      </c>
      <c r="F148" s="428">
        <v>3.4765642704049999</v>
      </c>
      <c r="G148" s="429">
        <v>1.1588547568009999</v>
      </c>
      <c r="H148" s="431">
        <v>-1.37131</v>
      </c>
      <c r="I148" s="428">
        <v>-1.05077</v>
      </c>
      <c r="J148" s="429">
        <v>-2.2096247568009999</v>
      </c>
      <c r="K148" s="436">
        <v>-0.30224380114100002</v>
      </c>
    </row>
    <row r="149" spans="1:11" ht="14.4" customHeight="1" thickBot="1" x14ac:dyDescent="0.35">
      <c r="A149" s="445" t="s">
        <v>428</v>
      </c>
      <c r="B149" s="423">
        <v>2.9999799647069998</v>
      </c>
      <c r="C149" s="423">
        <v>0.47736000000000001</v>
      </c>
      <c r="D149" s="424">
        <v>-2.5226199647069998</v>
      </c>
      <c r="E149" s="425">
        <v>0.159121062679</v>
      </c>
      <c r="F149" s="423">
        <v>3.4765642704049999</v>
      </c>
      <c r="G149" s="424">
        <v>1.1588547568009999</v>
      </c>
      <c r="H149" s="426">
        <v>-1.99E-3</v>
      </c>
      <c r="I149" s="423">
        <v>0.11955</v>
      </c>
      <c r="J149" s="424">
        <v>-1.0393047568010001</v>
      </c>
      <c r="K149" s="427">
        <v>3.4387398218E-2</v>
      </c>
    </row>
    <row r="150" spans="1:11" ht="14.4" customHeight="1" thickBot="1" x14ac:dyDescent="0.35">
      <c r="A150" s="445" t="s">
        <v>429</v>
      </c>
      <c r="B150" s="423">
        <v>0</v>
      </c>
      <c r="C150" s="423">
        <v>0</v>
      </c>
      <c r="D150" s="424">
        <v>0</v>
      </c>
      <c r="E150" s="433" t="s">
        <v>287</v>
      </c>
      <c r="F150" s="423">
        <v>0</v>
      </c>
      <c r="G150" s="424">
        <v>0</v>
      </c>
      <c r="H150" s="426">
        <v>-1.3693200000000001</v>
      </c>
      <c r="I150" s="423">
        <v>-1.17032</v>
      </c>
      <c r="J150" s="424">
        <v>-1.17032</v>
      </c>
      <c r="K150" s="434" t="s">
        <v>317</v>
      </c>
    </row>
    <row r="151" spans="1:11" ht="14.4" customHeight="1" thickBot="1" x14ac:dyDescent="0.35">
      <c r="A151" s="444" t="s">
        <v>430</v>
      </c>
      <c r="B151" s="428">
        <v>0</v>
      </c>
      <c r="C151" s="428">
        <v>0</v>
      </c>
      <c r="D151" s="429">
        <v>0</v>
      </c>
      <c r="E151" s="430" t="s">
        <v>287</v>
      </c>
      <c r="F151" s="428">
        <v>0</v>
      </c>
      <c r="G151" s="429">
        <v>0</v>
      </c>
      <c r="H151" s="431">
        <v>-47.832000000000001</v>
      </c>
      <c r="I151" s="428">
        <v>-47.832000000000001</v>
      </c>
      <c r="J151" s="429">
        <v>-47.832000000000001</v>
      </c>
      <c r="K151" s="432" t="s">
        <v>317</v>
      </c>
    </row>
    <row r="152" spans="1:11" ht="14.4" customHeight="1" thickBot="1" x14ac:dyDescent="0.35">
      <c r="A152" s="445" t="s">
        <v>431</v>
      </c>
      <c r="B152" s="423">
        <v>0</v>
      </c>
      <c r="C152" s="423">
        <v>0</v>
      </c>
      <c r="D152" s="424">
        <v>0</v>
      </c>
      <c r="E152" s="433" t="s">
        <v>287</v>
      </c>
      <c r="F152" s="423">
        <v>0</v>
      </c>
      <c r="G152" s="424">
        <v>0</v>
      </c>
      <c r="H152" s="426">
        <v>-47.832000000000001</v>
      </c>
      <c r="I152" s="423">
        <v>-47.832000000000001</v>
      </c>
      <c r="J152" s="424">
        <v>-47.832000000000001</v>
      </c>
      <c r="K152" s="434" t="s">
        <v>317</v>
      </c>
    </row>
    <row r="153" spans="1:11" ht="14.4" customHeight="1" thickBot="1" x14ac:dyDescent="0.35">
      <c r="A153" s="444" t="s">
        <v>432</v>
      </c>
      <c r="B153" s="428">
        <v>4352</v>
      </c>
      <c r="C153" s="428">
        <v>2095.4214200000001</v>
      </c>
      <c r="D153" s="429">
        <v>-2256.5785799999999</v>
      </c>
      <c r="E153" s="435">
        <v>0.48148470128600002</v>
      </c>
      <c r="F153" s="428">
        <v>4344.0000000011396</v>
      </c>
      <c r="G153" s="429">
        <v>1448.0000000003799</v>
      </c>
      <c r="H153" s="431">
        <v>183.25644</v>
      </c>
      <c r="I153" s="428">
        <v>721.35092999999995</v>
      </c>
      <c r="J153" s="429">
        <v>-726.64907000037795</v>
      </c>
      <c r="K153" s="436">
        <v>0.16605684392200001</v>
      </c>
    </row>
    <row r="154" spans="1:11" ht="14.4" customHeight="1" thickBot="1" x14ac:dyDescent="0.35">
      <c r="A154" s="445" t="s">
        <v>433</v>
      </c>
      <c r="B154" s="423">
        <v>1780</v>
      </c>
      <c r="C154" s="423">
        <v>706.60212000000001</v>
      </c>
      <c r="D154" s="424">
        <v>-1073.39788</v>
      </c>
      <c r="E154" s="425">
        <v>0.396967483146</v>
      </c>
      <c r="F154" s="423">
        <v>1860.00000000049</v>
      </c>
      <c r="G154" s="424">
        <v>620.000000000162</v>
      </c>
      <c r="H154" s="426">
        <v>68.890020000000007</v>
      </c>
      <c r="I154" s="423">
        <v>240.81514999999999</v>
      </c>
      <c r="J154" s="424">
        <v>-379.18485000016199</v>
      </c>
      <c r="K154" s="427">
        <v>0.129470510752</v>
      </c>
    </row>
    <row r="155" spans="1:11" ht="14.4" customHeight="1" thickBot="1" x14ac:dyDescent="0.35">
      <c r="A155" s="445" t="s">
        <v>434</v>
      </c>
      <c r="B155" s="423">
        <v>2572</v>
      </c>
      <c r="C155" s="423">
        <v>1388.8193000000001</v>
      </c>
      <c r="D155" s="424">
        <v>-1183.1806999999999</v>
      </c>
      <c r="E155" s="425">
        <v>0.53997639968800004</v>
      </c>
      <c r="F155" s="423">
        <v>2484.0000000006498</v>
      </c>
      <c r="G155" s="424">
        <v>828.000000000216</v>
      </c>
      <c r="H155" s="426">
        <v>114.36642000000001</v>
      </c>
      <c r="I155" s="423">
        <v>480.53577999999999</v>
      </c>
      <c r="J155" s="424">
        <v>-347.46422000021602</v>
      </c>
      <c r="K155" s="427">
        <v>0.19345240740700001</v>
      </c>
    </row>
    <row r="156" spans="1:11" ht="14.4" customHeight="1" thickBot="1" x14ac:dyDescent="0.35">
      <c r="A156" s="444" t="s">
        <v>435</v>
      </c>
      <c r="B156" s="428">
        <v>0</v>
      </c>
      <c r="C156" s="428">
        <v>162.89324999999999</v>
      </c>
      <c r="D156" s="429">
        <v>162.89324999999999</v>
      </c>
      <c r="E156" s="430" t="s">
        <v>287</v>
      </c>
      <c r="F156" s="428">
        <v>0</v>
      </c>
      <c r="G156" s="429">
        <v>0</v>
      </c>
      <c r="H156" s="431">
        <v>15.666119999999999</v>
      </c>
      <c r="I156" s="428">
        <v>13.1038</v>
      </c>
      <c r="J156" s="429">
        <v>13.1038</v>
      </c>
      <c r="K156" s="432" t="s">
        <v>287</v>
      </c>
    </row>
    <row r="157" spans="1:11" ht="14.4" customHeight="1" thickBot="1" x14ac:dyDescent="0.35">
      <c r="A157" s="445" t="s">
        <v>436</v>
      </c>
      <c r="B157" s="423">
        <v>0</v>
      </c>
      <c r="C157" s="423">
        <v>10.92445</v>
      </c>
      <c r="D157" s="424">
        <v>10.92445</v>
      </c>
      <c r="E157" s="433" t="s">
        <v>287</v>
      </c>
      <c r="F157" s="423">
        <v>0</v>
      </c>
      <c r="G157" s="424">
        <v>0</v>
      </c>
      <c r="H157" s="426">
        <v>0</v>
      </c>
      <c r="I157" s="423">
        <v>0</v>
      </c>
      <c r="J157" s="424">
        <v>0</v>
      </c>
      <c r="K157" s="434" t="s">
        <v>287</v>
      </c>
    </row>
    <row r="158" spans="1:11" ht="14.4" customHeight="1" thickBot="1" x14ac:dyDescent="0.35">
      <c r="A158" s="445" t="s">
        <v>437</v>
      </c>
      <c r="B158" s="423">
        <v>0</v>
      </c>
      <c r="C158" s="423">
        <v>151.96879999999999</v>
      </c>
      <c r="D158" s="424">
        <v>151.96879999999999</v>
      </c>
      <c r="E158" s="433" t="s">
        <v>287</v>
      </c>
      <c r="F158" s="423">
        <v>0</v>
      </c>
      <c r="G158" s="424">
        <v>0</v>
      </c>
      <c r="H158" s="426">
        <v>15.666119999999999</v>
      </c>
      <c r="I158" s="423">
        <v>13.1038</v>
      </c>
      <c r="J158" s="424">
        <v>13.1038</v>
      </c>
      <c r="K158" s="434" t="s">
        <v>287</v>
      </c>
    </row>
    <row r="159" spans="1:11" ht="14.4" customHeight="1" thickBot="1" x14ac:dyDescent="0.35">
      <c r="A159" s="442" t="s">
        <v>438</v>
      </c>
      <c r="B159" s="423">
        <v>18.662522104905999</v>
      </c>
      <c r="C159" s="423">
        <v>78.365089999999995</v>
      </c>
      <c r="D159" s="424">
        <v>59.702567895092997</v>
      </c>
      <c r="E159" s="425">
        <v>4.1990621395909997</v>
      </c>
      <c r="F159" s="423">
        <v>4</v>
      </c>
      <c r="G159" s="424">
        <v>1.333333333333</v>
      </c>
      <c r="H159" s="426">
        <v>-3.3E-4</v>
      </c>
      <c r="I159" s="423">
        <v>10.77974</v>
      </c>
      <c r="J159" s="424">
        <v>9.4464066666660003</v>
      </c>
      <c r="K159" s="427">
        <v>2.6949350000000001</v>
      </c>
    </row>
    <row r="160" spans="1:11" ht="14.4" customHeight="1" thickBot="1" x14ac:dyDescent="0.35">
      <c r="A160" s="443" t="s">
        <v>439</v>
      </c>
      <c r="B160" s="423">
        <v>0</v>
      </c>
      <c r="C160" s="423">
        <v>49.231999999999999</v>
      </c>
      <c r="D160" s="424">
        <v>49.231999999999999</v>
      </c>
      <c r="E160" s="433" t="s">
        <v>287</v>
      </c>
      <c r="F160" s="423">
        <v>0</v>
      </c>
      <c r="G160" s="424">
        <v>0</v>
      </c>
      <c r="H160" s="426">
        <v>0</v>
      </c>
      <c r="I160" s="423">
        <v>10.78</v>
      </c>
      <c r="J160" s="424">
        <v>10.78</v>
      </c>
      <c r="K160" s="434" t="s">
        <v>287</v>
      </c>
    </row>
    <row r="161" spans="1:11" ht="14.4" customHeight="1" thickBot="1" x14ac:dyDescent="0.35">
      <c r="A161" s="444" t="s">
        <v>440</v>
      </c>
      <c r="B161" s="428">
        <v>0</v>
      </c>
      <c r="C161" s="428">
        <v>49.231999999999999</v>
      </c>
      <c r="D161" s="429">
        <v>49.231999999999999</v>
      </c>
      <c r="E161" s="430" t="s">
        <v>287</v>
      </c>
      <c r="F161" s="428">
        <v>0</v>
      </c>
      <c r="G161" s="429">
        <v>0</v>
      </c>
      <c r="H161" s="431">
        <v>0</v>
      </c>
      <c r="I161" s="428">
        <v>10.78</v>
      </c>
      <c r="J161" s="429">
        <v>10.78</v>
      </c>
      <c r="K161" s="432" t="s">
        <v>287</v>
      </c>
    </row>
    <row r="162" spans="1:11" ht="14.4" customHeight="1" thickBot="1" x14ac:dyDescent="0.35">
      <c r="A162" s="445" t="s">
        <v>441</v>
      </c>
      <c r="B162" s="423">
        <v>0</v>
      </c>
      <c r="C162" s="423">
        <v>49.231999999999999</v>
      </c>
      <c r="D162" s="424">
        <v>49.231999999999999</v>
      </c>
      <c r="E162" s="433" t="s">
        <v>287</v>
      </c>
      <c r="F162" s="423">
        <v>0</v>
      </c>
      <c r="G162" s="424">
        <v>0</v>
      </c>
      <c r="H162" s="426">
        <v>0</v>
      </c>
      <c r="I162" s="423">
        <v>10.78</v>
      </c>
      <c r="J162" s="424">
        <v>10.78</v>
      </c>
      <c r="K162" s="434" t="s">
        <v>287</v>
      </c>
    </row>
    <row r="163" spans="1:11" ht="14.4" customHeight="1" thickBot="1" x14ac:dyDescent="0.35">
      <c r="A163" s="448" t="s">
        <v>442</v>
      </c>
      <c r="B163" s="428">
        <v>18.662522104905999</v>
      </c>
      <c r="C163" s="428">
        <v>29.133089999999999</v>
      </c>
      <c r="D163" s="429">
        <v>10.470567895093</v>
      </c>
      <c r="E163" s="435">
        <v>1.5610478496010001</v>
      </c>
      <c r="F163" s="428">
        <v>4</v>
      </c>
      <c r="G163" s="429">
        <v>1.333333333333</v>
      </c>
      <c r="H163" s="431">
        <v>-3.3E-4</v>
      </c>
      <c r="I163" s="428">
        <v>-2.5999999999999998E-4</v>
      </c>
      <c r="J163" s="429">
        <v>-1.3335933333329999</v>
      </c>
      <c r="K163" s="436">
        <v>-6.5000000000000103E-5</v>
      </c>
    </row>
    <row r="164" spans="1:11" ht="14.4" customHeight="1" thickBot="1" x14ac:dyDescent="0.35">
      <c r="A164" s="444" t="s">
        <v>443</v>
      </c>
      <c r="B164" s="428">
        <v>0</v>
      </c>
      <c r="C164" s="428">
        <v>25.000859999999999</v>
      </c>
      <c r="D164" s="429">
        <v>25.000859999999999</v>
      </c>
      <c r="E164" s="430" t="s">
        <v>287</v>
      </c>
      <c r="F164" s="428">
        <v>0</v>
      </c>
      <c r="G164" s="429">
        <v>0</v>
      </c>
      <c r="H164" s="431">
        <v>-3.3E-4</v>
      </c>
      <c r="I164" s="428">
        <v>-2.5999999999999998E-4</v>
      </c>
      <c r="J164" s="429">
        <v>-2.5999999999999998E-4</v>
      </c>
      <c r="K164" s="432" t="s">
        <v>287</v>
      </c>
    </row>
    <row r="165" spans="1:11" ht="14.4" customHeight="1" thickBot="1" x14ac:dyDescent="0.35">
      <c r="A165" s="445" t="s">
        <v>444</v>
      </c>
      <c r="B165" s="423">
        <v>0</v>
      </c>
      <c r="C165" s="423">
        <v>8.5999999999999998E-4</v>
      </c>
      <c r="D165" s="424">
        <v>8.5999999999999998E-4</v>
      </c>
      <c r="E165" s="433" t="s">
        <v>287</v>
      </c>
      <c r="F165" s="423">
        <v>0</v>
      </c>
      <c r="G165" s="424">
        <v>0</v>
      </c>
      <c r="H165" s="426">
        <v>-3.3E-4</v>
      </c>
      <c r="I165" s="423">
        <v>-2.5999999999999998E-4</v>
      </c>
      <c r="J165" s="424">
        <v>-2.5999999999999998E-4</v>
      </c>
      <c r="K165" s="434" t="s">
        <v>287</v>
      </c>
    </row>
    <row r="166" spans="1:11" ht="14.4" customHeight="1" thickBot="1" x14ac:dyDescent="0.35">
      <c r="A166" s="445" t="s">
        <v>445</v>
      </c>
      <c r="B166" s="423">
        <v>0</v>
      </c>
      <c r="C166" s="423">
        <v>25</v>
      </c>
      <c r="D166" s="424">
        <v>25</v>
      </c>
      <c r="E166" s="433" t="s">
        <v>317</v>
      </c>
      <c r="F166" s="423">
        <v>0</v>
      </c>
      <c r="G166" s="424">
        <v>0</v>
      </c>
      <c r="H166" s="426">
        <v>0</v>
      </c>
      <c r="I166" s="423">
        <v>0</v>
      </c>
      <c r="J166" s="424">
        <v>0</v>
      </c>
      <c r="K166" s="434" t="s">
        <v>287</v>
      </c>
    </row>
    <row r="167" spans="1:11" ht="14.4" customHeight="1" thickBot="1" x14ac:dyDescent="0.35">
      <c r="A167" s="444" t="s">
        <v>446</v>
      </c>
      <c r="B167" s="428">
        <v>18.662522104905999</v>
      </c>
      <c r="C167" s="428">
        <v>4.1322299999999998</v>
      </c>
      <c r="D167" s="429">
        <v>-14.530292104906</v>
      </c>
      <c r="E167" s="435">
        <v>0.22141862588399999</v>
      </c>
      <c r="F167" s="428">
        <v>4</v>
      </c>
      <c r="G167" s="429">
        <v>1.333333333333</v>
      </c>
      <c r="H167" s="431">
        <v>0</v>
      </c>
      <c r="I167" s="428">
        <v>0</v>
      </c>
      <c r="J167" s="429">
        <v>-1.333333333333</v>
      </c>
      <c r="K167" s="436">
        <v>0</v>
      </c>
    </row>
    <row r="168" spans="1:11" ht="14.4" customHeight="1" thickBot="1" x14ac:dyDescent="0.35">
      <c r="A168" s="445" t="s">
        <v>447</v>
      </c>
      <c r="B168" s="423">
        <v>18.662522104905999</v>
      </c>
      <c r="C168" s="423">
        <v>4.1322299999999998</v>
      </c>
      <c r="D168" s="424">
        <v>-14.530292104906</v>
      </c>
      <c r="E168" s="425">
        <v>0.22141862588399999</v>
      </c>
      <c r="F168" s="423">
        <v>4</v>
      </c>
      <c r="G168" s="424">
        <v>1.333333333333</v>
      </c>
      <c r="H168" s="426">
        <v>0</v>
      </c>
      <c r="I168" s="423">
        <v>0</v>
      </c>
      <c r="J168" s="424">
        <v>-1.333333333333</v>
      </c>
      <c r="K168" s="427">
        <v>0</v>
      </c>
    </row>
    <row r="169" spans="1:11" ht="14.4" customHeight="1" thickBot="1" x14ac:dyDescent="0.35">
      <c r="A169" s="441" t="s">
        <v>448</v>
      </c>
      <c r="B169" s="423">
        <v>1892.00141763538</v>
      </c>
      <c r="C169" s="423">
        <v>1822.7824700000001</v>
      </c>
      <c r="D169" s="424">
        <v>-69.218947635383998</v>
      </c>
      <c r="E169" s="425">
        <v>0.96341495995100002</v>
      </c>
      <c r="F169" s="423">
        <v>0</v>
      </c>
      <c r="G169" s="424">
        <v>0</v>
      </c>
      <c r="H169" s="426">
        <v>121.40167</v>
      </c>
      <c r="I169" s="423">
        <v>497.41905000000202</v>
      </c>
      <c r="J169" s="424">
        <v>497.41905000000202</v>
      </c>
      <c r="K169" s="434" t="s">
        <v>287</v>
      </c>
    </row>
    <row r="170" spans="1:11" ht="14.4" customHeight="1" thickBot="1" x14ac:dyDescent="0.35">
      <c r="A170" s="446" t="s">
        <v>449</v>
      </c>
      <c r="B170" s="428">
        <v>1892.00141763538</v>
      </c>
      <c r="C170" s="428">
        <v>1822.7824700000001</v>
      </c>
      <c r="D170" s="429">
        <v>-69.218947635383998</v>
      </c>
      <c r="E170" s="435">
        <v>0.96341495995100002</v>
      </c>
      <c r="F170" s="428">
        <v>0</v>
      </c>
      <c r="G170" s="429">
        <v>0</v>
      </c>
      <c r="H170" s="431">
        <v>121.40167</v>
      </c>
      <c r="I170" s="428">
        <v>497.41905000000202</v>
      </c>
      <c r="J170" s="429">
        <v>497.41905000000202</v>
      </c>
      <c r="K170" s="432" t="s">
        <v>287</v>
      </c>
    </row>
    <row r="171" spans="1:11" ht="14.4" customHeight="1" thickBot="1" x14ac:dyDescent="0.35">
      <c r="A171" s="448" t="s">
        <v>54</v>
      </c>
      <c r="B171" s="428">
        <v>1892.00141763538</v>
      </c>
      <c r="C171" s="428">
        <v>1822.7824700000001</v>
      </c>
      <c r="D171" s="429">
        <v>-69.218947635383998</v>
      </c>
      <c r="E171" s="435">
        <v>0.96341495995100002</v>
      </c>
      <c r="F171" s="428">
        <v>0</v>
      </c>
      <c r="G171" s="429">
        <v>0</v>
      </c>
      <c r="H171" s="431">
        <v>121.40167</v>
      </c>
      <c r="I171" s="428">
        <v>497.41905000000202</v>
      </c>
      <c r="J171" s="429">
        <v>497.41905000000202</v>
      </c>
      <c r="K171" s="432" t="s">
        <v>287</v>
      </c>
    </row>
    <row r="172" spans="1:11" ht="14.4" customHeight="1" thickBot="1" x14ac:dyDescent="0.35">
      <c r="A172" s="444" t="s">
        <v>450</v>
      </c>
      <c r="B172" s="428">
        <v>15</v>
      </c>
      <c r="C172" s="428">
        <v>20.021999999999998</v>
      </c>
      <c r="D172" s="429">
        <v>5.0220000000000002</v>
      </c>
      <c r="E172" s="435">
        <v>1.3348</v>
      </c>
      <c r="F172" s="428">
        <v>0</v>
      </c>
      <c r="G172" s="429">
        <v>0</v>
      </c>
      <c r="H172" s="431">
        <v>1.6859999999999999</v>
      </c>
      <c r="I172" s="428">
        <v>6.7442500000000001</v>
      </c>
      <c r="J172" s="429">
        <v>6.7442500000000001</v>
      </c>
      <c r="K172" s="432" t="s">
        <v>287</v>
      </c>
    </row>
    <row r="173" spans="1:11" ht="14.4" customHeight="1" thickBot="1" x14ac:dyDescent="0.35">
      <c r="A173" s="445" t="s">
        <v>451</v>
      </c>
      <c r="B173" s="423">
        <v>15</v>
      </c>
      <c r="C173" s="423">
        <v>20.021999999999998</v>
      </c>
      <c r="D173" s="424">
        <v>5.0220000000000002</v>
      </c>
      <c r="E173" s="425">
        <v>1.3348</v>
      </c>
      <c r="F173" s="423">
        <v>0</v>
      </c>
      <c r="G173" s="424">
        <v>0</v>
      </c>
      <c r="H173" s="426">
        <v>1.6859999999999999</v>
      </c>
      <c r="I173" s="423">
        <v>6.7442500000000001</v>
      </c>
      <c r="J173" s="424">
        <v>6.7442500000000001</v>
      </c>
      <c r="K173" s="434" t="s">
        <v>287</v>
      </c>
    </row>
    <row r="174" spans="1:11" ht="14.4" customHeight="1" thickBot="1" x14ac:dyDescent="0.35">
      <c r="A174" s="444" t="s">
        <v>452</v>
      </c>
      <c r="B174" s="428">
        <v>10.001417635384</v>
      </c>
      <c r="C174" s="428">
        <v>10.022399999999999</v>
      </c>
      <c r="D174" s="429">
        <v>2.0982364614999999E-2</v>
      </c>
      <c r="E174" s="435">
        <v>1.00209793905</v>
      </c>
      <c r="F174" s="428">
        <v>0</v>
      </c>
      <c r="G174" s="429">
        <v>0</v>
      </c>
      <c r="H174" s="431">
        <v>0.95799999999999996</v>
      </c>
      <c r="I174" s="428">
        <v>3.0945</v>
      </c>
      <c r="J174" s="429">
        <v>3.0945</v>
      </c>
      <c r="K174" s="432" t="s">
        <v>287</v>
      </c>
    </row>
    <row r="175" spans="1:11" ht="14.4" customHeight="1" thickBot="1" x14ac:dyDescent="0.35">
      <c r="A175" s="445" t="s">
        <v>453</v>
      </c>
      <c r="B175" s="423">
        <v>10.001417635384</v>
      </c>
      <c r="C175" s="423">
        <v>10.022399999999999</v>
      </c>
      <c r="D175" s="424">
        <v>2.0982364614999999E-2</v>
      </c>
      <c r="E175" s="425">
        <v>1.00209793905</v>
      </c>
      <c r="F175" s="423">
        <v>0</v>
      </c>
      <c r="G175" s="424">
        <v>0</v>
      </c>
      <c r="H175" s="426">
        <v>0.95799999999999996</v>
      </c>
      <c r="I175" s="423">
        <v>3.0945</v>
      </c>
      <c r="J175" s="424">
        <v>3.0945</v>
      </c>
      <c r="K175" s="434" t="s">
        <v>287</v>
      </c>
    </row>
    <row r="176" spans="1:11" ht="14.4" customHeight="1" thickBot="1" x14ac:dyDescent="0.35">
      <c r="A176" s="444" t="s">
        <v>454</v>
      </c>
      <c r="B176" s="428">
        <v>105</v>
      </c>
      <c r="C176" s="428">
        <v>47.186819999999997</v>
      </c>
      <c r="D176" s="429">
        <v>-57.813180000000003</v>
      </c>
      <c r="E176" s="435">
        <v>0.44939828571399998</v>
      </c>
      <c r="F176" s="428">
        <v>0</v>
      </c>
      <c r="G176" s="429">
        <v>0</v>
      </c>
      <c r="H176" s="431">
        <v>3.64296</v>
      </c>
      <c r="I176" s="428">
        <v>15.795820000000001</v>
      </c>
      <c r="J176" s="429">
        <v>15.795820000000001</v>
      </c>
      <c r="K176" s="432" t="s">
        <v>287</v>
      </c>
    </row>
    <row r="177" spans="1:11" ht="14.4" customHeight="1" thickBot="1" x14ac:dyDescent="0.35">
      <c r="A177" s="445" t="s">
        <v>455</v>
      </c>
      <c r="B177" s="423">
        <v>105</v>
      </c>
      <c r="C177" s="423">
        <v>47.186819999999997</v>
      </c>
      <c r="D177" s="424">
        <v>-57.813180000000003</v>
      </c>
      <c r="E177" s="425">
        <v>0.44939828571399998</v>
      </c>
      <c r="F177" s="423">
        <v>0</v>
      </c>
      <c r="G177" s="424">
        <v>0</v>
      </c>
      <c r="H177" s="426">
        <v>3.64296</v>
      </c>
      <c r="I177" s="423">
        <v>15.795820000000001</v>
      </c>
      <c r="J177" s="424">
        <v>15.795820000000001</v>
      </c>
      <c r="K177" s="434" t="s">
        <v>287</v>
      </c>
    </row>
    <row r="178" spans="1:11" ht="14.4" customHeight="1" thickBot="1" x14ac:dyDescent="0.35">
      <c r="A178" s="444" t="s">
        <v>456</v>
      </c>
      <c r="B178" s="428">
        <v>0</v>
      </c>
      <c r="C178" s="428">
        <v>2.0830000000000002</v>
      </c>
      <c r="D178" s="429">
        <v>2.0830000000000002</v>
      </c>
      <c r="E178" s="430" t="s">
        <v>317</v>
      </c>
      <c r="F178" s="428">
        <v>0</v>
      </c>
      <c r="G178" s="429">
        <v>0</v>
      </c>
      <c r="H178" s="431">
        <v>0.26800000000000002</v>
      </c>
      <c r="I178" s="428">
        <v>1.1479999999999999</v>
      </c>
      <c r="J178" s="429">
        <v>1.1479999999999999</v>
      </c>
      <c r="K178" s="432" t="s">
        <v>287</v>
      </c>
    </row>
    <row r="179" spans="1:11" ht="14.4" customHeight="1" thickBot="1" x14ac:dyDescent="0.35">
      <c r="A179" s="445" t="s">
        <v>457</v>
      </c>
      <c r="B179" s="423">
        <v>0</v>
      </c>
      <c r="C179" s="423">
        <v>2.0830000000000002</v>
      </c>
      <c r="D179" s="424">
        <v>2.0830000000000002</v>
      </c>
      <c r="E179" s="433" t="s">
        <v>317</v>
      </c>
      <c r="F179" s="423">
        <v>0</v>
      </c>
      <c r="G179" s="424">
        <v>0</v>
      </c>
      <c r="H179" s="426">
        <v>0.26800000000000002</v>
      </c>
      <c r="I179" s="423">
        <v>1.1479999999999999</v>
      </c>
      <c r="J179" s="424">
        <v>1.1479999999999999</v>
      </c>
      <c r="K179" s="434" t="s">
        <v>287</v>
      </c>
    </row>
    <row r="180" spans="1:11" ht="14.4" customHeight="1" thickBot="1" x14ac:dyDescent="0.35">
      <c r="A180" s="444" t="s">
        <v>458</v>
      </c>
      <c r="B180" s="428">
        <v>623</v>
      </c>
      <c r="C180" s="428">
        <v>548.97033999999996</v>
      </c>
      <c r="D180" s="429">
        <v>-74.029659999998998</v>
      </c>
      <c r="E180" s="435">
        <v>0.88117229534499997</v>
      </c>
      <c r="F180" s="428">
        <v>0</v>
      </c>
      <c r="G180" s="429">
        <v>0</v>
      </c>
      <c r="H180" s="431">
        <v>22.97645</v>
      </c>
      <c r="I180" s="428">
        <v>106.91025999999999</v>
      </c>
      <c r="J180" s="429">
        <v>106.91025999999999</v>
      </c>
      <c r="K180" s="432" t="s">
        <v>287</v>
      </c>
    </row>
    <row r="181" spans="1:11" ht="14.4" customHeight="1" thickBot="1" x14ac:dyDescent="0.35">
      <c r="A181" s="445" t="s">
        <v>459</v>
      </c>
      <c r="B181" s="423">
        <v>618</v>
      </c>
      <c r="C181" s="423">
        <v>542.29399000000001</v>
      </c>
      <c r="D181" s="424">
        <v>-75.706010000000006</v>
      </c>
      <c r="E181" s="425">
        <v>0.87749836569499995</v>
      </c>
      <c r="F181" s="423">
        <v>0</v>
      </c>
      <c r="G181" s="424">
        <v>0</v>
      </c>
      <c r="H181" s="426">
        <v>22.97645</v>
      </c>
      <c r="I181" s="423">
        <v>106.91025999999999</v>
      </c>
      <c r="J181" s="424">
        <v>106.91025999999999</v>
      </c>
      <c r="K181" s="434" t="s">
        <v>287</v>
      </c>
    </row>
    <row r="182" spans="1:11" ht="14.4" customHeight="1" thickBot="1" x14ac:dyDescent="0.35">
      <c r="A182" s="445" t="s">
        <v>460</v>
      </c>
      <c r="B182" s="423">
        <v>5</v>
      </c>
      <c r="C182" s="423">
        <v>6.6763500000000002</v>
      </c>
      <c r="D182" s="424">
        <v>1.67635</v>
      </c>
      <c r="E182" s="425">
        <v>1.33527</v>
      </c>
      <c r="F182" s="423">
        <v>0</v>
      </c>
      <c r="G182" s="424">
        <v>0</v>
      </c>
      <c r="H182" s="426">
        <v>0</v>
      </c>
      <c r="I182" s="423">
        <v>0</v>
      </c>
      <c r="J182" s="424">
        <v>0</v>
      </c>
      <c r="K182" s="434" t="s">
        <v>287</v>
      </c>
    </row>
    <row r="183" spans="1:11" ht="14.4" customHeight="1" thickBot="1" x14ac:dyDescent="0.35">
      <c r="A183" s="444" t="s">
        <v>461</v>
      </c>
      <c r="B183" s="428">
        <v>1139</v>
      </c>
      <c r="C183" s="428">
        <v>1194.49791</v>
      </c>
      <c r="D183" s="429">
        <v>55.497909999999997</v>
      </c>
      <c r="E183" s="435">
        <v>1.0487251185249999</v>
      </c>
      <c r="F183" s="428">
        <v>0</v>
      </c>
      <c r="G183" s="429">
        <v>0</v>
      </c>
      <c r="H183" s="431">
        <v>91.870260000000002</v>
      </c>
      <c r="I183" s="428">
        <v>363.72622000000098</v>
      </c>
      <c r="J183" s="429">
        <v>363.72622000000098</v>
      </c>
      <c r="K183" s="432" t="s">
        <v>287</v>
      </c>
    </row>
    <row r="184" spans="1:11" ht="14.4" customHeight="1" thickBot="1" x14ac:dyDescent="0.35">
      <c r="A184" s="445" t="s">
        <v>462</v>
      </c>
      <c r="B184" s="423">
        <v>1139</v>
      </c>
      <c r="C184" s="423">
        <v>1194.49791</v>
      </c>
      <c r="D184" s="424">
        <v>55.497909999999997</v>
      </c>
      <c r="E184" s="425">
        <v>1.0487251185249999</v>
      </c>
      <c r="F184" s="423">
        <v>0</v>
      </c>
      <c r="G184" s="424">
        <v>0</v>
      </c>
      <c r="H184" s="426">
        <v>91.870260000000002</v>
      </c>
      <c r="I184" s="423">
        <v>363.72622000000098</v>
      </c>
      <c r="J184" s="424">
        <v>363.72622000000098</v>
      </c>
      <c r="K184" s="434" t="s">
        <v>287</v>
      </c>
    </row>
    <row r="185" spans="1:11" ht="14.4" customHeight="1" thickBot="1" x14ac:dyDescent="0.35">
      <c r="A185" s="449" t="s">
        <v>463</v>
      </c>
      <c r="B185" s="428">
        <v>0</v>
      </c>
      <c r="C185" s="428">
        <v>9.6889800000000008</v>
      </c>
      <c r="D185" s="429">
        <v>9.6889800000000008</v>
      </c>
      <c r="E185" s="430" t="s">
        <v>317</v>
      </c>
      <c r="F185" s="428">
        <v>0</v>
      </c>
      <c r="G185" s="429">
        <v>0</v>
      </c>
      <c r="H185" s="431">
        <v>0.15944</v>
      </c>
      <c r="I185" s="428">
        <v>3.4683899999999999</v>
      </c>
      <c r="J185" s="429">
        <v>3.4683899999999999</v>
      </c>
      <c r="K185" s="432" t="s">
        <v>287</v>
      </c>
    </row>
    <row r="186" spans="1:11" ht="14.4" customHeight="1" thickBot="1" x14ac:dyDescent="0.35">
      <c r="A186" s="446" t="s">
        <v>464</v>
      </c>
      <c r="B186" s="428">
        <v>0</v>
      </c>
      <c r="C186" s="428">
        <v>9.6889800000000008</v>
      </c>
      <c r="D186" s="429">
        <v>9.6889800000000008</v>
      </c>
      <c r="E186" s="430" t="s">
        <v>317</v>
      </c>
      <c r="F186" s="428">
        <v>0</v>
      </c>
      <c r="G186" s="429">
        <v>0</v>
      </c>
      <c r="H186" s="431">
        <v>0.15944</v>
      </c>
      <c r="I186" s="428">
        <v>3.4683899999999999</v>
      </c>
      <c r="J186" s="429">
        <v>3.4683899999999999</v>
      </c>
      <c r="K186" s="432" t="s">
        <v>287</v>
      </c>
    </row>
    <row r="187" spans="1:11" ht="14.4" customHeight="1" thickBot="1" x14ac:dyDescent="0.35">
      <c r="A187" s="448" t="s">
        <v>465</v>
      </c>
      <c r="B187" s="428">
        <v>0</v>
      </c>
      <c r="C187" s="428">
        <v>9.6889800000000008</v>
      </c>
      <c r="D187" s="429">
        <v>9.6889800000000008</v>
      </c>
      <c r="E187" s="430" t="s">
        <v>317</v>
      </c>
      <c r="F187" s="428">
        <v>0</v>
      </c>
      <c r="G187" s="429">
        <v>0</v>
      </c>
      <c r="H187" s="431">
        <v>0.15944</v>
      </c>
      <c r="I187" s="428">
        <v>3.4683899999999999</v>
      </c>
      <c r="J187" s="429">
        <v>3.4683899999999999</v>
      </c>
      <c r="K187" s="432" t="s">
        <v>287</v>
      </c>
    </row>
    <row r="188" spans="1:11" ht="14.4" customHeight="1" thickBot="1" x14ac:dyDescent="0.35">
      <c r="A188" s="444" t="s">
        <v>466</v>
      </c>
      <c r="B188" s="428">
        <v>0</v>
      </c>
      <c r="C188" s="428">
        <v>9.6889800000000008</v>
      </c>
      <c r="D188" s="429">
        <v>9.6889800000000008</v>
      </c>
      <c r="E188" s="430" t="s">
        <v>317</v>
      </c>
      <c r="F188" s="428">
        <v>0</v>
      </c>
      <c r="G188" s="429">
        <v>0</v>
      </c>
      <c r="H188" s="431">
        <v>0.15944</v>
      </c>
      <c r="I188" s="428">
        <v>3.4683899999999999</v>
      </c>
      <c r="J188" s="429">
        <v>3.4683899999999999</v>
      </c>
      <c r="K188" s="432" t="s">
        <v>287</v>
      </c>
    </row>
    <row r="189" spans="1:11" ht="14.4" customHeight="1" thickBot="1" x14ac:dyDescent="0.35">
      <c r="A189" s="445" t="s">
        <v>467</v>
      </c>
      <c r="B189" s="423">
        <v>0</v>
      </c>
      <c r="C189" s="423">
        <v>9.6889800000000008</v>
      </c>
      <c r="D189" s="424">
        <v>9.6889800000000008</v>
      </c>
      <c r="E189" s="433" t="s">
        <v>317</v>
      </c>
      <c r="F189" s="423">
        <v>0</v>
      </c>
      <c r="G189" s="424">
        <v>0</v>
      </c>
      <c r="H189" s="426">
        <v>0.15944</v>
      </c>
      <c r="I189" s="423">
        <v>3.4683899999999999</v>
      </c>
      <c r="J189" s="424">
        <v>3.4683899999999999</v>
      </c>
      <c r="K189" s="434" t="s">
        <v>287</v>
      </c>
    </row>
    <row r="190" spans="1:11" ht="14.4" customHeight="1" thickBot="1" x14ac:dyDescent="0.35">
      <c r="A190" s="450"/>
      <c r="B190" s="423">
        <v>-10010.462536790799</v>
      </c>
      <c r="C190" s="423">
        <v>-12934.071599999999</v>
      </c>
      <c r="D190" s="424">
        <v>-2923.60906320919</v>
      </c>
      <c r="E190" s="425">
        <v>1.292055342344</v>
      </c>
      <c r="F190" s="423">
        <v>-8781.4093596500497</v>
      </c>
      <c r="G190" s="424">
        <v>-2927.1364532166799</v>
      </c>
      <c r="H190" s="426">
        <v>-1009.73463</v>
      </c>
      <c r="I190" s="423">
        <v>-3830.98657</v>
      </c>
      <c r="J190" s="424">
        <v>-903.85011678332</v>
      </c>
      <c r="K190" s="427">
        <v>0.43626101609599999</v>
      </c>
    </row>
    <row r="191" spans="1:11" ht="14.4" customHeight="1" thickBot="1" x14ac:dyDescent="0.35">
      <c r="A191" s="451" t="s">
        <v>66</v>
      </c>
      <c r="B191" s="437">
        <v>-10010.462536790799</v>
      </c>
      <c r="C191" s="437">
        <v>-12934.071599999999</v>
      </c>
      <c r="D191" s="438">
        <v>-2923.60906320919</v>
      </c>
      <c r="E191" s="439" t="s">
        <v>317</v>
      </c>
      <c r="F191" s="437">
        <v>-8781.4093596500497</v>
      </c>
      <c r="G191" s="438">
        <v>-2927.1364532166799</v>
      </c>
      <c r="H191" s="437">
        <v>-1009.73463</v>
      </c>
      <c r="I191" s="437">
        <v>-3830.98657</v>
      </c>
      <c r="J191" s="438">
        <v>-903.85011678332103</v>
      </c>
      <c r="K191" s="440">
        <v>0.43626101609599999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3" customWidth="1"/>
    <col min="2" max="2" width="61.109375" style="213" customWidth="1"/>
    <col min="3" max="3" width="9.5546875" style="133" customWidth="1"/>
    <col min="4" max="4" width="9.5546875" style="214" customWidth="1"/>
    <col min="5" max="5" width="2.21875" style="214" customWidth="1"/>
    <col min="6" max="6" width="9.5546875" style="215" customWidth="1"/>
    <col min="7" max="7" width="9.5546875" style="212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40" t="s">
        <v>286</v>
      </c>
      <c r="B2" s="211"/>
      <c r="C2" s="211"/>
      <c r="D2" s="211"/>
      <c r="E2" s="211"/>
      <c r="F2" s="211"/>
    </row>
    <row r="3" spans="1:10" ht="14.4" customHeight="1" thickBot="1" x14ac:dyDescent="0.35">
      <c r="A3" s="240"/>
      <c r="B3" s="211"/>
      <c r="C3" s="298">
        <v>2013</v>
      </c>
      <c r="D3" s="299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248</v>
      </c>
      <c r="C4" s="357" t="s">
        <v>73</v>
      </c>
      <c r="D4" s="358"/>
      <c r="E4" s="305"/>
      <c r="F4" s="300" t="s">
        <v>73</v>
      </c>
      <c r="G4" s="301" t="s">
        <v>74</v>
      </c>
      <c r="H4" s="301" t="s">
        <v>68</v>
      </c>
      <c r="I4" s="302" t="s">
        <v>75</v>
      </c>
    </row>
    <row r="5" spans="1:10" ht="14.4" customHeight="1" x14ac:dyDescent="0.3">
      <c r="A5" s="452" t="s">
        <v>468</v>
      </c>
      <c r="B5" s="453" t="s">
        <v>469</v>
      </c>
      <c r="C5" s="454" t="s">
        <v>470</v>
      </c>
      <c r="D5" s="454" t="s">
        <v>470</v>
      </c>
      <c r="E5" s="454"/>
      <c r="F5" s="454" t="s">
        <v>470</v>
      </c>
      <c r="G5" s="454" t="s">
        <v>470</v>
      </c>
      <c r="H5" s="454" t="s">
        <v>470</v>
      </c>
      <c r="I5" s="455" t="s">
        <v>470</v>
      </c>
      <c r="J5" s="456" t="s">
        <v>69</v>
      </c>
    </row>
    <row r="6" spans="1:10" ht="14.4" customHeight="1" x14ac:dyDescent="0.3">
      <c r="A6" s="452" t="s">
        <v>468</v>
      </c>
      <c r="B6" s="453" t="s">
        <v>295</v>
      </c>
      <c r="C6" s="454">
        <v>21.222389999999997</v>
      </c>
      <c r="D6" s="454">
        <v>32.25694</v>
      </c>
      <c r="E6" s="454"/>
      <c r="F6" s="454">
        <v>45.517769999999999</v>
      </c>
      <c r="G6" s="454">
        <v>53.620780337106666</v>
      </c>
      <c r="H6" s="454">
        <v>-8.1030103371066673</v>
      </c>
      <c r="I6" s="455">
        <v>0.84888302098246005</v>
      </c>
      <c r="J6" s="456" t="s">
        <v>1</v>
      </c>
    </row>
    <row r="7" spans="1:10" ht="14.4" customHeight="1" x14ac:dyDescent="0.3">
      <c r="A7" s="452" t="s">
        <v>468</v>
      </c>
      <c r="B7" s="453" t="s">
        <v>296</v>
      </c>
      <c r="C7" s="454">
        <v>4.8151299999999999</v>
      </c>
      <c r="D7" s="454">
        <v>7.2809099999999987</v>
      </c>
      <c r="E7" s="454"/>
      <c r="F7" s="454">
        <v>7.7232899999999995</v>
      </c>
      <c r="G7" s="454">
        <v>8.9272752651886673</v>
      </c>
      <c r="H7" s="454">
        <v>-1.2039852651886678</v>
      </c>
      <c r="I7" s="455">
        <v>0.86513407177176105</v>
      </c>
      <c r="J7" s="456" t="s">
        <v>1</v>
      </c>
    </row>
    <row r="8" spans="1:10" ht="14.4" customHeight="1" x14ac:dyDescent="0.3">
      <c r="A8" s="452" t="s">
        <v>468</v>
      </c>
      <c r="B8" s="453" t="s">
        <v>471</v>
      </c>
      <c r="C8" s="454">
        <v>0</v>
      </c>
      <c r="D8" s="454" t="s">
        <v>470</v>
      </c>
      <c r="E8" s="454"/>
      <c r="F8" s="454" t="s">
        <v>470</v>
      </c>
      <c r="G8" s="454" t="s">
        <v>470</v>
      </c>
      <c r="H8" s="454" t="s">
        <v>470</v>
      </c>
      <c r="I8" s="455" t="s">
        <v>470</v>
      </c>
      <c r="J8" s="456" t="s">
        <v>1</v>
      </c>
    </row>
    <row r="9" spans="1:10" ht="14.4" customHeight="1" x14ac:dyDescent="0.3">
      <c r="A9" s="452" t="s">
        <v>468</v>
      </c>
      <c r="B9" s="453" t="s">
        <v>472</v>
      </c>
      <c r="C9" s="454">
        <v>26.037519999999997</v>
      </c>
      <c r="D9" s="454">
        <v>39.537849999999999</v>
      </c>
      <c r="E9" s="454"/>
      <c r="F9" s="454">
        <v>53.241059999999997</v>
      </c>
      <c r="G9" s="454">
        <v>62.548055602295335</v>
      </c>
      <c r="H9" s="454">
        <v>-9.3069956022953377</v>
      </c>
      <c r="I9" s="455">
        <v>0.85120247923496128</v>
      </c>
      <c r="J9" s="456" t="s">
        <v>473</v>
      </c>
    </row>
    <row r="11" spans="1:10" ht="14.4" customHeight="1" x14ac:dyDescent="0.3">
      <c r="A11" s="452" t="s">
        <v>468</v>
      </c>
      <c r="B11" s="453" t="s">
        <v>469</v>
      </c>
      <c r="C11" s="454" t="s">
        <v>470</v>
      </c>
      <c r="D11" s="454" t="s">
        <v>470</v>
      </c>
      <c r="E11" s="454"/>
      <c r="F11" s="454" t="s">
        <v>470</v>
      </c>
      <c r="G11" s="454" t="s">
        <v>470</v>
      </c>
      <c r="H11" s="454" t="s">
        <v>470</v>
      </c>
      <c r="I11" s="455" t="s">
        <v>470</v>
      </c>
      <c r="J11" s="456" t="s">
        <v>69</v>
      </c>
    </row>
    <row r="12" spans="1:10" ht="14.4" customHeight="1" x14ac:dyDescent="0.3">
      <c r="A12" s="452" t="s">
        <v>474</v>
      </c>
      <c r="B12" s="453" t="s">
        <v>475</v>
      </c>
      <c r="C12" s="454" t="s">
        <v>470</v>
      </c>
      <c r="D12" s="454" t="s">
        <v>470</v>
      </c>
      <c r="E12" s="454"/>
      <c r="F12" s="454" t="s">
        <v>470</v>
      </c>
      <c r="G12" s="454" t="s">
        <v>470</v>
      </c>
      <c r="H12" s="454" t="s">
        <v>470</v>
      </c>
      <c r="I12" s="455" t="s">
        <v>470</v>
      </c>
      <c r="J12" s="456" t="s">
        <v>0</v>
      </c>
    </row>
    <row r="13" spans="1:10" ht="14.4" customHeight="1" x14ac:dyDescent="0.3">
      <c r="A13" s="452" t="s">
        <v>474</v>
      </c>
      <c r="B13" s="453" t="s">
        <v>295</v>
      </c>
      <c r="C13" s="454">
        <v>7.7896199999999993</v>
      </c>
      <c r="D13" s="454">
        <v>12.30236</v>
      </c>
      <c r="E13" s="454"/>
      <c r="F13" s="454">
        <v>17.87079</v>
      </c>
      <c r="G13" s="454">
        <v>22.999999275555666</v>
      </c>
      <c r="H13" s="454">
        <v>-5.1292092755556666</v>
      </c>
      <c r="I13" s="455">
        <v>0.77699089403855004</v>
      </c>
      <c r="J13" s="456" t="s">
        <v>1</v>
      </c>
    </row>
    <row r="14" spans="1:10" ht="14.4" customHeight="1" x14ac:dyDescent="0.3">
      <c r="A14" s="452" t="s">
        <v>474</v>
      </c>
      <c r="B14" s="453" t="s">
        <v>296</v>
      </c>
      <c r="C14" s="454">
        <v>3.9771400000000003</v>
      </c>
      <c r="D14" s="454">
        <v>6.3835099999999994</v>
      </c>
      <c r="E14" s="454"/>
      <c r="F14" s="454">
        <v>6.1850899999999998</v>
      </c>
      <c r="G14" s="454">
        <v>7.0898815281283332</v>
      </c>
      <c r="H14" s="454">
        <v>-0.90479152812833341</v>
      </c>
      <c r="I14" s="455">
        <v>0.87238270138384233</v>
      </c>
      <c r="J14" s="456" t="s">
        <v>1</v>
      </c>
    </row>
    <row r="15" spans="1:10" ht="14.4" customHeight="1" x14ac:dyDescent="0.3">
      <c r="A15" s="452" t="s">
        <v>474</v>
      </c>
      <c r="B15" s="453" t="s">
        <v>471</v>
      </c>
      <c r="C15" s="454">
        <v>0</v>
      </c>
      <c r="D15" s="454" t="s">
        <v>470</v>
      </c>
      <c r="E15" s="454"/>
      <c r="F15" s="454" t="s">
        <v>470</v>
      </c>
      <c r="G15" s="454" t="s">
        <v>470</v>
      </c>
      <c r="H15" s="454" t="s">
        <v>470</v>
      </c>
      <c r="I15" s="455" t="s">
        <v>470</v>
      </c>
      <c r="J15" s="456" t="s">
        <v>1</v>
      </c>
    </row>
    <row r="16" spans="1:10" ht="14.4" customHeight="1" x14ac:dyDescent="0.3">
      <c r="A16" s="452" t="s">
        <v>474</v>
      </c>
      <c r="B16" s="453" t="s">
        <v>476</v>
      </c>
      <c r="C16" s="454">
        <v>11.76676</v>
      </c>
      <c r="D16" s="454">
        <v>18.685870000000001</v>
      </c>
      <c r="E16" s="454"/>
      <c r="F16" s="454">
        <v>24.055879999999998</v>
      </c>
      <c r="G16" s="454">
        <v>30.089880803684</v>
      </c>
      <c r="H16" s="454">
        <v>-6.0340008036840018</v>
      </c>
      <c r="I16" s="455">
        <v>0.79946744079673326</v>
      </c>
      <c r="J16" s="456" t="s">
        <v>477</v>
      </c>
    </row>
    <row r="17" spans="1:10" ht="14.4" customHeight="1" x14ac:dyDescent="0.3">
      <c r="A17" s="452" t="s">
        <v>470</v>
      </c>
      <c r="B17" s="453" t="s">
        <v>470</v>
      </c>
      <c r="C17" s="454" t="s">
        <v>470</v>
      </c>
      <c r="D17" s="454" t="s">
        <v>470</v>
      </c>
      <c r="E17" s="454"/>
      <c r="F17" s="454" t="s">
        <v>470</v>
      </c>
      <c r="G17" s="454" t="s">
        <v>470</v>
      </c>
      <c r="H17" s="454" t="s">
        <v>470</v>
      </c>
      <c r="I17" s="455" t="s">
        <v>470</v>
      </c>
      <c r="J17" s="456" t="s">
        <v>478</v>
      </c>
    </row>
    <row r="18" spans="1:10" ht="14.4" customHeight="1" x14ac:dyDescent="0.3">
      <c r="A18" s="452" t="s">
        <v>479</v>
      </c>
      <c r="B18" s="453" t="s">
        <v>480</v>
      </c>
      <c r="C18" s="454" t="s">
        <v>470</v>
      </c>
      <c r="D18" s="454" t="s">
        <v>470</v>
      </c>
      <c r="E18" s="454"/>
      <c r="F18" s="454" t="s">
        <v>470</v>
      </c>
      <c r="G18" s="454" t="s">
        <v>470</v>
      </c>
      <c r="H18" s="454" t="s">
        <v>470</v>
      </c>
      <c r="I18" s="455" t="s">
        <v>470</v>
      </c>
      <c r="J18" s="456" t="s">
        <v>0</v>
      </c>
    </row>
    <row r="19" spans="1:10" ht="14.4" customHeight="1" x14ac:dyDescent="0.3">
      <c r="A19" s="452" t="s">
        <v>479</v>
      </c>
      <c r="B19" s="453" t="s">
        <v>295</v>
      </c>
      <c r="C19" s="454">
        <v>8.0553600000000003</v>
      </c>
      <c r="D19" s="454">
        <v>16.675710000000002</v>
      </c>
      <c r="E19" s="454"/>
      <c r="F19" s="454">
        <v>18.560420000000001</v>
      </c>
      <c r="G19" s="454">
        <v>20.999999338550666</v>
      </c>
      <c r="H19" s="454">
        <v>-2.439579338550665</v>
      </c>
      <c r="I19" s="455">
        <v>0.88382955164802235</v>
      </c>
      <c r="J19" s="456" t="s">
        <v>1</v>
      </c>
    </row>
    <row r="20" spans="1:10" ht="14.4" customHeight="1" x14ac:dyDescent="0.3">
      <c r="A20" s="452" t="s">
        <v>479</v>
      </c>
      <c r="B20" s="453" t="s">
        <v>296</v>
      </c>
      <c r="C20" s="454">
        <v>0.32095000000000001</v>
      </c>
      <c r="D20" s="454">
        <v>0.76513999999999993</v>
      </c>
      <c r="E20" s="454"/>
      <c r="F20" s="454">
        <v>1.2661200000000001</v>
      </c>
      <c r="G20" s="454">
        <v>1.2396790228973333</v>
      </c>
      <c r="H20" s="454">
        <v>2.6440977102666796E-2</v>
      </c>
      <c r="I20" s="455">
        <v>1.0213288896676416</v>
      </c>
      <c r="J20" s="456" t="s">
        <v>1</v>
      </c>
    </row>
    <row r="21" spans="1:10" ht="14.4" customHeight="1" x14ac:dyDescent="0.3">
      <c r="A21" s="452" t="s">
        <v>479</v>
      </c>
      <c r="B21" s="453" t="s">
        <v>481</v>
      </c>
      <c r="C21" s="454">
        <v>8.3763100000000001</v>
      </c>
      <c r="D21" s="454">
        <v>17.440850000000001</v>
      </c>
      <c r="E21" s="454"/>
      <c r="F21" s="454">
        <v>19.826540000000001</v>
      </c>
      <c r="G21" s="454">
        <v>22.239678361448</v>
      </c>
      <c r="H21" s="454">
        <v>-2.4131383614479986</v>
      </c>
      <c r="I21" s="455">
        <v>0.89149400804145074</v>
      </c>
      <c r="J21" s="456" t="s">
        <v>477</v>
      </c>
    </row>
    <row r="22" spans="1:10" ht="14.4" customHeight="1" x14ac:dyDescent="0.3">
      <c r="A22" s="452" t="s">
        <v>470</v>
      </c>
      <c r="B22" s="453" t="s">
        <v>470</v>
      </c>
      <c r="C22" s="454" t="s">
        <v>470</v>
      </c>
      <c r="D22" s="454" t="s">
        <v>470</v>
      </c>
      <c r="E22" s="454"/>
      <c r="F22" s="454" t="s">
        <v>470</v>
      </c>
      <c r="G22" s="454" t="s">
        <v>470</v>
      </c>
      <c r="H22" s="454" t="s">
        <v>470</v>
      </c>
      <c r="I22" s="455" t="s">
        <v>470</v>
      </c>
      <c r="J22" s="456" t="s">
        <v>478</v>
      </c>
    </row>
    <row r="23" spans="1:10" ht="14.4" customHeight="1" x14ac:dyDescent="0.3">
      <c r="A23" s="452" t="s">
        <v>482</v>
      </c>
      <c r="B23" s="453" t="s">
        <v>483</v>
      </c>
      <c r="C23" s="454" t="s">
        <v>470</v>
      </c>
      <c r="D23" s="454" t="s">
        <v>470</v>
      </c>
      <c r="E23" s="454"/>
      <c r="F23" s="454" t="s">
        <v>470</v>
      </c>
      <c r="G23" s="454" t="s">
        <v>470</v>
      </c>
      <c r="H23" s="454" t="s">
        <v>470</v>
      </c>
      <c r="I23" s="455" t="s">
        <v>470</v>
      </c>
      <c r="J23" s="456" t="s">
        <v>0</v>
      </c>
    </row>
    <row r="24" spans="1:10" ht="14.4" customHeight="1" x14ac:dyDescent="0.3">
      <c r="A24" s="452" t="s">
        <v>482</v>
      </c>
      <c r="B24" s="453" t="s">
        <v>295</v>
      </c>
      <c r="C24" s="454">
        <v>5.3774099999999994</v>
      </c>
      <c r="D24" s="454">
        <v>3.27887</v>
      </c>
      <c r="E24" s="454"/>
      <c r="F24" s="454">
        <v>9.0865600000000004</v>
      </c>
      <c r="G24" s="454">
        <v>9.6207817230003325</v>
      </c>
      <c r="H24" s="454">
        <v>-0.5342217230003321</v>
      </c>
      <c r="I24" s="455">
        <v>0.94447210856856134</v>
      </c>
      <c r="J24" s="456" t="s">
        <v>1</v>
      </c>
    </row>
    <row r="25" spans="1:10" ht="14.4" customHeight="1" x14ac:dyDescent="0.3">
      <c r="A25" s="452" t="s">
        <v>482</v>
      </c>
      <c r="B25" s="453" t="s">
        <v>296</v>
      </c>
      <c r="C25" s="454">
        <v>0.51704000000000006</v>
      </c>
      <c r="D25" s="454">
        <v>0.13225999999999999</v>
      </c>
      <c r="E25" s="454"/>
      <c r="F25" s="454">
        <v>0.27207999999999999</v>
      </c>
      <c r="G25" s="454">
        <v>0.59771471416300004</v>
      </c>
      <c r="H25" s="454">
        <v>-0.32563471416300005</v>
      </c>
      <c r="I25" s="455">
        <v>0.45520043852526326</v>
      </c>
      <c r="J25" s="456" t="s">
        <v>1</v>
      </c>
    </row>
    <row r="26" spans="1:10" ht="14.4" customHeight="1" x14ac:dyDescent="0.3">
      <c r="A26" s="452" t="s">
        <v>482</v>
      </c>
      <c r="B26" s="453" t="s">
        <v>484</v>
      </c>
      <c r="C26" s="454">
        <v>5.8944499999999991</v>
      </c>
      <c r="D26" s="454">
        <v>3.41113</v>
      </c>
      <c r="E26" s="454"/>
      <c r="F26" s="454">
        <v>9.3586400000000012</v>
      </c>
      <c r="G26" s="454">
        <v>10.218496437163333</v>
      </c>
      <c r="H26" s="454">
        <v>-0.85985643716333193</v>
      </c>
      <c r="I26" s="455">
        <v>0.91585293957375702</v>
      </c>
      <c r="J26" s="456" t="s">
        <v>477</v>
      </c>
    </row>
    <row r="27" spans="1:10" ht="14.4" customHeight="1" x14ac:dyDescent="0.3">
      <c r="A27" s="452" t="s">
        <v>470</v>
      </c>
      <c r="B27" s="453" t="s">
        <v>470</v>
      </c>
      <c r="C27" s="454" t="s">
        <v>470</v>
      </c>
      <c r="D27" s="454" t="s">
        <v>470</v>
      </c>
      <c r="E27" s="454"/>
      <c r="F27" s="454" t="s">
        <v>470</v>
      </c>
      <c r="G27" s="454" t="s">
        <v>470</v>
      </c>
      <c r="H27" s="454" t="s">
        <v>470</v>
      </c>
      <c r="I27" s="455" t="s">
        <v>470</v>
      </c>
      <c r="J27" s="456" t="s">
        <v>478</v>
      </c>
    </row>
    <row r="28" spans="1:10" ht="14.4" customHeight="1" x14ac:dyDescent="0.3">
      <c r="A28" s="452" t="s">
        <v>468</v>
      </c>
      <c r="B28" s="453" t="s">
        <v>472</v>
      </c>
      <c r="C28" s="454">
        <v>26.037520000000001</v>
      </c>
      <c r="D28" s="454">
        <v>39.537850000000006</v>
      </c>
      <c r="E28" s="454"/>
      <c r="F28" s="454">
        <v>53.241059999999997</v>
      </c>
      <c r="G28" s="454">
        <v>62.548055602295328</v>
      </c>
      <c r="H28" s="454">
        <v>-9.3069956022953306</v>
      </c>
      <c r="I28" s="455">
        <v>0.8512024792349614</v>
      </c>
      <c r="J28" s="456" t="s">
        <v>473</v>
      </c>
    </row>
  </sheetData>
  <mergeCells count="3">
    <mergeCell ref="F3:I3"/>
    <mergeCell ref="C4:D4"/>
    <mergeCell ref="A1:I1"/>
  </mergeCells>
  <conditionalFormatting sqref="F10 F29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8">
    <cfRule type="expression" dxfId="46" priority="5">
      <formula>$H11&gt;0</formula>
    </cfRule>
  </conditionalFormatting>
  <conditionalFormatting sqref="A11:A28">
    <cfRule type="expression" dxfId="45" priority="2">
      <formula>AND($J11&lt;&gt;"mezeraKL",$J11&lt;&gt;"")</formula>
    </cfRule>
  </conditionalFormatting>
  <conditionalFormatting sqref="I11:I28">
    <cfRule type="expression" dxfId="44" priority="6">
      <formula>$I11&gt;1</formula>
    </cfRule>
  </conditionalFormatting>
  <conditionalFormatting sqref="B11:B28">
    <cfRule type="expression" dxfId="43" priority="1">
      <formula>OR($J11="NS",$J11="SumaNS",$J11="Účet")</formula>
    </cfRule>
  </conditionalFormatting>
  <conditionalFormatting sqref="A11:D28 F11:I28">
    <cfRule type="expression" dxfId="42" priority="8">
      <formula>AND($J11&lt;&gt;"",$J11&lt;&gt;"mezeraKL")</formula>
    </cfRule>
  </conditionalFormatting>
  <conditionalFormatting sqref="B11:D28 F11:I28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4" bestFit="1" customWidth="1" collapsed="1"/>
    <col min="4" max="4" width="18.77734375" style="218" customWidth="1"/>
    <col min="5" max="5" width="9" style="214" bestFit="1" customWidth="1"/>
    <col min="6" max="6" width="18.77734375" style="218" customWidth="1"/>
    <col min="7" max="7" width="5" style="214" customWidth="1"/>
    <col min="8" max="8" width="12.44140625" style="214" hidden="1" customWidth="1" outlineLevel="1"/>
    <col min="9" max="9" width="8.5546875" style="214" hidden="1" customWidth="1" outlineLevel="1"/>
    <col min="10" max="10" width="25.77734375" style="214" customWidth="1" collapsed="1"/>
    <col min="11" max="11" width="8.77734375" style="214" customWidth="1"/>
    <col min="12" max="13" width="7.77734375" style="212" customWidth="1"/>
    <col min="14" max="14" width="11.109375" style="212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40" t="s">
        <v>286</v>
      </c>
      <c r="B2" s="62"/>
      <c r="C2" s="216"/>
      <c r="D2" s="216"/>
      <c r="E2" s="216"/>
      <c r="F2" s="216"/>
      <c r="G2" s="216"/>
      <c r="H2" s="216"/>
      <c r="I2" s="216"/>
      <c r="J2" s="216"/>
      <c r="K2" s="216"/>
      <c r="L2" s="217"/>
      <c r="M2" s="217"/>
      <c r="N2" s="217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180.2948917110501</v>
      </c>
      <c r="M3" s="99">
        <f>SUBTOTAL(9,M5:M1048576)</f>
        <v>295.3</v>
      </c>
      <c r="N3" s="100">
        <f>SUBTOTAL(9,N5:N1048576)</f>
        <v>53241.081522273096</v>
      </c>
    </row>
    <row r="4" spans="1:14" s="213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59" t="s">
        <v>11</v>
      </c>
      <c r="K4" s="459" t="s">
        <v>12</v>
      </c>
      <c r="L4" s="460" t="s">
        <v>147</v>
      </c>
      <c r="M4" s="460" t="s">
        <v>13</v>
      </c>
      <c r="N4" s="461" t="s">
        <v>164</v>
      </c>
    </row>
    <row r="5" spans="1:14" ht="14.4" customHeight="1" x14ac:dyDescent="0.3">
      <c r="A5" s="464" t="s">
        <v>468</v>
      </c>
      <c r="B5" s="465" t="s">
        <v>469</v>
      </c>
      <c r="C5" s="466" t="s">
        <v>474</v>
      </c>
      <c r="D5" s="467" t="s">
        <v>625</v>
      </c>
      <c r="E5" s="466" t="s">
        <v>485</v>
      </c>
      <c r="F5" s="467" t="s">
        <v>628</v>
      </c>
      <c r="G5" s="466" t="s">
        <v>486</v>
      </c>
      <c r="H5" s="466" t="s">
        <v>487</v>
      </c>
      <c r="I5" s="466" t="s">
        <v>488</v>
      </c>
      <c r="J5" s="466" t="s">
        <v>489</v>
      </c>
      <c r="K5" s="466" t="s">
        <v>490</v>
      </c>
      <c r="L5" s="468">
        <v>167.60932319883256</v>
      </c>
      <c r="M5" s="468">
        <v>20</v>
      </c>
      <c r="N5" s="469">
        <v>3352.1864639766509</v>
      </c>
    </row>
    <row r="6" spans="1:14" ht="14.4" customHeight="1" x14ac:dyDescent="0.3">
      <c r="A6" s="470" t="s">
        <v>468</v>
      </c>
      <c r="B6" s="471" t="s">
        <v>469</v>
      </c>
      <c r="C6" s="472" t="s">
        <v>474</v>
      </c>
      <c r="D6" s="473" t="s">
        <v>625</v>
      </c>
      <c r="E6" s="472" t="s">
        <v>485</v>
      </c>
      <c r="F6" s="473" t="s">
        <v>628</v>
      </c>
      <c r="G6" s="472" t="s">
        <v>486</v>
      </c>
      <c r="H6" s="472" t="s">
        <v>491</v>
      </c>
      <c r="I6" s="472" t="s">
        <v>492</v>
      </c>
      <c r="J6" s="472" t="s">
        <v>493</v>
      </c>
      <c r="K6" s="472" t="s">
        <v>494</v>
      </c>
      <c r="L6" s="474">
        <v>149.70618840221806</v>
      </c>
      <c r="M6" s="474">
        <v>8</v>
      </c>
      <c r="N6" s="475">
        <v>1197.6495072177445</v>
      </c>
    </row>
    <row r="7" spans="1:14" ht="14.4" customHeight="1" x14ac:dyDescent="0.3">
      <c r="A7" s="470" t="s">
        <v>468</v>
      </c>
      <c r="B7" s="471" t="s">
        <v>469</v>
      </c>
      <c r="C7" s="472" t="s">
        <v>474</v>
      </c>
      <c r="D7" s="473" t="s">
        <v>625</v>
      </c>
      <c r="E7" s="472" t="s">
        <v>485</v>
      </c>
      <c r="F7" s="473" t="s">
        <v>628</v>
      </c>
      <c r="G7" s="472" t="s">
        <v>486</v>
      </c>
      <c r="H7" s="472" t="s">
        <v>495</v>
      </c>
      <c r="I7" s="472" t="s">
        <v>173</v>
      </c>
      <c r="J7" s="472" t="s">
        <v>496</v>
      </c>
      <c r="K7" s="472"/>
      <c r="L7" s="474">
        <v>97.320400952204693</v>
      </c>
      <c r="M7" s="474">
        <v>4</v>
      </c>
      <c r="N7" s="475">
        <v>389.28160380881877</v>
      </c>
    </row>
    <row r="8" spans="1:14" ht="14.4" customHeight="1" x14ac:dyDescent="0.3">
      <c r="A8" s="470" t="s">
        <v>468</v>
      </c>
      <c r="B8" s="471" t="s">
        <v>469</v>
      </c>
      <c r="C8" s="472" t="s">
        <v>474</v>
      </c>
      <c r="D8" s="473" t="s">
        <v>625</v>
      </c>
      <c r="E8" s="472" t="s">
        <v>485</v>
      </c>
      <c r="F8" s="473" t="s">
        <v>628</v>
      </c>
      <c r="G8" s="472" t="s">
        <v>486</v>
      </c>
      <c r="H8" s="472" t="s">
        <v>497</v>
      </c>
      <c r="I8" s="472" t="s">
        <v>498</v>
      </c>
      <c r="J8" s="472" t="s">
        <v>499</v>
      </c>
      <c r="K8" s="472"/>
      <c r="L8" s="474">
        <v>496.25938545901516</v>
      </c>
      <c r="M8" s="474">
        <v>1</v>
      </c>
      <c r="N8" s="475">
        <v>496.25938545901516</v>
      </c>
    </row>
    <row r="9" spans="1:14" ht="14.4" customHeight="1" x14ac:dyDescent="0.3">
      <c r="A9" s="470" t="s">
        <v>468</v>
      </c>
      <c r="B9" s="471" t="s">
        <v>469</v>
      </c>
      <c r="C9" s="472" t="s">
        <v>474</v>
      </c>
      <c r="D9" s="473" t="s">
        <v>625</v>
      </c>
      <c r="E9" s="472" t="s">
        <v>485</v>
      </c>
      <c r="F9" s="473" t="s">
        <v>628</v>
      </c>
      <c r="G9" s="472" t="s">
        <v>486</v>
      </c>
      <c r="H9" s="472" t="s">
        <v>500</v>
      </c>
      <c r="I9" s="472" t="s">
        <v>173</v>
      </c>
      <c r="J9" s="472" t="s">
        <v>501</v>
      </c>
      <c r="K9" s="472"/>
      <c r="L9" s="474">
        <v>191.13093091888459</v>
      </c>
      <c r="M9" s="474">
        <v>7</v>
      </c>
      <c r="N9" s="475">
        <v>1337.9165164321921</v>
      </c>
    </row>
    <row r="10" spans="1:14" ht="14.4" customHeight="1" x14ac:dyDescent="0.3">
      <c r="A10" s="470" t="s">
        <v>468</v>
      </c>
      <c r="B10" s="471" t="s">
        <v>469</v>
      </c>
      <c r="C10" s="472" t="s">
        <v>474</v>
      </c>
      <c r="D10" s="473" t="s">
        <v>625</v>
      </c>
      <c r="E10" s="472" t="s">
        <v>485</v>
      </c>
      <c r="F10" s="473" t="s">
        <v>628</v>
      </c>
      <c r="G10" s="472" t="s">
        <v>486</v>
      </c>
      <c r="H10" s="472" t="s">
        <v>502</v>
      </c>
      <c r="I10" s="472" t="s">
        <v>173</v>
      </c>
      <c r="J10" s="472" t="s">
        <v>503</v>
      </c>
      <c r="K10" s="472"/>
      <c r="L10" s="474">
        <v>320.34421038523425</v>
      </c>
      <c r="M10" s="474">
        <v>4</v>
      </c>
      <c r="N10" s="475">
        <v>1281.376841540937</v>
      </c>
    </row>
    <row r="11" spans="1:14" ht="14.4" customHeight="1" x14ac:dyDescent="0.3">
      <c r="A11" s="470" t="s">
        <v>468</v>
      </c>
      <c r="B11" s="471" t="s">
        <v>469</v>
      </c>
      <c r="C11" s="472" t="s">
        <v>474</v>
      </c>
      <c r="D11" s="473" t="s">
        <v>625</v>
      </c>
      <c r="E11" s="472" t="s">
        <v>485</v>
      </c>
      <c r="F11" s="473" t="s">
        <v>628</v>
      </c>
      <c r="G11" s="472" t="s">
        <v>486</v>
      </c>
      <c r="H11" s="472" t="s">
        <v>504</v>
      </c>
      <c r="I11" s="472" t="s">
        <v>505</v>
      </c>
      <c r="J11" s="472" t="s">
        <v>493</v>
      </c>
      <c r="K11" s="472" t="s">
        <v>506</v>
      </c>
      <c r="L11" s="474">
        <v>298.99999999999972</v>
      </c>
      <c r="M11" s="474">
        <v>1</v>
      </c>
      <c r="N11" s="475">
        <v>298.99999999999972</v>
      </c>
    </row>
    <row r="12" spans="1:14" ht="14.4" customHeight="1" x14ac:dyDescent="0.3">
      <c r="A12" s="470" t="s">
        <v>468</v>
      </c>
      <c r="B12" s="471" t="s">
        <v>469</v>
      </c>
      <c r="C12" s="472" t="s">
        <v>474</v>
      </c>
      <c r="D12" s="473" t="s">
        <v>625</v>
      </c>
      <c r="E12" s="472" t="s">
        <v>485</v>
      </c>
      <c r="F12" s="473" t="s">
        <v>628</v>
      </c>
      <c r="G12" s="472" t="s">
        <v>486</v>
      </c>
      <c r="H12" s="472" t="s">
        <v>507</v>
      </c>
      <c r="I12" s="472" t="s">
        <v>508</v>
      </c>
      <c r="J12" s="472" t="s">
        <v>509</v>
      </c>
      <c r="K12" s="472" t="s">
        <v>510</v>
      </c>
      <c r="L12" s="474">
        <v>531.2700000000001</v>
      </c>
      <c r="M12" s="474">
        <v>1</v>
      </c>
      <c r="N12" s="475">
        <v>531.2700000000001</v>
      </c>
    </row>
    <row r="13" spans="1:14" ht="14.4" customHeight="1" x14ac:dyDescent="0.3">
      <c r="A13" s="470" t="s">
        <v>468</v>
      </c>
      <c r="B13" s="471" t="s">
        <v>469</v>
      </c>
      <c r="C13" s="472" t="s">
        <v>474</v>
      </c>
      <c r="D13" s="473" t="s">
        <v>625</v>
      </c>
      <c r="E13" s="472" t="s">
        <v>485</v>
      </c>
      <c r="F13" s="473" t="s">
        <v>628</v>
      </c>
      <c r="G13" s="472" t="s">
        <v>486</v>
      </c>
      <c r="H13" s="472" t="s">
        <v>511</v>
      </c>
      <c r="I13" s="472" t="s">
        <v>173</v>
      </c>
      <c r="J13" s="472" t="s">
        <v>512</v>
      </c>
      <c r="K13" s="472"/>
      <c r="L13" s="474">
        <v>187.4813218565501</v>
      </c>
      <c r="M13" s="474">
        <v>2</v>
      </c>
      <c r="N13" s="475">
        <v>374.96264371310019</v>
      </c>
    </row>
    <row r="14" spans="1:14" ht="14.4" customHeight="1" x14ac:dyDescent="0.3">
      <c r="A14" s="470" t="s">
        <v>468</v>
      </c>
      <c r="B14" s="471" t="s">
        <v>469</v>
      </c>
      <c r="C14" s="472" t="s">
        <v>474</v>
      </c>
      <c r="D14" s="473" t="s">
        <v>625</v>
      </c>
      <c r="E14" s="472" t="s">
        <v>485</v>
      </c>
      <c r="F14" s="473" t="s">
        <v>628</v>
      </c>
      <c r="G14" s="472" t="s">
        <v>486</v>
      </c>
      <c r="H14" s="472" t="s">
        <v>513</v>
      </c>
      <c r="I14" s="472" t="s">
        <v>173</v>
      </c>
      <c r="J14" s="472" t="s">
        <v>514</v>
      </c>
      <c r="K14" s="472"/>
      <c r="L14" s="474">
        <v>216.83977150112446</v>
      </c>
      <c r="M14" s="474">
        <v>1</v>
      </c>
      <c r="N14" s="475">
        <v>216.83977150112446</v>
      </c>
    </row>
    <row r="15" spans="1:14" ht="14.4" customHeight="1" x14ac:dyDescent="0.3">
      <c r="A15" s="470" t="s">
        <v>468</v>
      </c>
      <c r="B15" s="471" t="s">
        <v>469</v>
      </c>
      <c r="C15" s="472" t="s">
        <v>474</v>
      </c>
      <c r="D15" s="473" t="s">
        <v>625</v>
      </c>
      <c r="E15" s="472" t="s">
        <v>485</v>
      </c>
      <c r="F15" s="473" t="s">
        <v>628</v>
      </c>
      <c r="G15" s="472" t="s">
        <v>486</v>
      </c>
      <c r="H15" s="472" t="s">
        <v>515</v>
      </c>
      <c r="I15" s="472" t="s">
        <v>515</v>
      </c>
      <c r="J15" s="472" t="s">
        <v>516</v>
      </c>
      <c r="K15" s="472" t="s">
        <v>517</v>
      </c>
      <c r="L15" s="474">
        <v>220.59848337662453</v>
      </c>
      <c r="M15" s="474">
        <v>5</v>
      </c>
      <c r="N15" s="475">
        <v>1102.9924168831226</v>
      </c>
    </row>
    <row r="16" spans="1:14" ht="14.4" customHeight="1" x14ac:dyDescent="0.3">
      <c r="A16" s="470" t="s">
        <v>468</v>
      </c>
      <c r="B16" s="471" t="s">
        <v>469</v>
      </c>
      <c r="C16" s="472" t="s">
        <v>474</v>
      </c>
      <c r="D16" s="473" t="s">
        <v>625</v>
      </c>
      <c r="E16" s="472" t="s">
        <v>485</v>
      </c>
      <c r="F16" s="473" t="s">
        <v>628</v>
      </c>
      <c r="G16" s="472" t="s">
        <v>486</v>
      </c>
      <c r="H16" s="472" t="s">
        <v>518</v>
      </c>
      <c r="I16" s="472" t="s">
        <v>519</v>
      </c>
      <c r="J16" s="472" t="s">
        <v>516</v>
      </c>
      <c r="K16" s="472" t="s">
        <v>520</v>
      </c>
      <c r="L16" s="474">
        <v>123.32999999999997</v>
      </c>
      <c r="M16" s="474">
        <v>2</v>
      </c>
      <c r="N16" s="475">
        <v>246.65999999999994</v>
      </c>
    </row>
    <row r="17" spans="1:14" ht="14.4" customHeight="1" x14ac:dyDescent="0.3">
      <c r="A17" s="470" t="s">
        <v>468</v>
      </c>
      <c r="B17" s="471" t="s">
        <v>469</v>
      </c>
      <c r="C17" s="472" t="s">
        <v>474</v>
      </c>
      <c r="D17" s="473" t="s">
        <v>625</v>
      </c>
      <c r="E17" s="472" t="s">
        <v>485</v>
      </c>
      <c r="F17" s="473" t="s">
        <v>628</v>
      </c>
      <c r="G17" s="472" t="s">
        <v>486</v>
      </c>
      <c r="H17" s="472" t="s">
        <v>521</v>
      </c>
      <c r="I17" s="472" t="s">
        <v>173</v>
      </c>
      <c r="J17" s="472" t="s">
        <v>522</v>
      </c>
      <c r="K17" s="472"/>
      <c r="L17" s="474">
        <v>68.370974796692138</v>
      </c>
      <c r="M17" s="474">
        <v>4</v>
      </c>
      <c r="N17" s="475">
        <v>273.48389918676855</v>
      </c>
    </row>
    <row r="18" spans="1:14" ht="14.4" customHeight="1" x14ac:dyDescent="0.3">
      <c r="A18" s="470" t="s">
        <v>468</v>
      </c>
      <c r="B18" s="471" t="s">
        <v>469</v>
      </c>
      <c r="C18" s="472" t="s">
        <v>474</v>
      </c>
      <c r="D18" s="473" t="s">
        <v>625</v>
      </c>
      <c r="E18" s="472" t="s">
        <v>485</v>
      </c>
      <c r="F18" s="473" t="s">
        <v>628</v>
      </c>
      <c r="G18" s="472" t="s">
        <v>486</v>
      </c>
      <c r="H18" s="472" t="s">
        <v>523</v>
      </c>
      <c r="I18" s="472" t="s">
        <v>173</v>
      </c>
      <c r="J18" s="472" t="s">
        <v>524</v>
      </c>
      <c r="K18" s="472"/>
      <c r="L18" s="474">
        <v>207.10574556815851</v>
      </c>
      <c r="M18" s="474">
        <v>1</v>
      </c>
      <c r="N18" s="475">
        <v>207.10574556815851</v>
      </c>
    </row>
    <row r="19" spans="1:14" ht="14.4" customHeight="1" x14ac:dyDescent="0.3">
      <c r="A19" s="470" t="s">
        <v>468</v>
      </c>
      <c r="B19" s="471" t="s">
        <v>469</v>
      </c>
      <c r="C19" s="472" t="s">
        <v>474</v>
      </c>
      <c r="D19" s="473" t="s">
        <v>625</v>
      </c>
      <c r="E19" s="472" t="s">
        <v>485</v>
      </c>
      <c r="F19" s="473" t="s">
        <v>628</v>
      </c>
      <c r="G19" s="472" t="s">
        <v>486</v>
      </c>
      <c r="H19" s="472" t="s">
        <v>525</v>
      </c>
      <c r="I19" s="472" t="s">
        <v>526</v>
      </c>
      <c r="J19" s="472" t="s">
        <v>527</v>
      </c>
      <c r="K19" s="472" t="s">
        <v>528</v>
      </c>
      <c r="L19" s="474">
        <v>289.31488357091905</v>
      </c>
      <c r="M19" s="474">
        <v>5</v>
      </c>
      <c r="N19" s="475">
        <v>1446.5744178545954</v>
      </c>
    </row>
    <row r="20" spans="1:14" ht="14.4" customHeight="1" x14ac:dyDescent="0.3">
      <c r="A20" s="470" t="s">
        <v>468</v>
      </c>
      <c r="B20" s="471" t="s">
        <v>469</v>
      </c>
      <c r="C20" s="472" t="s">
        <v>474</v>
      </c>
      <c r="D20" s="473" t="s">
        <v>625</v>
      </c>
      <c r="E20" s="472" t="s">
        <v>485</v>
      </c>
      <c r="F20" s="473" t="s">
        <v>628</v>
      </c>
      <c r="G20" s="472" t="s">
        <v>486</v>
      </c>
      <c r="H20" s="472" t="s">
        <v>529</v>
      </c>
      <c r="I20" s="472" t="s">
        <v>529</v>
      </c>
      <c r="J20" s="472" t="s">
        <v>530</v>
      </c>
      <c r="K20" s="472" t="s">
        <v>531</v>
      </c>
      <c r="L20" s="474">
        <v>108.88900000000001</v>
      </c>
      <c r="M20" s="474">
        <v>3</v>
      </c>
      <c r="N20" s="475">
        <v>326.66700000000003</v>
      </c>
    </row>
    <row r="21" spans="1:14" ht="14.4" customHeight="1" x14ac:dyDescent="0.3">
      <c r="A21" s="470" t="s">
        <v>468</v>
      </c>
      <c r="B21" s="471" t="s">
        <v>469</v>
      </c>
      <c r="C21" s="472" t="s">
        <v>474</v>
      </c>
      <c r="D21" s="473" t="s">
        <v>625</v>
      </c>
      <c r="E21" s="472" t="s">
        <v>485</v>
      </c>
      <c r="F21" s="473" t="s">
        <v>628</v>
      </c>
      <c r="G21" s="472" t="s">
        <v>486</v>
      </c>
      <c r="H21" s="472" t="s">
        <v>532</v>
      </c>
      <c r="I21" s="472" t="s">
        <v>173</v>
      </c>
      <c r="J21" s="472" t="s">
        <v>533</v>
      </c>
      <c r="K21" s="472"/>
      <c r="L21" s="474">
        <v>74.956849966039726</v>
      </c>
      <c r="M21" s="474">
        <v>4</v>
      </c>
      <c r="N21" s="475">
        <v>299.82739986415891</v>
      </c>
    </row>
    <row r="22" spans="1:14" ht="14.4" customHeight="1" x14ac:dyDescent="0.3">
      <c r="A22" s="470" t="s">
        <v>468</v>
      </c>
      <c r="B22" s="471" t="s">
        <v>469</v>
      </c>
      <c r="C22" s="472" t="s">
        <v>474</v>
      </c>
      <c r="D22" s="473" t="s">
        <v>625</v>
      </c>
      <c r="E22" s="472" t="s">
        <v>485</v>
      </c>
      <c r="F22" s="473" t="s">
        <v>628</v>
      </c>
      <c r="G22" s="472" t="s">
        <v>486</v>
      </c>
      <c r="H22" s="472" t="s">
        <v>534</v>
      </c>
      <c r="I22" s="472" t="s">
        <v>173</v>
      </c>
      <c r="J22" s="472" t="s">
        <v>535</v>
      </c>
      <c r="K22" s="472"/>
      <c r="L22" s="474">
        <v>190.90799947392247</v>
      </c>
      <c r="M22" s="474">
        <v>4</v>
      </c>
      <c r="N22" s="475">
        <v>763.63199789568989</v>
      </c>
    </row>
    <row r="23" spans="1:14" ht="14.4" customHeight="1" x14ac:dyDescent="0.3">
      <c r="A23" s="470" t="s">
        <v>468</v>
      </c>
      <c r="B23" s="471" t="s">
        <v>469</v>
      </c>
      <c r="C23" s="472" t="s">
        <v>474</v>
      </c>
      <c r="D23" s="473" t="s">
        <v>625</v>
      </c>
      <c r="E23" s="472" t="s">
        <v>485</v>
      </c>
      <c r="F23" s="473" t="s">
        <v>628</v>
      </c>
      <c r="G23" s="472" t="s">
        <v>486</v>
      </c>
      <c r="H23" s="472" t="s">
        <v>536</v>
      </c>
      <c r="I23" s="472" t="s">
        <v>173</v>
      </c>
      <c r="J23" s="472" t="s">
        <v>537</v>
      </c>
      <c r="K23" s="472"/>
      <c r="L23" s="474">
        <v>31.872</v>
      </c>
      <c r="M23" s="474">
        <v>1</v>
      </c>
      <c r="N23" s="475">
        <v>31.872</v>
      </c>
    </row>
    <row r="24" spans="1:14" ht="14.4" customHeight="1" x14ac:dyDescent="0.3">
      <c r="A24" s="470" t="s">
        <v>468</v>
      </c>
      <c r="B24" s="471" t="s">
        <v>469</v>
      </c>
      <c r="C24" s="472" t="s">
        <v>474</v>
      </c>
      <c r="D24" s="473" t="s">
        <v>625</v>
      </c>
      <c r="E24" s="472" t="s">
        <v>485</v>
      </c>
      <c r="F24" s="473" t="s">
        <v>628</v>
      </c>
      <c r="G24" s="472" t="s">
        <v>486</v>
      </c>
      <c r="H24" s="472" t="s">
        <v>538</v>
      </c>
      <c r="I24" s="472" t="s">
        <v>173</v>
      </c>
      <c r="J24" s="472" t="s">
        <v>539</v>
      </c>
      <c r="K24" s="472"/>
      <c r="L24" s="474">
        <v>69.287310573862996</v>
      </c>
      <c r="M24" s="474">
        <v>4</v>
      </c>
      <c r="N24" s="475">
        <v>277.14924229545198</v>
      </c>
    </row>
    <row r="25" spans="1:14" ht="14.4" customHeight="1" x14ac:dyDescent="0.3">
      <c r="A25" s="470" t="s">
        <v>468</v>
      </c>
      <c r="B25" s="471" t="s">
        <v>469</v>
      </c>
      <c r="C25" s="472" t="s">
        <v>474</v>
      </c>
      <c r="D25" s="473" t="s">
        <v>625</v>
      </c>
      <c r="E25" s="472" t="s">
        <v>485</v>
      </c>
      <c r="F25" s="473" t="s">
        <v>628</v>
      </c>
      <c r="G25" s="472" t="s">
        <v>486</v>
      </c>
      <c r="H25" s="472" t="s">
        <v>540</v>
      </c>
      <c r="I25" s="472" t="s">
        <v>541</v>
      </c>
      <c r="J25" s="472" t="s">
        <v>542</v>
      </c>
      <c r="K25" s="472"/>
      <c r="L25" s="474">
        <v>89.015327650250626</v>
      </c>
      <c r="M25" s="474">
        <v>6</v>
      </c>
      <c r="N25" s="475">
        <v>534.09196590150373</v>
      </c>
    </row>
    <row r="26" spans="1:14" ht="14.4" customHeight="1" x14ac:dyDescent="0.3">
      <c r="A26" s="470" t="s">
        <v>468</v>
      </c>
      <c r="B26" s="471" t="s">
        <v>469</v>
      </c>
      <c r="C26" s="472" t="s">
        <v>474</v>
      </c>
      <c r="D26" s="473" t="s">
        <v>625</v>
      </c>
      <c r="E26" s="472" t="s">
        <v>485</v>
      </c>
      <c r="F26" s="473" t="s">
        <v>628</v>
      </c>
      <c r="G26" s="472" t="s">
        <v>486</v>
      </c>
      <c r="H26" s="472" t="s">
        <v>543</v>
      </c>
      <c r="I26" s="472" t="s">
        <v>173</v>
      </c>
      <c r="J26" s="472" t="s">
        <v>544</v>
      </c>
      <c r="K26" s="472"/>
      <c r="L26" s="474">
        <v>84.310003333398882</v>
      </c>
      <c r="M26" s="474">
        <v>4</v>
      </c>
      <c r="N26" s="475">
        <v>337.24001333359553</v>
      </c>
    </row>
    <row r="27" spans="1:14" ht="14.4" customHeight="1" x14ac:dyDescent="0.3">
      <c r="A27" s="470" t="s">
        <v>468</v>
      </c>
      <c r="B27" s="471" t="s">
        <v>469</v>
      </c>
      <c r="C27" s="472" t="s">
        <v>474</v>
      </c>
      <c r="D27" s="473" t="s">
        <v>625</v>
      </c>
      <c r="E27" s="472" t="s">
        <v>485</v>
      </c>
      <c r="F27" s="473" t="s">
        <v>628</v>
      </c>
      <c r="G27" s="472" t="s">
        <v>486</v>
      </c>
      <c r="H27" s="472" t="s">
        <v>545</v>
      </c>
      <c r="I27" s="472" t="s">
        <v>545</v>
      </c>
      <c r="J27" s="472" t="s">
        <v>546</v>
      </c>
      <c r="K27" s="472" t="s">
        <v>547</v>
      </c>
      <c r="L27" s="474">
        <v>118.64000000000001</v>
      </c>
      <c r="M27" s="474">
        <v>1</v>
      </c>
      <c r="N27" s="475">
        <v>118.64000000000001</v>
      </c>
    </row>
    <row r="28" spans="1:14" ht="14.4" customHeight="1" x14ac:dyDescent="0.3">
      <c r="A28" s="470" t="s">
        <v>468</v>
      </c>
      <c r="B28" s="471" t="s">
        <v>469</v>
      </c>
      <c r="C28" s="472" t="s">
        <v>474</v>
      </c>
      <c r="D28" s="473" t="s">
        <v>625</v>
      </c>
      <c r="E28" s="472" t="s">
        <v>485</v>
      </c>
      <c r="F28" s="473" t="s">
        <v>628</v>
      </c>
      <c r="G28" s="472" t="s">
        <v>486</v>
      </c>
      <c r="H28" s="472" t="s">
        <v>548</v>
      </c>
      <c r="I28" s="472" t="s">
        <v>173</v>
      </c>
      <c r="J28" s="472" t="s">
        <v>549</v>
      </c>
      <c r="K28" s="472"/>
      <c r="L28" s="474">
        <v>281.5885905819373</v>
      </c>
      <c r="M28" s="474">
        <v>2</v>
      </c>
      <c r="N28" s="475">
        <v>563.17718116387459</v>
      </c>
    </row>
    <row r="29" spans="1:14" ht="14.4" customHeight="1" x14ac:dyDescent="0.3">
      <c r="A29" s="470" t="s">
        <v>468</v>
      </c>
      <c r="B29" s="471" t="s">
        <v>469</v>
      </c>
      <c r="C29" s="472" t="s">
        <v>474</v>
      </c>
      <c r="D29" s="473" t="s">
        <v>625</v>
      </c>
      <c r="E29" s="472" t="s">
        <v>485</v>
      </c>
      <c r="F29" s="473" t="s">
        <v>628</v>
      </c>
      <c r="G29" s="472" t="s">
        <v>486</v>
      </c>
      <c r="H29" s="472" t="s">
        <v>550</v>
      </c>
      <c r="I29" s="472" t="s">
        <v>551</v>
      </c>
      <c r="J29" s="472" t="s">
        <v>552</v>
      </c>
      <c r="K29" s="472" t="s">
        <v>553</v>
      </c>
      <c r="L29" s="474">
        <v>209.90919964464251</v>
      </c>
      <c r="M29" s="474">
        <v>2</v>
      </c>
      <c r="N29" s="475">
        <v>419.81839928928503</v>
      </c>
    </row>
    <row r="30" spans="1:14" ht="14.4" customHeight="1" x14ac:dyDescent="0.3">
      <c r="A30" s="470" t="s">
        <v>468</v>
      </c>
      <c r="B30" s="471" t="s">
        <v>469</v>
      </c>
      <c r="C30" s="472" t="s">
        <v>474</v>
      </c>
      <c r="D30" s="473" t="s">
        <v>625</v>
      </c>
      <c r="E30" s="472" t="s">
        <v>485</v>
      </c>
      <c r="F30" s="473" t="s">
        <v>628</v>
      </c>
      <c r="G30" s="472" t="s">
        <v>486</v>
      </c>
      <c r="H30" s="472" t="s">
        <v>554</v>
      </c>
      <c r="I30" s="472" t="s">
        <v>554</v>
      </c>
      <c r="J30" s="472" t="s">
        <v>555</v>
      </c>
      <c r="K30" s="472" t="s">
        <v>556</v>
      </c>
      <c r="L30" s="474">
        <v>359.93</v>
      </c>
      <c r="M30" s="474">
        <v>1</v>
      </c>
      <c r="N30" s="475">
        <v>359.93</v>
      </c>
    </row>
    <row r="31" spans="1:14" ht="14.4" customHeight="1" x14ac:dyDescent="0.3">
      <c r="A31" s="470" t="s">
        <v>468</v>
      </c>
      <c r="B31" s="471" t="s">
        <v>469</v>
      </c>
      <c r="C31" s="472" t="s">
        <v>474</v>
      </c>
      <c r="D31" s="473" t="s">
        <v>625</v>
      </c>
      <c r="E31" s="472" t="s">
        <v>485</v>
      </c>
      <c r="F31" s="473" t="s">
        <v>628</v>
      </c>
      <c r="G31" s="472" t="s">
        <v>486</v>
      </c>
      <c r="H31" s="472" t="s">
        <v>557</v>
      </c>
      <c r="I31" s="472" t="s">
        <v>173</v>
      </c>
      <c r="J31" s="472" t="s">
        <v>558</v>
      </c>
      <c r="K31" s="472"/>
      <c r="L31" s="474">
        <v>37.349999999999994</v>
      </c>
      <c r="M31" s="474">
        <v>2</v>
      </c>
      <c r="N31" s="475">
        <v>74.699999999999989</v>
      </c>
    </row>
    <row r="32" spans="1:14" ht="14.4" customHeight="1" x14ac:dyDescent="0.3">
      <c r="A32" s="470" t="s">
        <v>468</v>
      </c>
      <c r="B32" s="471" t="s">
        <v>469</v>
      </c>
      <c r="C32" s="472" t="s">
        <v>474</v>
      </c>
      <c r="D32" s="473" t="s">
        <v>625</v>
      </c>
      <c r="E32" s="472" t="s">
        <v>485</v>
      </c>
      <c r="F32" s="473" t="s">
        <v>628</v>
      </c>
      <c r="G32" s="472" t="s">
        <v>486</v>
      </c>
      <c r="H32" s="472" t="s">
        <v>559</v>
      </c>
      <c r="I32" s="472" t="s">
        <v>560</v>
      </c>
      <c r="J32" s="472" t="s">
        <v>561</v>
      </c>
      <c r="K32" s="472" t="s">
        <v>562</v>
      </c>
      <c r="L32" s="474">
        <v>123.11937638063685</v>
      </c>
      <c r="M32" s="474">
        <v>2</v>
      </c>
      <c r="N32" s="475">
        <v>246.2387527612737</v>
      </c>
    </row>
    <row r="33" spans="1:14" ht="14.4" customHeight="1" x14ac:dyDescent="0.3">
      <c r="A33" s="470" t="s">
        <v>468</v>
      </c>
      <c r="B33" s="471" t="s">
        <v>469</v>
      </c>
      <c r="C33" s="472" t="s">
        <v>474</v>
      </c>
      <c r="D33" s="473" t="s">
        <v>625</v>
      </c>
      <c r="E33" s="472" t="s">
        <v>485</v>
      </c>
      <c r="F33" s="473" t="s">
        <v>628</v>
      </c>
      <c r="G33" s="472" t="s">
        <v>486</v>
      </c>
      <c r="H33" s="472" t="s">
        <v>563</v>
      </c>
      <c r="I33" s="472" t="s">
        <v>173</v>
      </c>
      <c r="J33" s="472" t="s">
        <v>564</v>
      </c>
      <c r="K33" s="472" t="s">
        <v>565</v>
      </c>
      <c r="L33" s="474">
        <v>49.997055555555562</v>
      </c>
      <c r="M33" s="474">
        <v>10</v>
      </c>
      <c r="N33" s="475">
        <v>499.97055555555562</v>
      </c>
    </row>
    <row r="34" spans="1:14" ht="14.4" customHeight="1" x14ac:dyDescent="0.3">
      <c r="A34" s="470" t="s">
        <v>468</v>
      </c>
      <c r="B34" s="471" t="s">
        <v>469</v>
      </c>
      <c r="C34" s="472" t="s">
        <v>474</v>
      </c>
      <c r="D34" s="473" t="s">
        <v>625</v>
      </c>
      <c r="E34" s="472" t="s">
        <v>485</v>
      </c>
      <c r="F34" s="473" t="s">
        <v>628</v>
      </c>
      <c r="G34" s="472" t="s">
        <v>486</v>
      </c>
      <c r="H34" s="472" t="s">
        <v>566</v>
      </c>
      <c r="I34" s="472" t="s">
        <v>173</v>
      </c>
      <c r="J34" s="472" t="s">
        <v>567</v>
      </c>
      <c r="K34" s="472"/>
      <c r="L34" s="474">
        <v>132.14202577622984</v>
      </c>
      <c r="M34" s="474">
        <v>2</v>
      </c>
      <c r="N34" s="475">
        <v>264.28405155245969</v>
      </c>
    </row>
    <row r="35" spans="1:14" ht="14.4" customHeight="1" x14ac:dyDescent="0.3">
      <c r="A35" s="470" t="s">
        <v>468</v>
      </c>
      <c r="B35" s="471" t="s">
        <v>469</v>
      </c>
      <c r="C35" s="472" t="s">
        <v>474</v>
      </c>
      <c r="D35" s="473" t="s">
        <v>625</v>
      </c>
      <c r="E35" s="472" t="s">
        <v>568</v>
      </c>
      <c r="F35" s="473" t="s">
        <v>629</v>
      </c>
      <c r="G35" s="472" t="s">
        <v>486</v>
      </c>
      <c r="H35" s="472" t="s">
        <v>569</v>
      </c>
      <c r="I35" s="472" t="s">
        <v>570</v>
      </c>
      <c r="J35" s="472" t="s">
        <v>571</v>
      </c>
      <c r="K35" s="472" t="s">
        <v>572</v>
      </c>
      <c r="L35" s="474">
        <v>40.249968671760264</v>
      </c>
      <c r="M35" s="474">
        <v>8</v>
      </c>
      <c r="N35" s="475">
        <v>321.99974937408211</v>
      </c>
    </row>
    <row r="36" spans="1:14" ht="14.4" customHeight="1" x14ac:dyDescent="0.3">
      <c r="A36" s="470" t="s">
        <v>468</v>
      </c>
      <c r="B36" s="471" t="s">
        <v>469</v>
      </c>
      <c r="C36" s="472" t="s">
        <v>474</v>
      </c>
      <c r="D36" s="473" t="s">
        <v>625</v>
      </c>
      <c r="E36" s="472" t="s">
        <v>568</v>
      </c>
      <c r="F36" s="473" t="s">
        <v>629</v>
      </c>
      <c r="G36" s="472" t="s">
        <v>486</v>
      </c>
      <c r="H36" s="472" t="s">
        <v>573</v>
      </c>
      <c r="I36" s="472" t="s">
        <v>574</v>
      </c>
      <c r="J36" s="472" t="s">
        <v>575</v>
      </c>
      <c r="K36" s="472" t="s">
        <v>576</v>
      </c>
      <c r="L36" s="474">
        <v>68.595318837490481</v>
      </c>
      <c r="M36" s="474">
        <v>24</v>
      </c>
      <c r="N36" s="475">
        <v>1646.2876520997715</v>
      </c>
    </row>
    <row r="37" spans="1:14" ht="14.4" customHeight="1" x14ac:dyDescent="0.3">
      <c r="A37" s="470" t="s">
        <v>468</v>
      </c>
      <c r="B37" s="471" t="s">
        <v>469</v>
      </c>
      <c r="C37" s="472" t="s">
        <v>474</v>
      </c>
      <c r="D37" s="473" t="s">
        <v>625</v>
      </c>
      <c r="E37" s="472" t="s">
        <v>568</v>
      </c>
      <c r="F37" s="473" t="s">
        <v>629</v>
      </c>
      <c r="G37" s="472" t="s">
        <v>486</v>
      </c>
      <c r="H37" s="472" t="s">
        <v>577</v>
      </c>
      <c r="I37" s="472" t="s">
        <v>578</v>
      </c>
      <c r="J37" s="472" t="s">
        <v>579</v>
      </c>
      <c r="K37" s="472" t="s">
        <v>580</v>
      </c>
      <c r="L37" s="474">
        <v>82.943217522632253</v>
      </c>
      <c r="M37" s="474">
        <v>12</v>
      </c>
      <c r="N37" s="475">
        <v>995.31861027158709</v>
      </c>
    </row>
    <row r="38" spans="1:14" ht="14.4" customHeight="1" x14ac:dyDescent="0.3">
      <c r="A38" s="470" t="s">
        <v>468</v>
      </c>
      <c r="B38" s="471" t="s">
        <v>469</v>
      </c>
      <c r="C38" s="472" t="s">
        <v>474</v>
      </c>
      <c r="D38" s="473" t="s">
        <v>625</v>
      </c>
      <c r="E38" s="472" t="s">
        <v>568</v>
      </c>
      <c r="F38" s="473" t="s">
        <v>629</v>
      </c>
      <c r="G38" s="472" t="s">
        <v>486</v>
      </c>
      <c r="H38" s="472" t="s">
        <v>581</v>
      </c>
      <c r="I38" s="472" t="s">
        <v>582</v>
      </c>
      <c r="J38" s="472" t="s">
        <v>583</v>
      </c>
      <c r="K38" s="472" t="s">
        <v>584</v>
      </c>
      <c r="L38" s="474">
        <v>264.99209769263013</v>
      </c>
      <c r="M38" s="474">
        <v>12</v>
      </c>
      <c r="N38" s="475">
        <v>3179.9051723115617</v>
      </c>
    </row>
    <row r="39" spans="1:14" ht="14.4" customHeight="1" x14ac:dyDescent="0.3">
      <c r="A39" s="470" t="s">
        <v>468</v>
      </c>
      <c r="B39" s="471" t="s">
        <v>469</v>
      </c>
      <c r="C39" s="472" t="s">
        <v>474</v>
      </c>
      <c r="D39" s="473" t="s">
        <v>625</v>
      </c>
      <c r="E39" s="472" t="s">
        <v>568</v>
      </c>
      <c r="F39" s="473" t="s">
        <v>629</v>
      </c>
      <c r="G39" s="472" t="s">
        <v>585</v>
      </c>
      <c r="H39" s="472" t="s">
        <v>586</v>
      </c>
      <c r="I39" s="472" t="s">
        <v>587</v>
      </c>
      <c r="J39" s="472" t="s">
        <v>588</v>
      </c>
      <c r="K39" s="472" t="s">
        <v>589</v>
      </c>
      <c r="L39" s="474">
        <v>138.60999999999999</v>
      </c>
      <c r="M39" s="474">
        <v>0.3</v>
      </c>
      <c r="N39" s="475">
        <v>41.582999999999991</v>
      </c>
    </row>
    <row r="40" spans="1:14" ht="14.4" customHeight="1" x14ac:dyDescent="0.3">
      <c r="A40" s="470" t="s">
        <v>468</v>
      </c>
      <c r="B40" s="471" t="s">
        <v>469</v>
      </c>
      <c r="C40" s="472" t="s">
        <v>479</v>
      </c>
      <c r="D40" s="473" t="s">
        <v>626</v>
      </c>
      <c r="E40" s="472" t="s">
        <v>485</v>
      </c>
      <c r="F40" s="473" t="s">
        <v>628</v>
      </c>
      <c r="G40" s="472" t="s">
        <v>486</v>
      </c>
      <c r="H40" s="472" t="s">
        <v>590</v>
      </c>
      <c r="I40" s="472" t="s">
        <v>591</v>
      </c>
      <c r="J40" s="472" t="s">
        <v>592</v>
      </c>
      <c r="K40" s="472" t="s">
        <v>593</v>
      </c>
      <c r="L40" s="474">
        <v>87.029835880661579</v>
      </c>
      <c r="M40" s="474">
        <v>20</v>
      </c>
      <c r="N40" s="475">
        <v>1740.5967176132317</v>
      </c>
    </row>
    <row r="41" spans="1:14" ht="14.4" customHeight="1" x14ac:dyDescent="0.3">
      <c r="A41" s="470" t="s">
        <v>468</v>
      </c>
      <c r="B41" s="471" t="s">
        <v>469</v>
      </c>
      <c r="C41" s="472" t="s">
        <v>479</v>
      </c>
      <c r="D41" s="473" t="s">
        <v>626</v>
      </c>
      <c r="E41" s="472" t="s">
        <v>485</v>
      </c>
      <c r="F41" s="473" t="s">
        <v>628</v>
      </c>
      <c r="G41" s="472" t="s">
        <v>486</v>
      </c>
      <c r="H41" s="472" t="s">
        <v>487</v>
      </c>
      <c r="I41" s="472" t="s">
        <v>488</v>
      </c>
      <c r="J41" s="472" t="s">
        <v>489</v>
      </c>
      <c r="K41" s="472" t="s">
        <v>490</v>
      </c>
      <c r="L41" s="474">
        <v>167.60976428421986</v>
      </c>
      <c r="M41" s="474">
        <v>29</v>
      </c>
      <c r="N41" s="475">
        <v>4860.6831642423758</v>
      </c>
    </row>
    <row r="42" spans="1:14" ht="14.4" customHeight="1" x14ac:dyDescent="0.3">
      <c r="A42" s="470" t="s">
        <v>468</v>
      </c>
      <c r="B42" s="471" t="s">
        <v>469</v>
      </c>
      <c r="C42" s="472" t="s">
        <v>479</v>
      </c>
      <c r="D42" s="473" t="s">
        <v>626</v>
      </c>
      <c r="E42" s="472" t="s">
        <v>485</v>
      </c>
      <c r="F42" s="473" t="s">
        <v>628</v>
      </c>
      <c r="G42" s="472" t="s">
        <v>486</v>
      </c>
      <c r="H42" s="472" t="s">
        <v>497</v>
      </c>
      <c r="I42" s="472" t="s">
        <v>498</v>
      </c>
      <c r="J42" s="472" t="s">
        <v>499</v>
      </c>
      <c r="K42" s="472"/>
      <c r="L42" s="474">
        <v>496.2594419590497</v>
      </c>
      <c r="M42" s="474">
        <v>5</v>
      </c>
      <c r="N42" s="475">
        <v>2481.2972097952484</v>
      </c>
    </row>
    <row r="43" spans="1:14" ht="14.4" customHeight="1" x14ac:dyDescent="0.3">
      <c r="A43" s="470" t="s">
        <v>468</v>
      </c>
      <c r="B43" s="471" t="s">
        <v>469</v>
      </c>
      <c r="C43" s="472" t="s">
        <v>479</v>
      </c>
      <c r="D43" s="473" t="s">
        <v>626</v>
      </c>
      <c r="E43" s="472" t="s">
        <v>485</v>
      </c>
      <c r="F43" s="473" t="s">
        <v>628</v>
      </c>
      <c r="G43" s="472" t="s">
        <v>486</v>
      </c>
      <c r="H43" s="472" t="s">
        <v>594</v>
      </c>
      <c r="I43" s="472" t="s">
        <v>595</v>
      </c>
      <c r="J43" s="472" t="s">
        <v>596</v>
      </c>
      <c r="K43" s="472" t="s">
        <v>597</v>
      </c>
      <c r="L43" s="474">
        <v>152.15999963906975</v>
      </c>
      <c r="M43" s="474">
        <v>3</v>
      </c>
      <c r="N43" s="475">
        <v>456.47999891720923</v>
      </c>
    </row>
    <row r="44" spans="1:14" ht="14.4" customHeight="1" x14ac:dyDescent="0.3">
      <c r="A44" s="470" t="s">
        <v>468</v>
      </c>
      <c r="B44" s="471" t="s">
        <v>469</v>
      </c>
      <c r="C44" s="472" t="s">
        <v>479</v>
      </c>
      <c r="D44" s="473" t="s">
        <v>626</v>
      </c>
      <c r="E44" s="472" t="s">
        <v>485</v>
      </c>
      <c r="F44" s="473" t="s">
        <v>628</v>
      </c>
      <c r="G44" s="472" t="s">
        <v>486</v>
      </c>
      <c r="H44" s="472" t="s">
        <v>507</v>
      </c>
      <c r="I44" s="472" t="s">
        <v>508</v>
      </c>
      <c r="J44" s="472" t="s">
        <v>509</v>
      </c>
      <c r="K44" s="472" t="s">
        <v>510</v>
      </c>
      <c r="L44" s="474">
        <v>531.27</v>
      </c>
      <c r="M44" s="474">
        <v>2</v>
      </c>
      <c r="N44" s="475">
        <v>1062.54</v>
      </c>
    </row>
    <row r="45" spans="1:14" ht="14.4" customHeight="1" x14ac:dyDescent="0.3">
      <c r="A45" s="470" t="s">
        <v>468</v>
      </c>
      <c r="B45" s="471" t="s">
        <v>469</v>
      </c>
      <c r="C45" s="472" t="s">
        <v>479</v>
      </c>
      <c r="D45" s="473" t="s">
        <v>626</v>
      </c>
      <c r="E45" s="472" t="s">
        <v>485</v>
      </c>
      <c r="F45" s="473" t="s">
        <v>628</v>
      </c>
      <c r="G45" s="472" t="s">
        <v>486</v>
      </c>
      <c r="H45" s="472" t="s">
        <v>511</v>
      </c>
      <c r="I45" s="472" t="s">
        <v>173</v>
      </c>
      <c r="J45" s="472" t="s">
        <v>512</v>
      </c>
      <c r="K45" s="472"/>
      <c r="L45" s="474">
        <v>29.247787907535695</v>
      </c>
      <c r="M45" s="474">
        <v>3</v>
      </c>
      <c r="N45" s="475">
        <v>87.743363722607086</v>
      </c>
    </row>
    <row r="46" spans="1:14" ht="14.4" customHeight="1" x14ac:dyDescent="0.3">
      <c r="A46" s="470" t="s">
        <v>468</v>
      </c>
      <c r="B46" s="471" t="s">
        <v>469</v>
      </c>
      <c r="C46" s="472" t="s">
        <v>479</v>
      </c>
      <c r="D46" s="473" t="s">
        <v>626</v>
      </c>
      <c r="E46" s="472" t="s">
        <v>485</v>
      </c>
      <c r="F46" s="473" t="s">
        <v>628</v>
      </c>
      <c r="G46" s="472" t="s">
        <v>486</v>
      </c>
      <c r="H46" s="472" t="s">
        <v>515</v>
      </c>
      <c r="I46" s="472" t="s">
        <v>515</v>
      </c>
      <c r="J46" s="472" t="s">
        <v>516</v>
      </c>
      <c r="K46" s="472" t="s">
        <v>517</v>
      </c>
      <c r="L46" s="474">
        <v>219.8787310702229</v>
      </c>
      <c r="M46" s="474">
        <v>1</v>
      </c>
      <c r="N46" s="475">
        <v>219.8787310702229</v>
      </c>
    </row>
    <row r="47" spans="1:14" ht="14.4" customHeight="1" x14ac:dyDescent="0.3">
      <c r="A47" s="470" t="s">
        <v>468</v>
      </c>
      <c r="B47" s="471" t="s">
        <v>469</v>
      </c>
      <c r="C47" s="472" t="s">
        <v>479</v>
      </c>
      <c r="D47" s="473" t="s">
        <v>626</v>
      </c>
      <c r="E47" s="472" t="s">
        <v>485</v>
      </c>
      <c r="F47" s="473" t="s">
        <v>628</v>
      </c>
      <c r="G47" s="472" t="s">
        <v>486</v>
      </c>
      <c r="H47" s="472" t="s">
        <v>598</v>
      </c>
      <c r="I47" s="472" t="s">
        <v>599</v>
      </c>
      <c r="J47" s="472" t="s">
        <v>600</v>
      </c>
      <c r="K47" s="472" t="s">
        <v>601</v>
      </c>
      <c r="L47" s="474">
        <v>566.53999247931188</v>
      </c>
      <c r="M47" s="474">
        <v>1</v>
      </c>
      <c r="N47" s="475">
        <v>566.53999247931188</v>
      </c>
    </row>
    <row r="48" spans="1:14" ht="14.4" customHeight="1" x14ac:dyDescent="0.3">
      <c r="A48" s="470" t="s">
        <v>468</v>
      </c>
      <c r="B48" s="471" t="s">
        <v>469</v>
      </c>
      <c r="C48" s="472" t="s">
        <v>479</v>
      </c>
      <c r="D48" s="473" t="s">
        <v>626</v>
      </c>
      <c r="E48" s="472" t="s">
        <v>485</v>
      </c>
      <c r="F48" s="473" t="s">
        <v>628</v>
      </c>
      <c r="G48" s="472" t="s">
        <v>486</v>
      </c>
      <c r="H48" s="472" t="s">
        <v>602</v>
      </c>
      <c r="I48" s="472" t="s">
        <v>603</v>
      </c>
      <c r="J48" s="472" t="s">
        <v>604</v>
      </c>
      <c r="K48" s="472"/>
      <c r="L48" s="474">
        <v>252.97800000000001</v>
      </c>
      <c r="M48" s="474">
        <v>1</v>
      </c>
      <c r="N48" s="475">
        <v>252.97800000000001</v>
      </c>
    </row>
    <row r="49" spans="1:14" ht="14.4" customHeight="1" x14ac:dyDescent="0.3">
      <c r="A49" s="470" t="s">
        <v>468</v>
      </c>
      <c r="B49" s="471" t="s">
        <v>469</v>
      </c>
      <c r="C49" s="472" t="s">
        <v>479</v>
      </c>
      <c r="D49" s="473" t="s">
        <v>626</v>
      </c>
      <c r="E49" s="472" t="s">
        <v>485</v>
      </c>
      <c r="F49" s="473" t="s">
        <v>628</v>
      </c>
      <c r="G49" s="472" t="s">
        <v>486</v>
      </c>
      <c r="H49" s="472" t="s">
        <v>525</v>
      </c>
      <c r="I49" s="472" t="s">
        <v>526</v>
      </c>
      <c r="J49" s="472" t="s">
        <v>527</v>
      </c>
      <c r="K49" s="472" t="s">
        <v>528</v>
      </c>
      <c r="L49" s="474">
        <v>280.08791887371098</v>
      </c>
      <c r="M49" s="474">
        <v>14</v>
      </c>
      <c r="N49" s="475">
        <v>3921.2308642319535</v>
      </c>
    </row>
    <row r="50" spans="1:14" ht="14.4" customHeight="1" x14ac:dyDescent="0.3">
      <c r="A50" s="470" t="s">
        <v>468</v>
      </c>
      <c r="B50" s="471" t="s">
        <v>469</v>
      </c>
      <c r="C50" s="472" t="s">
        <v>479</v>
      </c>
      <c r="D50" s="473" t="s">
        <v>626</v>
      </c>
      <c r="E50" s="472" t="s">
        <v>485</v>
      </c>
      <c r="F50" s="473" t="s">
        <v>628</v>
      </c>
      <c r="G50" s="472" t="s">
        <v>486</v>
      </c>
      <c r="H50" s="472" t="s">
        <v>532</v>
      </c>
      <c r="I50" s="472" t="s">
        <v>173</v>
      </c>
      <c r="J50" s="472" t="s">
        <v>533</v>
      </c>
      <c r="K50" s="472"/>
      <c r="L50" s="474">
        <v>78.04177734466478</v>
      </c>
      <c r="M50" s="474">
        <v>2</v>
      </c>
      <c r="N50" s="475">
        <v>156.08355468932956</v>
      </c>
    </row>
    <row r="51" spans="1:14" ht="14.4" customHeight="1" x14ac:dyDescent="0.3">
      <c r="A51" s="470" t="s">
        <v>468</v>
      </c>
      <c r="B51" s="471" t="s">
        <v>469</v>
      </c>
      <c r="C51" s="472" t="s">
        <v>479</v>
      </c>
      <c r="D51" s="473" t="s">
        <v>626</v>
      </c>
      <c r="E51" s="472" t="s">
        <v>485</v>
      </c>
      <c r="F51" s="473" t="s">
        <v>628</v>
      </c>
      <c r="G51" s="472" t="s">
        <v>486</v>
      </c>
      <c r="H51" s="472" t="s">
        <v>605</v>
      </c>
      <c r="I51" s="472" t="s">
        <v>173</v>
      </c>
      <c r="J51" s="472" t="s">
        <v>606</v>
      </c>
      <c r="K51" s="472"/>
      <c r="L51" s="474">
        <v>52.175708476116114</v>
      </c>
      <c r="M51" s="474">
        <v>1</v>
      </c>
      <c r="N51" s="475">
        <v>52.175708476116114</v>
      </c>
    </row>
    <row r="52" spans="1:14" ht="14.4" customHeight="1" x14ac:dyDescent="0.3">
      <c r="A52" s="470" t="s">
        <v>468</v>
      </c>
      <c r="B52" s="471" t="s">
        <v>469</v>
      </c>
      <c r="C52" s="472" t="s">
        <v>479</v>
      </c>
      <c r="D52" s="473" t="s">
        <v>626</v>
      </c>
      <c r="E52" s="472" t="s">
        <v>485</v>
      </c>
      <c r="F52" s="473" t="s">
        <v>628</v>
      </c>
      <c r="G52" s="472" t="s">
        <v>486</v>
      </c>
      <c r="H52" s="472" t="s">
        <v>538</v>
      </c>
      <c r="I52" s="472" t="s">
        <v>173</v>
      </c>
      <c r="J52" s="472" t="s">
        <v>539</v>
      </c>
      <c r="K52" s="472"/>
      <c r="L52" s="474">
        <v>73.007310573862995</v>
      </c>
      <c r="M52" s="474">
        <v>2</v>
      </c>
      <c r="N52" s="475">
        <v>146.01462114772599</v>
      </c>
    </row>
    <row r="53" spans="1:14" ht="14.4" customHeight="1" x14ac:dyDescent="0.3">
      <c r="A53" s="470" t="s">
        <v>468</v>
      </c>
      <c r="B53" s="471" t="s">
        <v>469</v>
      </c>
      <c r="C53" s="472" t="s">
        <v>479</v>
      </c>
      <c r="D53" s="473" t="s">
        <v>626</v>
      </c>
      <c r="E53" s="472" t="s">
        <v>485</v>
      </c>
      <c r="F53" s="473" t="s">
        <v>628</v>
      </c>
      <c r="G53" s="472" t="s">
        <v>486</v>
      </c>
      <c r="H53" s="472" t="s">
        <v>607</v>
      </c>
      <c r="I53" s="472" t="s">
        <v>173</v>
      </c>
      <c r="J53" s="472" t="s">
        <v>608</v>
      </c>
      <c r="K53" s="472"/>
      <c r="L53" s="474">
        <v>58.65666428912926</v>
      </c>
      <c r="M53" s="474">
        <v>1</v>
      </c>
      <c r="N53" s="475">
        <v>58.65666428912926</v>
      </c>
    </row>
    <row r="54" spans="1:14" ht="14.4" customHeight="1" x14ac:dyDescent="0.3">
      <c r="A54" s="470" t="s">
        <v>468</v>
      </c>
      <c r="B54" s="471" t="s">
        <v>469</v>
      </c>
      <c r="C54" s="472" t="s">
        <v>479</v>
      </c>
      <c r="D54" s="473" t="s">
        <v>626</v>
      </c>
      <c r="E54" s="472" t="s">
        <v>485</v>
      </c>
      <c r="F54" s="473" t="s">
        <v>628</v>
      </c>
      <c r="G54" s="472" t="s">
        <v>486</v>
      </c>
      <c r="H54" s="472" t="s">
        <v>609</v>
      </c>
      <c r="I54" s="472" t="s">
        <v>173</v>
      </c>
      <c r="J54" s="472" t="s">
        <v>610</v>
      </c>
      <c r="K54" s="472" t="s">
        <v>611</v>
      </c>
      <c r="L54" s="474">
        <v>202.40011647601267</v>
      </c>
      <c r="M54" s="474">
        <v>2</v>
      </c>
      <c r="N54" s="475">
        <v>404.80023295202534</v>
      </c>
    </row>
    <row r="55" spans="1:14" ht="14.4" customHeight="1" x14ac:dyDescent="0.3">
      <c r="A55" s="470" t="s">
        <v>468</v>
      </c>
      <c r="B55" s="471" t="s">
        <v>469</v>
      </c>
      <c r="C55" s="472" t="s">
        <v>479</v>
      </c>
      <c r="D55" s="473" t="s">
        <v>626</v>
      </c>
      <c r="E55" s="472" t="s">
        <v>485</v>
      </c>
      <c r="F55" s="473" t="s">
        <v>628</v>
      </c>
      <c r="G55" s="472" t="s">
        <v>486</v>
      </c>
      <c r="H55" s="472" t="s">
        <v>612</v>
      </c>
      <c r="I55" s="472" t="s">
        <v>613</v>
      </c>
      <c r="J55" s="472" t="s">
        <v>614</v>
      </c>
      <c r="K55" s="472" t="s">
        <v>615</v>
      </c>
      <c r="L55" s="474">
        <v>77.949128961377411</v>
      </c>
      <c r="M55" s="474">
        <v>1</v>
      </c>
      <c r="N55" s="475">
        <v>77.949128961377411</v>
      </c>
    </row>
    <row r="56" spans="1:14" ht="14.4" customHeight="1" x14ac:dyDescent="0.3">
      <c r="A56" s="470" t="s">
        <v>468</v>
      </c>
      <c r="B56" s="471" t="s">
        <v>469</v>
      </c>
      <c r="C56" s="472" t="s">
        <v>479</v>
      </c>
      <c r="D56" s="473" t="s">
        <v>626</v>
      </c>
      <c r="E56" s="472" t="s">
        <v>485</v>
      </c>
      <c r="F56" s="473" t="s">
        <v>628</v>
      </c>
      <c r="G56" s="472" t="s">
        <v>486</v>
      </c>
      <c r="H56" s="472" t="s">
        <v>540</v>
      </c>
      <c r="I56" s="472" t="s">
        <v>541</v>
      </c>
      <c r="J56" s="472" t="s">
        <v>542</v>
      </c>
      <c r="K56" s="472"/>
      <c r="L56" s="474">
        <v>98.130576115695419</v>
      </c>
      <c r="M56" s="474">
        <v>1</v>
      </c>
      <c r="N56" s="475">
        <v>98.130576115695419</v>
      </c>
    </row>
    <row r="57" spans="1:14" ht="14.4" customHeight="1" x14ac:dyDescent="0.3">
      <c r="A57" s="470" t="s">
        <v>468</v>
      </c>
      <c r="B57" s="471" t="s">
        <v>469</v>
      </c>
      <c r="C57" s="472" t="s">
        <v>479</v>
      </c>
      <c r="D57" s="473" t="s">
        <v>626</v>
      </c>
      <c r="E57" s="472" t="s">
        <v>485</v>
      </c>
      <c r="F57" s="473" t="s">
        <v>628</v>
      </c>
      <c r="G57" s="472" t="s">
        <v>486</v>
      </c>
      <c r="H57" s="472" t="s">
        <v>543</v>
      </c>
      <c r="I57" s="472" t="s">
        <v>173</v>
      </c>
      <c r="J57" s="472" t="s">
        <v>544</v>
      </c>
      <c r="K57" s="472"/>
      <c r="L57" s="474">
        <v>83.964886688707395</v>
      </c>
      <c r="M57" s="474">
        <v>1</v>
      </c>
      <c r="N57" s="475">
        <v>83.964886688707395</v>
      </c>
    </row>
    <row r="58" spans="1:14" ht="14.4" customHeight="1" x14ac:dyDescent="0.3">
      <c r="A58" s="470" t="s">
        <v>468</v>
      </c>
      <c r="B58" s="471" t="s">
        <v>469</v>
      </c>
      <c r="C58" s="472" t="s">
        <v>479</v>
      </c>
      <c r="D58" s="473" t="s">
        <v>626</v>
      </c>
      <c r="E58" s="472" t="s">
        <v>485</v>
      </c>
      <c r="F58" s="473" t="s">
        <v>628</v>
      </c>
      <c r="G58" s="472" t="s">
        <v>486</v>
      </c>
      <c r="H58" s="472" t="s">
        <v>616</v>
      </c>
      <c r="I58" s="472" t="s">
        <v>173</v>
      </c>
      <c r="J58" s="472" t="s">
        <v>617</v>
      </c>
      <c r="K58" s="472" t="s">
        <v>618</v>
      </c>
      <c r="L58" s="474">
        <v>791.34822482573054</v>
      </c>
      <c r="M58" s="474">
        <v>2</v>
      </c>
      <c r="N58" s="475">
        <v>1582.6964496514611</v>
      </c>
    </row>
    <row r="59" spans="1:14" ht="14.4" customHeight="1" x14ac:dyDescent="0.3">
      <c r="A59" s="470" t="s">
        <v>468</v>
      </c>
      <c r="B59" s="471" t="s">
        <v>469</v>
      </c>
      <c r="C59" s="472" t="s">
        <v>479</v>
      </c>
      <c r="D59" s="473" t="s">
        <v>626</v>
      </c>
      <c r="E59" s="472" t="s">
        <v>485</v>
      </c>
      <c r="F59" s="473" t="s">
        <v>628</v>
      </c>
      <c r="G59" s="472" t="s">
        <v>486</v>
      </c>
      <c r="H59" s="472" t="s">
        <v>563</v>
      </c>
      <c r="I59" s="472" t="s">
        <v>173</v>
      </c>
      <c r="J59" s="472" t="s">
        <v>564</v>
      </c>
      <c r="K59" s="472" t="s">
        <v>565</v>
      </c>
      <c r="L59" s="474">
        <v>49.99722222222222</v>
      </c>
      <c r="M59" s="474">
        <v>5</v>
      </c>
      <c r="N59" s="475">
        <v>249.98611111111109</v>
      </c>
    </row>
    <row r="60" spans="1:14" ht="14.4" customHeight="1" x14ac:dyDescent="0.3">
      <c r="A60" s="470" t="s">
        <v>468</v>
      </c>
      <c r="B60" s="471" t="s">
        <v>469</v>
      </c>
      <c r="C60" s="472" t="s">
        <v>479</v>
      </c>
      <c r="D60" s="473" t="s">
        <v>626</v>
      </c>
      <c r="E60" s="472" t="s">
        <v>568</v>
      </c>
      <c r="F60" s="473" t="s">
        <v>629</v>
      </c>
      <c r="G60" s="472" t="s">
        <v>486</v>
      </c>
      <c r="H60" s="472" t="s">
        <v>569</v>
      </c>
      <c r="I60" s="472" t="s">
        <v>570</v>
      </c>
      <c r="J60" s="472" t="s">
        <v>571</v>
      </c>
      <c r="K60" s="472" t="s">
        <v>572</v>
      </c>
      <c r="L60" s="474">
        <v>40.249968671760264</v>
      </c>
      <c r="M60" s="474">
        <v>6</v>
      </c>
      <c r="N60" s="475">
        <v>241.4998120305616</v>
      </c>
    </row>
    <row r="61" spans="1:14" ht="14.4" customHeight="1" x14ac:dyDescent="0.3">
      <c r="A61" s="470" t="s">
        <v>468</v>
      </c>
      <c r="B61" s="471" t="s">
        <v>469</v>
      </c>
      <c r="C61" s="472" t="s">
        <v>479</v>
      </c>
      <c r="D61" s="473" t="s">
        <v>626</v>
      </c>
      <c r="E61" s="472" t="s">
        <v>568</v>
      </c>
      <c r="F61" s="473" t="s">
        <v>629</v>
      </c>
      <c r="G61" s="472" t="s">
        <v>486</v>
      </c>
      <c r="H61" s="472" t="s">
        <v>573</v>
      </c>
      <c r="I61" s="472" t="s">
        <v>574</v>
      </c>
      <c r="J61" s="472" t="s">
        <v>575</v>
      </c>
      <c r="K61" s="472" t="s">
        <v>576</v>
      </c>
      <c r="L61" s="474">
        <v>67.996737305590798</v>
      </c>
      <c r="M61" s="474">
        <v>11</v>
      </c>
      <c r="N61" s="475">
        <v>747.9641103614988</v>
      </c>
    </row>
    <row r="62" spans="1:14" ht="14.4" customHeight="1" x14ac:dyDescent="0.3">
      <c r="A62" s="470" t="s">
        <v>468</v>
      </c>
      <c r="B62" s="471" t="s">
        <v>469</v>
      </c>
      <c r="C62" s="472" t="s">
        <v>479</v>
      </c>
      <c r="D62" s="473" t="s">
        <v>626</v>
      </c>
      <c r="E62" s="472" t="s">
        <v>568</v>
      </c>
      <c r="F62" s="473" t="s">
        <v>629</v>
      </c>
      <c r="G62" s="472" t="s">
        <v>486</v>
      </c>
      <c r="H62" s="472" t="s">
        <v>619</v>
      </c>
      <c r="I62" s="472" t="s">
        <v>620</v>
      </c>
      <c r="J62" s="472" t="s">
        <v>583</v>
      </c>
      <c r="K62" s="472" t="s">
        <v>621</v>
      </c>
      <c r="L62" s="474">
        <v>92.22000000000007</v>
      </c>
      <c r="M62" s="474">
        <v>3</v>
      </c>
      <c r="N62" s="475">
        <v>276.6600000000002</v>
      </c>
    </row>
    <row r="63" spans="1:14" ht="14.4" customHeight="1" x14ac:dyDescent="0.3">
      <c r="A63" s="470" t="s">
        <v>468</v>
      </c>
      <c r="B63" s="471" t="s">
        <v>469</v>
      </c>
      <c r="C63" s="472" t="s">
        <v>482</v>
      </c>
      <c r="D63" s="473" t="s">
        <v>627</v>
      </c>
      <c r="E63" s="472" t="s">
        <v>485</v>
      </c>
      <c r="F63" s="473" t="s">
        <v>628</v>
      </c>
      <c r="G63" s="472" t="s">
        <v>486</v>
      </c>
      <c r="H63" s="472" t="s">
        <v>622</v>
      </c>
      <c r="I63" s="472" t="s">
        <v>623</v>
      </c>
      <c r="J63" s="472" t="s">
        <v>624</v>
      </c>
      <c r="K63" s="472"/>
      <c r="L63" s="474">
        <v>2271.6400000000003</v>
      </c>
      <c r="M63" s="474">
        <v>4</v>
      </c>
      <c r="N63" s="475">
        <v>9086.5600000000013</v>
      </c>
    </row>
    <row r="64" spans="1:14" ht="14.4" customHeight="1" thickBot="1" x14ac:dyDescent="0.35">
      <c r="A64" s="476" t="s">
        <v>468</v>
      </c>
      <c r="B64" s="477" t="s">
        <v>469</v>
      </c>
      <c r="C64" s="478" t="s">
        <v>482</v>
      </c>
      <c r="D64" s="479" t="s">
        <v>627</v>
      </c>
      <c r="E64" s="478" t="s">
        <v>568</v>
      </c>
      <c r="F64" s="479" t="s">
        <v>629</v>
      </c>
      <c r="G64" s="478" t="s">
        <v>486</v>
      </c>
      <c r="H64" s="478" t="s">
        <v>573</v>
      </c>
      <c r="I64" s="478" t="s">
        <v>574</v>
      </c>
      <c r="J64" s="478" t="s">
        <v>575</v>
      </c>
      <c r="K64" s="478" t="s">
        <v>576</v>
      </c>
      <c r="L64" s="480">
        <v>68.019916728525587</v>
      </c>
      <c r="M64" s="480">
        <v>4</v>
      </c>
      <c r="N64" s="481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2" customWidth="1"/>
    <col min="3" max="3" width="5.5546875" style="215" customWidth="1"/>
    <col min="4" max="4" width="10" style="212" customWidth="1"/>
    <col min="5" max="5" width="5.5546875" style="215" customWidth="1"/>
    <col min="6" max="6" width="10" style="212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40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2" t="s">
        <v>148</v>
      </c>
      <c r="B4" s="483" t="s">
        <v>14</v>
      </c>
      <c r="C4" s="484" t="s">
        <v>2</v>
      </c>
      <c r="D4" s="483" t="s">
        <v>14</v>
      </c>
      <c r="E4" s="484" t="s">
        <v>2</v>
      </c>
      <c r="F4" s="485" t="s">
        <v>14</v>
      </c>
    </row>
    <row r="5" spans="1:6" ht="14.4" customHeight="1" thickBot="1" x14ac:dyDescent="0.35">
      <c r="A5" s="496" t="s">
        <v>630</v>
      </c>
      <c r="B5" s="462"/>
      <c r="C5" s="486">
        <v>0</v>
      </c>
      <c r="D5" s="462">
        <v>41.582999999999991</v>
      </c>
      <c r="E5" s="486">
        <v>1</v>
      </c>
      <c r="F5" s="463">
        <v>41.582999999999991</v>
      </c>
    </row>
    <row r="6" spans="1:6" ht="14.4" customHeight="1" thickBot="1" x14ac:dyDescent="0.35">
      <c r="A6" s="492" t="s">
        <v>3</v>
      </c>
      <c r="B6" s="493"/>
      <c r="C6" s="494">
        <v>0</v>
      </c>
      <c r="D6" s="493">
        <v>41.582999999999991</v>
      </c>
      <c r="E6" s="494">
        <v>1</v>
      </c>
      <c r="F6" s="495">
        <v>41.582999999999991</v>
      </c>
    </row>
    <row r="7" spans="1:6" ht="14.4" customHeight="1" thickBot="1" x14ac:dyDescent="0.35"/>
    <row r="8" spans="1:6" ht="14.4" customHeight="1" thickBot="1" x14ac:dyDescent="0.35">
      <c r="A8" s="496" t="s">
        <v>631</v>
      </c>
      <c r="B8" s="462"/>
      <c r="C8" s="486">
        <v>0</v>
      </c>
      <c r="D8" s="462">
        <v>41.582999999999991</v>
      </c>
      <c r="E8" s="486">
        <v>1</v>
      </c>
      <c r="F8" s="463">
        <v>41.582999999999991</v>
      </c>
    </row>
    <row r="9" spans="1:6" ht="14.4" customHeight="1" thickBot="1" x14ac:dyDescent="0.35">
      <c r="A9" s="492" t="s">
        <v>3</v>
      </c>
      <c r="B9" s="493"/>
      <c r="C9" s="494">
        <v>0</v>
      </c>
      <c r="D9" s="493">
        <v>41.582999999999991</v>
      </c>
      <c r="E9" s="494">
        <v>1</v>
      </c>
      <c r="F9" s="495">
        <v>41.582999999999991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2015-05-21T19:35:23Z</dcterms:modified>
</cp:coreProperties>
</file>