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19" r:id="rId17"/>
    <sheet name="ON Data" sheetId="418" state="hidden" r:id="rId18"/>
    <sheet name="ZV Vykáz.-A" sheetId="344" r:id="rId19"/>
    <sheet name="ZV Vykáz.-A Lékaři" sheetId="429" r:id="rId20"/>
    <sheet name="ZV Vykáz.-A Detail" sheetId="345" r:id="rId21"/>
    <sheet name="ZV Vykáz.-H" sheetId="410" r:id="rId22"/>
    <sheet name="ZV Vykáz.-H Detail" sheetId="377" r:id="rId23"/>
    <sheet name="ZV Vyžád." sheetId="342" r:id="rId24"/>
    <sheet name="ZV Vyžád. Detail" sheetId="343" r:id="rId25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0" hidden="1">'ZV Vykáz.-A Detail'!$A$5:$Q$5</definedName>
    <definedName name="_xlnm._FilterDatabase" localSheetId="19" hidden="1">'ZV Vykáz.-A Lékaři'!$A$4:$A$5</definedName>
    <definedName name="_xlnm._FilterDatabase" localSheetId="22" hidden="1">'ZV Vykáz.-H Detail'!$A$5:$Q$5</definedName>
    <definedName name="_xlnm._FilterDatabase" localSheetId="23" hidden="1">'ZV Vyžád.'!$A$5:$M$5</definedName>
    <definedName name="_xlnm._FilterDatabase" localSheetId="24" hidden="1">'ZV Vyžád.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I26" i="419" l="1"/>
  <c r="I27" i="419" s="1"/>
  <c r="I25" i="419"/>
  <c r="E26" i="419"/>
  <c r="I28" i="419" l="1"/>
  <c r="E25" i="419"/>
  <c r="I20" i="419"/>
  <c r="I19" i="419"/>
  <c r="I17" i="419"/>
  <c r="I16" i="419"/>
  <c r="I14" i="419"/>
  <c r="I13" i="419"/>
  <c r="I12" i="419"/>
  <c r="I11" i="419"/>
  <c r="AW3" i="418"/>
  <c r="AV3" i="418"/>
  <c r="AU3" i="418"/>
  <c r="AT3" i="418"/>
  <c r="AS3" i="418"/>
  <c r="AR3" i="418"/>
  <c r="AQ3" i="418"/>
  <c r="AP3" i="418"/>
  <c r="I18" i="419" l="1"/>
  <c r="B25" i="419"/>
  <c r="E27" i="419" l="1"/>
  <c r="B26" i="419"/>
  <c r="B27" i="419" s="1"/>
  <c r="E28" i="419"/>
  <c r="A11" i="414"/>
  <c r="A10" i="414"/>
  <c r="A8" i="414"/>
  <c r="A7" i="414"/>
  <c r="F3" i="344" l="1"/>
  <c r="D3" i="344"/>
  <c r="B3" i="344"/>
  <c r="H21" i="419" l="1"/>
  <c r="H22" i="419" s="1"/>
  <c r="G21" i="419"/>
  <c r="F21" i="419"/>
  <c r="E21" i="419"/>
  <c r="H20" i="419"/>
  <c r="G20" i="419"/>
  <c r="F20" i="419"/>
  <c r="E20" i="419"/>
  <c r="H19" i="419"/>
  <c r="G19" i="419"/>
  <c r="F19" i="419"/>
  <c r="E19" i="419"/>
  <c r="H17" i="419"/>
  <c r="G17" i="419"/>
  <c r="F17" i="419"/>
  <c r="E17" i="419"/>
  <c r="H16" i="419"/>
  <c r="G16" i="419"/>
  <c r="F16" i="419"/>
  <c r="E16" i="419"/>
  <c r="H14" i="419"/>
  <c r="G14" i="419"/>
  <c r="F14" i="419"/>
  <c r="E14" i="419"/>
  <c r="H13" i="419"/>
  <c r="G13" i="419"/>
  <c r="F13" i="419"/>
  <c r="E13" i="419"/>
  <c r="H12" i="419"/>
  <c r="G12" i="419"/>
  <c r="F12" i="419"/>
  <c r="E12" i="419"/>
  <c r="H11" i="419"/>
  <c r="G11" i="419"/>
  <c r="F11" i="419"/>
  <c r="E11" i="419"/>
  <c r="E18" i="419" l="1"/>
  <c r="E23" i="419"/>
  <c r="G18" i="419"/>
  <c r="H23" i="419"/>
  <c r="H18" i="419"/>
  <c r="F23" i="419"/>
  <c r="G23" i="419"/>
  <c r="F18" i="419"/>
  <c r="E22" i="419"/>
  <c r="F22" i="419"/>
  <c r="G22" i="419"/>
  <c r="M3" i="418"/>
  <c r="D21" i="419" l="1"/>
  <c r="D22" i="419" s="1"/>
  <c r="C21" i="419"/>
  <c r="C22" i="419" s="1"/>
  <c r="D20" i="419"/>
  <c r="C20" i="419"/>
  <c r="D19" i="419"/>
  <c r="C19" i="419"/>
  <c r="D17" i="419"/>
  <c r="C17" i="419"/>
  <c r="D16" i="419"/>
  <c r="C16" i="419"/>
  <c r="D14" i="419"/>
  <c r="C14" i="419"/>
  <c r="D13" i="419"/>
  <c r="C13" i="419"/>
  <c r="D12" i="419"/>
  <c r="C12" i="419"/>
  <c r="D11" i="419"/>
  <c r="C11" i="419"/>
  <c r="C18" i="419" l="1"/>
  <c r="D18" i="419"/>
  <c r="D23" i="419"/>
  <c r="C23" i="419"/>
  <c r="B21" i="419"/>
  <c r="B22" i="419" l="1"/>
  <c r="A25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I6" i="419" l="1"/>
  <c r="H6" i="419"/>
  <c r="G6" i="419"/>
  <c r="F6" i="419"/>
  <c r="E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22" i="414" l="1"/>
  <c r="A17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8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2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9" i="414" s="1"/>
  <c r="C11" i="339"/>
  <c r="H11" i="339" l="1"/>
  <c r="G11" i="339"/>
  <c r="A20" i="414"/>
  <c r="A19" i="414"/>
  <c r="A14" i="414"/>
  <c r="A15" i="414"/>
  <c r="A4" i="414"/>
  <c r="A6" i="339" l="1"/>
  <c r="A5" i="339"/>
  <c r="D4" i="414"/>
  <c r="C15" i="414"/>
  <c r="D18" i="414"/>
  <c r="D15" i="414"/>
  <c r="C18" i="414"/>
  <c r="D11" i="414" l="1"/>
  <c r="C14" i="414" l="1"/>
  <c r="C7" i="414"/>
  <c r="D10" i="414" l="1"/>
  <c r="E10" i="414" s="1"/>
  <c r="E20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U3" i="347" s="1"/>
  <c r="N3" i="347"/>
  <c r="M3" i="347"/>
  <c r="Q3" i="347" s="1"/>
  <c r="N3" i="220"/>
  <c r="L3" i="220" s="1"/>
  <c r="C21" i="414"/>
  <c r="D21" i="414"/>
  <c r="H3" i="390" l="1"/>
  <c r="S3" i="347"/>
  <c r="C22" i="414"/>
  <c r="E22" i="414" s="1"/>
  <c r="F13" i="339"/>
  <c r="E13" i="339"/>
  <c r="E15" i="339" s="1"/>
  <c r="H12" i="339"/>
  <c r="G12" i="339"/>
  <c r="K3" i="390"/>
  <c r="A4" i="383"/>
  <c r="A30" i="383"/>
  <c r="A29" i="383"/>
  <c r="A28" i="383"/>
  <c r="A27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Q3" i="343"/>
  <c r="P3" i="343"/>
  <c r="C13" i="339"/>
  <c r="C15" i="339" s="1"/>
  <c r="B13" i="339"/>
  <c r="B15" i="339" s="1"/>
  <c r="C4" i="414"/>
  <c r="D17" i="414"/>
  <c r="H13" i="339" l="1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<sst xmlns="http://schemas.openxmlformats.org/spreadsheetml/2006/main" count="4921" uniqueCount="1233">
  <si>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</si>
  <si>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</si>
  <si>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</si>
  <si>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</si>
  <si>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</si>
  <si>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</si>
  <si>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</si>
  <si>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</si>
  <si>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</si>
  <si>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</si>
  <si>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</si>
  <si>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</si>
  <si>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</si>
  <si>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</si>
  <si>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</si>
  <si>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</si>
  <si>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</si>
  <si>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</si>
  <si>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</si>
  <si>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</si>
  <si>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</si>
  <si>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</si>
  <si>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</si>
  <si>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</si>
  <si>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</si>
  <si>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</si>
  <si>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</si>
  <si>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</si>
  <si>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</si>
  <si>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</si>
  <si>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</si>
  <si>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</si>
  <si>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</si>
  <si>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</si>
  <si>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</si>
  <si>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</si>
  <si>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</si>
  <si>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</si>
  <si>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</si>
  <si>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</si>
  <si>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</si>
  <si>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</si>
  <si>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</si>
  <si>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</si>
  <si>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</si>
  <si>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</si>
  <si>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</si>
  <si>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</si>
  <si>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</si>
  <si>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</si>
  <si>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</si>
  <si>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</si>
  <si>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</si>
  <si>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</si>
  <si>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</si>
  <si>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</si>
  <si>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</si>
  <si>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</si>
  <si>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</si>
  <si>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</si>
  <si>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</si>
  <si>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</si>
  <si>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</si>
  <si>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</si>
  <si>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</si>
  <si>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</si>
  <si>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</si>
  <si>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</si>
  <si>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</si>
  <si>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</si>
  <si>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</si>
  <si>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</si>
  <si>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</si>
  <si>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</si>
  <si>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</si>
  <si>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</si>
  <si>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</si>
  <si>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</si>
  <si>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</si>
  <si>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</si>
  <si>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</si>
  <si>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</si>
  <si>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</si>
  <si>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</si>
  <si>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</si>
  <si>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</si>
  <si>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</si>
  <si>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</si>
  <si>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</si>
  <si>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</si>
  <si>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</si>
  <si>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</si>
  <si>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</si>
  <si>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</si>
  <si>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</si>
  <si>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</si>
  <si>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</si>
  <si>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</si>
  <si>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</si>
  <si>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</si>
  <si>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</si>
  <si>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</si>
  <si>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</si>
  <si>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</si>
  <si>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</si>
  <si>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</si>
  <si>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</si>
  <si>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</si>
  <si>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</si>
  <si>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</si>
  <si>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</si>
  <si>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</si>
  <si>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</si>
  <si>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</si>
  <si>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</si>
  <si>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</si>
  <si>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</si>
  <si>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</si>
  <si>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</si>
  <si>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</si>
  <si>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</si>
  <si>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</si>
  <si>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</si>
  <si>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</si>
  <si>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</si>
  <si>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</si>
  <si>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</si>
  <si>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</si>
  <si>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</si>
  <si>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</si>
  <si>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</si>
  <si>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</si>
  <si>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</si>
  <si>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</si>
  <si>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</si>
  <si>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</si>
  <si>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</si>
  <si>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</si>
  <si>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</si>
  <si>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</si>
  <si>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</si>
  <si>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</si>
  <si>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</si>
  <si>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</si>
  <si>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</si>
  <si>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</si>
  <si>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</si>
  <si>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</si>
  <si>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</si>
  <si>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</si>
  <si>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</si>
  <si>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</si>
  <si>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</si>
  <si>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</si>
  <si>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</si>
  <si>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</si>
  <si>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</si>
  <si>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</si>
  <si>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</si>
  <si>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</si>
  <si>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</si>
  <si>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</si>
  <si>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</si>
  <si>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</si>
  <si>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</si>
  <si>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</si>
  <si>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</si>
  <si>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</si>
  <si>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</si>
  <si>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</si>
  <si>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</si>
  <si>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</si>
  <si>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</si>
  <si>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</si>
  <si>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</si>
  <si>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</si>
  <si>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</si>
  <si>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</si>
  <si>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</si>
  <si>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</si>
  <si>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</si>
  <si>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</si>
  <si>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</si>
  <si>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</si>
  <si>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</si>
  <si>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</si>
  <si>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</si>
  <si>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</si>
  <si>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</si>
  <si>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</si>
  <si>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</si>
  <si>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</si>
  <si>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</si>
  <si>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</si>
  <si>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</si>
  <si>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</si>
  <si>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</si>
  <si>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</si>
  <si>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</si>
  <si>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</si>
  <si>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</si>
  <si>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</si>
  <si>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</si>
  <si>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</si>
  <si>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</si>
  <si>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</si>
  <si>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</si>
  <si>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</si>
  <si>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</si>
  <si>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</si>
  <si>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</si>
  <si>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</si>
  <si>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</si>
  <si>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</si>
  <si>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</si>
  <si>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</si>
  <si>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</si>
  <si>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</si>
  <si>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</si>
  <si>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</si>
  <si>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</si>
  <si>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bez dohledu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</si>
  <si>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</si>
  <si>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</si>
  <si>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</si>
  <si>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</si>
  <si>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</si>
  <si>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</si>
  <si>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</si>
  <si>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</si>
  <si>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</si>
  <si>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</si>
  <si>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</si>
  <si>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</si>
  <si>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</si>
  <si>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</si>
  <si>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</si>
  <si>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</si>
  <si>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</si>
  <si>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</si>
  <si>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</si>
  <si>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</si>
  <si>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</si>
  <si>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</si>
  <si>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</si>
  <si>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</si>
  <si>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</si>
  <si>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</si>
  <si>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</si>
  <si>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</si>
  <si>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</si>
  <si>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Oddělení plastické a estetické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</si>
  <si>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</si>
  <si>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</si>
  <si>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</si>
  <si>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</si>
  <si>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</si>
  <si>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</si>
  <si>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</si>
  <si>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</si>
  <si>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</si>
  <si>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</si>
  <si>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50115     Zdravotnické prostředky</t>
  </si>
  <si>
    <t>50115004     IUTN - kovové (Z506)</t>
  </si>
  <si>
    <t>50115008     implant. - plastická,estetická chirurgie (Z521)</t>
  </si>
  <si>
    <t>50115011     IUTN - ostat.nákl.PZT (Z515)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</si>
  <si>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</si>
  <si>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</si>
  <si>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</si>
  <si>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</si>
  <si>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</si>
  <si>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</si>
  <si>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</si>
  <si>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50115080     ZPr - staplery, extraktory, endoskop.mat. (Z523)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</si>
  <si>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</si>
  <si>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</si>
  <si>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</si>
  <si>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</si>
  <si>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</si>
  <si>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</si>
  <si>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50117009     spotřební materiál k ZPr. (sk.V21)</t>
  </si>
  <si>
    <t>50117011     obalový mat. pro sterilizaci (sk.V20)</t>
  </si>
  <si>
    <t>--</t>
  </si>
  <si>
    <t>50117015     IT - spotřební materiál (sk. P37, 48)</t>
  </si>
  <si>
    <t>50117022     všeob.mat. - kuchyň tech. (V33) od 1tis do 2999,99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</si>
  <si>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</si>
  <si>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</si>
  <si>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</si>
  <si>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</si>
  <si>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</si>
  <si>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</si>
  <si>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</si>
  <si>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</si>
  <si>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</si>
  <si>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</si>
  <si>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</si>
  <si>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</si>
  <si>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</si>
  <si>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</si>
  <si>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</si>
  <si>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</si>
  <si>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</si>
  <si>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</si>
  <si>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</si>
  <si>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</si>
  <si>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</si>
  <si>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</si>
  <si>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</si>
  <si>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</si>
  <si>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</si>
  <si>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</si>
  <si>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</si>
  <si>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</si>
  <si>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</si>
  <si>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</si>
  <si>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</si>
  <si>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</si>
  <si>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</si>
  <si>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51806005     odpad (spalovna)</t>
  </si>
  <si>
    <t>51807     Stravné, pohoštění - dodavatelsky</t>
  </si>
  <si>
    <t>51807002     konference - pohoštění zajištěné ve vlastní režii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</si>
  <si>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</si>
  <si>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</si>
  <si>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</si>
  <si>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</si>
  <si>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</si>
  <si>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</si>
  <si>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</si>
  <si>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</si>
  <si>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</si>
  <si>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</si>
  <si>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</si>
  <si>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</si>
  <si>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</si>
  <si>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</si>
  <si>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</si>
  <si>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</si>
  <si>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</si>
  <si>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</si>
  <si>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</si>
  <si>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</si>
  <si>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</si>
  <si>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</si>
  <si>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</si>
  <si>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</si>
  <si>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</si>
  <si>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</si>
  <si>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</si>
  <si>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</si>
  <si>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</si>
  <si>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</si>
  <si>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</si>
  <si>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</si>
  <si>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</si>
  <si>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</si>
  <si>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</si>
  <si>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</si>
  <si>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</si>
  <si>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</si>
  <si>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</si>
  <si>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</si>
  <si>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</si>
  <si>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</si>
  <si>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</si>
  <si>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</si>
  <si>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</si>
  <si>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</si>
  <si>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</si>
  <si>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</si>
  <si>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</si>
  <si>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55806     DDHM ostatní</t>
  </si>
  <si>
    <t>55806081     DDHM ostatní (finanční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</si>
  <si>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</si>
  <si>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</si>
  <si>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</si>
  <si>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</si>
  <si>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</si>
  <si>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</si>
  <si>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</si>
  <si>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</si>
  <si>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</si>
  <si>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</si>
  <si>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</si>
  <si>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</si>
  <si>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</si>
  <si>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</si>
  <si>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</si>
  <si>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</si>
  <si>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</si>
  <si>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</si>
  <si>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</si>
  <si>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</si>
  <si>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</si>
  <si>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</si>
  <si>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</si>
  <si>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</si>
  <si>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</si>
  <si>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</si>
  <si>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</si>
  <si>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</si>
  <si>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</si>
  <si>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</si>
  <si>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</si>
  <si>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64925     Služby k pronájmu          FAKTURACE</t>
  </si>
  <si>
    <t>64925449     ost. služby k pronájmům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</si>
  <si>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</si>
  <si>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</si>
  <si>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</si>
  <si>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</si>
  <si>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</si>
  <si>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</si>
  <si>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</si>
  <si>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</si>
  <si>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</si>
  <si>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</si>
  <si>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</si>
  <si>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</si>
  <si>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</si>
  <si>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</si>
  <si>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</si>
  <si>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</si>
  <si>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</si>
  <si>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</si>
  <si>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</si>
  <si>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</si>
  <si>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</si>
  <si>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</si>
  <si>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</si>
  <si>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</si>
  <si>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29</t>
  </si>
  <si>
    <t>Oddělení plastické a estetické chirurgie</t>
  </si>
  <si>
    <t/>
  </si>
  <si>
    <t>Oddělení plastické a estetické chirurgie Celkem</t>
  </si>
  <si>
    <t>SumaKL</t>
  </si>
  <si>
    <t>2921</t>
  </si>
  <si>
    <t>ambulance</t>
  </si>
  <si>
    <t>ambulance Celkem</t>
  </si>
  <si>
    <t>SumaNS</t>
  </si>
  <si>
    <t>mezeraNS</t>
  </si>
  <si>
    <t>2962</t>
  </si>
  <si>
    <t>operační sál lokální</t>
  </si>
  <si>
    <t>operační sál lokální Celkem</t>
  </si>
  <si>
    <t>2964</t>
  </si>
  <si>
    <t>pracoviště COS</t>
  </si>
  <si>
    <t>pracoviště COS Celkem</t>
  </si>
  <si>
    <t>50113001</t>
  </si>
  <si>
    <t>O</t>
  </si>
  <si>
    <t>100502</t>
  </si>
  <si>
    <t>502</t>
  </si>
  <si>
    <t>MESOCAIN</t>
  </si>
  <si>
    <t>INJ 10X10ML 1%</t>
  </si>
  <si>
    <t>16321</t>
  </si>
  <si>
    <t>BRAUNOVIDON MAST</t>
  </si>
  <si>
    <t>DRM UNG 1X250GM</t>
  </si>
  <si>
    <t>900552</t>
  </si>
  <si>
    <t>0</t>
  </si>
  <si>
    <t>KL SOL.ACIDI BORICI 3%,250G</t>
  </si>
  <si>
    <t>920060</t>
  </si>
  <si>
    <t>KL SOL.ARG.NITR.20% 10G</t>
  </si>
  <si>
    <t>921048</t>
  </si>
  <si>
    <t>KL SOL.HYD.PEROX.3% 250G</t>
  </si>
  <si>
    <t>900012</t>
  </si>
  <si>
    <t>KL SOL.HYD.PEROX.3% 200G</t>
  </si>
  <si>
    <t>500326</t>
  </si>
  <si>
    <t>1000</t>
  </si>
  <si>
    <t>KL BENZINUM 500 ml/333g HVLP</t>
  </si>
  <si>
    <t>395585</t>
  </si>
  <si>
    <t>Panthenol Forte 9% pěna Aloe Vera</t>
  </si>
  <si>
    <t>150ml - Altermed</t>
  </si>
  <si>
    <t>921409</t>
  </si>
  <si>
    <t>KL SOL.ARG.NITR.20% 20G</t>
  </si>
  <si>
    <t>394153</t>
  </si>
  <si>
    <t>Calcium pantotenicum mast 30g Generica</t>
  </si>
  <si>
    <t>50113013</t>
  </si>
  <si>
    <t>114877</t>
  </si>
  <si>
    <t>14877</t>
  </si>
  <si>
    <t>IALUGEN PLUS</t>
  </si>
  <si>
    <t>CRM 1X60GM</t>
  </si>
  <si>
    <t>100362</t>
  </si>
  <si>
    <t>362</t>
  </si>
  <si>
    <t>ADRENALIN LECIVA</t>
  </si>
  <si>
    <t>INJ 5X1ML/1MG</t>
  </si>
  <si>
    <t>100802</t>
  </si>
  <si>
    <t>IR OG. OPHTHALMO-SEPTONEX</t>
  </si>
  <si>
    <t>GTT OPH 1X10ML</t>
  </si>
  <si>
    <t>905098</t>
  </si>
  <si>
    <t>23989</t>
  </si>
  <si>
    <t>DZ OCTENISEPT 1 l</t>
  </si>
  <si>
    <t>114479</t>
  </si>
  <si>
    <t>14479</t>
  </si>
  <si>
    <t>TOBRADEX OČNÍ MAST</t>
  </si>
  <si>
    <t>OPH UNG 3.5GM</t>
  </si>
  <si>
    <t>198864</t>
  </si>
  <si>
    <t>98864</t>
  </si>
  <si>
    <t>FYZIOLOGICKÝ ROZTOK VIAFLO</t>
  </si>
  <si>
    <t>INF SOL 50X100ML</t>
  </si>
  <si>
    <t>900321</t>
  </si>
  <si>
    <t>KL PRIPRAVEK</t>
  </si>
  <si>
    <t>101681</t>
  </si>
  <si>
    <t>1681</t>
  </si>
  <si>
    <t>EMLA KREM 5%</t>
  </si>
  <si>
    <t>CRM 1X30GM</t>
  </si>
  <si>
    <t>920200</t>
  </si>
  <si>
    <t>15877</t>
  </si>
  <si>
    <t>DZ BRAUNOL 1 L</t>
  </si>
  <si>
    <t>102439</t>
  </si>
  <si>
    <t>2439</t>
  </si>
  <si>
    <t>MARCAINE 0.5%</t>
  </si>
  <si>
    <t>INJ SOL5X20ML/100MG</t>
  </si>
  <si>
    <t>115879</t>
  </si>
  <si>
    <t>198313</t>
  </si>
  <si>
    <t>DZ BRAUNOL FOAM 200ml</t>
  </si>
  <si>
    <t>900427</t>
  </si>
  <si>
    <t>KL SOL.METHYLROS.CHL.1% 20 G</t>
  </si>
  <si>
    <t>120053</t>
  </si>
  <si>
    <t>20053</t>
  </si>
  <si>
    <t>BENOXI 0.4 % UNIMED PHARMA</t>
  </si>
  <si>
    <t>OPH GTT SOL 1X10ML</t>
  </si>
  <si>
    <t>501593</t>
  </si>
  <si>
    <t xml:space="preserve">IR OČNÍ MAST S PAMYCONEM </t>
  </si>
  <si>
    <t>10G</t>
  </si>
  <si>
    <t>193207</t>
  </si>
  <si>
    <t>93207</t>
  </si>
  <si>
    <t>TOBREX</t>
  </si>
  <si>
    <t>UNG OPH 3.5GM 0.3%</t>
  </si>
  <si>
    <t>162320</t>
  </si>
  <si>
    <t>62320</t>
  </si>
  <si>
    <t>BETADINE</t>
  </si>
  <si>
    <t>UNG 1X20GM</t>
  </si>
  <si>
    <t>103761</t>
  </si>
  <si>
    <t>3761</t>
  </si>
  <si>
    <t>CHIROCAINE 5 MG/ML</t>
  </si>
  <si>
    <t>INJ CNC SOL 10X10ML</t>
  </si>
  <si>
    <t>114875</t>
  </si>
  <si>
    <t>14875</t>
  </si>
  <si>
    <t>CRM 1X20GM</t>
  </si>
  <si>
    <t>PCHIR - ambulance</t>
  </si>
  <si>
    <t>PCHIR - operační sál lokální</t>
  </si>
  <si>
    <t>PCHIR, pracoviště COS</t>
  </si>
  <si>
    <t>Lékárna - léčiva</t>
  </si>
  <si>
    <t>Lékárna - antibiotika</t>
  </si>
  <si>
    <t>29 - Oddělení plastické a estetické chirurgie</t>
  </si>
  <si>
    <t>2921 - ambulance</t>
  </si>
  <si>
    <t>2962 - operační sál lokální</t>
  </si>
  <si>
    <t>2964 - pracoviště COS</t>
  </si>
  <si>
    <t>HVLP</t>
  </si>
  <si>
    <t>IPLP</t>
  </si>
  <si>
    <t>PZT</t>
  </si>
  <si>
    <t>89301292</t>
  </si>
  <si>
    <t>Všeobecná ambulance Celkem</t>
  </si>
  <si>
    <t xml:space="preserve"> </t>
  </si>
  <si>
    <t>* Legenda</t>
  </si>
  <si>
    <t>DIAPZT = Pomůcky pro diabetiky, jejichž název začíná slovem "Pumpa"</t>
  </si>
  <si>
    <t>Christodoulou Petros</t>
  </si>
  <si>
    <t>Jiný</t>
  </si>
  <si>
    <t>Lysák Radek</t>
  </si>
  <si>
    <t>Stehlík Daniel</t>
  </si>
  <si>
    <t>Šilhánková Jiřina</t>
  </si>
  <si>
    <t>Zálešák Bohumil</t>
  </si>
  <si>
    <t>Vaněčková Lucie</t>
  </si>
  <si>
    <t>Podkalská Sommerová Kamila</t>
  </si>
  <si>
    <t>Amoxicilin a enzymový inhibitor</t>
  </si>
  <si>
    <t>5951</t>
  </si>
  <si>
    <t>AMOKSIKLAV 1 G</t>
  </si>
  <si>
    <t>POR TBL FLM 14</t>
  </si>
  <si>
    <t>Betamethason</t>
  </si>
  <si>
    <t>192144</t>
  </si>
  <si>
    <t>DIPROPHOS</t>
  </si>
  <si>
    <t>INJ SUS 1X1ML</t>
  </si>
  <si>
    <t>192143</t>
  </si>
  <si>
    <t>INJ SUS 5X1ML</t>
  </si>
  <si>
    <t>Jiná antiinfektiva</t>
  </si>
  <si>
    <t>876</t>
  </si>
  <si>
    <t>OPHTHALMO-SEPTONEX</t>
  </si>
  <si>
    <t>OPH UNG 1X5GM/5MG</t>
  </si>
  <si>
    <t>Jodovaný povidon</t>
  </si>
  <si>
    <t>16320</t>
  </si>
  <si>
    <t>DRM UNG 1X100GM</t>
  </si>
  <si>
    <t>Nadroparin</t>
  </si>
  <si>
    <t>32059</t>
  </si>
  <si>
    <t>FRAXIPARINE</t>
  </si>
  <si>
    <t>SDR+IVN INJ SOL ISP 10X0.4ML</t>
  </si>
  <si>
    <t>Piracetam</t>
  </si>
  <si>
    <t>64866</t>
  </si>
  <si>
    <t>PIRACETAM AL 1200</t>
  </si>
  <si>
    <t>POR TBL FLM 120X1200MG</t>
  </si>
  <si>
    <t>Ranitidin</t>
  </si>
  <si>
    <t>91280</t>
  </si>
  <si>
    <t>RANITAL 150 MG POTAHOVANÉ TABLETY</t>
  </si>
  <si>
    <t>POR TBL FLM 30X150MG</t>
  </si>
  <si>
    <t>Sulfadiazin, stříbrná sůl, kombinace</t>
  </si>
  <si>
    <t>DRM CRM 20GM</t>
  </si>
  <si>
    <t>DRM CRM 60GM</t>
  </si>
  <si>
    <t>Telmisartan</t>
  </si>
  <si>
    <t>158198</t>
  </si>
  <si>
    <t>TELMISARTAN SANDOZ 80 MG</t>
  </si>
  <si>
    <t>POR TBL NOB 100X80MG</t>
  </si>
  <si>
    <t>Obvazový materiál, náplasti</t>
  </si>
  <si>
    <t>80171</t>
  </si>
  <si>
    <t>GÁZA SKLÁDANÁ KOMPRESY STERILNÍ STERILUX</t>
  </si>
  <si>
    <t>5X5CM,8 VRSTEV,25X2KS</t>
  </si>
  <si>
    <t>80173</t>
  </si>
  <si>
    <t>10X10CM,8 VRSTEV,25X2KS</t>
  </si>
  <si>
    <t>Ortopedicko protetické pomůcky sériově vyráběné</t>
  </si>
  <si>
    <t>93255</t>
  </si>
  <si>
    <t>DLAHA PRO FIXACI PALCE A PRSTŮ RUKY TYP J</t>
  </si>
  <si>
    <t>UNIVERZÁLNÍ VEL. (1 KS)</t>
  </si>
  <si>
    <t>86148</t>
  </si>
  <si>
    <t>AUGMENTIN 625 MG</t>
  </si>
  <si>
    <t>POR TBL FLM 21 II</t>
  </si>
  <si>
    <t>Tramadol, kombinace</t>
  </si>
  <si>
    <t>17924</t>
  </si>
  <si>
    <t>ZALDIAR</t>
  </si>
  <si>
    <t>POR TBL FLM 10</t>
  </si>
  <si>
    <t>Cefuroxim</t>
  </si>
  <si>
    <t>192354</t>
  </si>
  <si>
    <t>ZINNAT 500 MG</t>
  </si>
  <si>
    <t>POR TBL FLM 10X500MG</t>
  </si>
  <si>
    <t>Erdostein</t>
  </si>
  <si>
    <t>92757</t>
  </si>
  <si>
    <t>ERDOMED</t>
  </si>
  <si>
    <t>POR CPS DUR 10X300MG</t>
  </si>
  <si>
    <t>Jiná kapiláry stabilizující látky</t>
  </si>
  <si>
    <t>202701</t>
  </si>
  <si>
    <t>AESCIN-TEVA</t>
  </si>
  <si>
    <t>POR TBL ENT 90X20MG</t>
  </si>
  <si>
    <t>Kolagenáza, kombinace</t>
  </si>
  <si>
    <t>4270</t>
  </si>
  <si>
    <t>IRUXOL MONO</t>
  </si>
  <si>
    <t>DRM UNG 1X30GM</t>
  </si>
  <si>
    <t>4269</t>
  </si>
  <si>
    <t>DRM UNG 1X10GM</t>
  </si>
  <si>
    <t>Methylprednisolon</t>
  </si>
  <si>
    <t>90044</t>
  </si>
  <si>
    <t>DEPO-MEDROL 40 MG/ML</t>
  </si>
  <si>
    <t>Methylprednisolon-aceponát</t>
  </si>
  <si>
    <t>85450</t>
  </si>
  <si>
    <t>ADVANTAN KRÉM</t>
  </si>
  <si>
    <t>DRM CRM 1X50GM</t>
  </si>
  <si>
    <t>Nimesulid</t>
  </si>
  <si>
    <t>12891</t>
  </si>
  <si>
    <t>AULIN</t>
  </si>
  <si>
    <t>POR TBL NOB 15X100MG</t>
  </si>
  <si>
    <t>Sodná sůl dokusátu, včetně kombinací</t>
  </si>
  <si>
    <t>12770</t>
  </si>
  <si>
    <t>YAL</t>
  </si>
  <si>
    <t>RCT SOL 2X67.5ML</t>
  </si>
  <si>
    <t>Sodná sůl metamizolu</t>
  </si>
  <si>
    <t>55823</t>
  </si>
  <si>
    <t>NOVALGIN TABLETY</t>
  </si>
  <si>
    <t>POR TBL FLM 20X500MG</t>
  </si>
  <si>
    <t>80987</t>
  </si>
  <si>
    <t>OBINADLO ELASTICKÉ FIXA CREP</t>
  </si>
  <si>
    <t>10CMX4M,TAŽNOST 160%,20KS</t>
  </si>
  <si>
    <t>Kompresní punčochy a návleky</t>
  </si>
  <si>
    <t>45389</t>
  </si>
  <si>
    <t>PUNČOCHY KOMPRESNÍ STEHENNÍ II.K.T.</t>
  </si>
  <si>
    <t>MAXIS COMFORT A-G</t>
  </si>
  <si>
    <t>39709</t>
  </si>
  <si>
    <t>DLAHA PRO FIXACI PRSTŮ RUKY TYP A</t>
  </si>
  <si>
    <t>VELIKOST A2</t>
  </si>
  <si>
    <t>93112</t>
  </si>
  <si>
    <t>ZÁVĚS PAŽE IMMO CLASSIC 2445</t>
  </si>
  <si>
    <t>PĚNOVÝ MATERIÁL, UNIVERZÁLNÍ PRAVÁ-LEVÁ</t>
  </si>
  <si>
    <t>Ortopedicko protetické pomůcky individuálně zhotovené</t>
  </si>
  <si>
    <t>328</t>
  </si>
  <si>
    <t>EPITÉZA INDIVIDUÁLNĚ ZHOTOVENÁ</t>
  </si>
  <si>
    <t>Diosmin, kombinace</t>
  </si>
  <si>
    <t>14075</t>
  </si>
  <si>
    <t>DETRALEX</t>
  </si>
  <si>
    <t>POR TBL FLM 60X500MG</t>
  </si>
  <si>
    <t>132632</t>
  </si>
  <si>
    <t>Hořčík (různé sole v kombinaci)</t>
  </si>
  <si>
    <t>66555</t>
  </si>
  <si>
    <t>MAGNOSOLV</t>
  </si>
  <si>
    <t>POR GRA SOL SCC 30X365MG</t>
  </si>
  <si>
    <t>215978</t>
  </si>
  <si>
    <t>Indometacin</t>
  </si>
  <si>
    <t>93723</t>
  </si>
  <si>
    <t>INDOMETACIN 50 BERLIN-CHEMIE</t>
  </si>
  <si>
    <t>RCT SUP 10X50MG</t>
  </si>
  <si>
    <t>93724</t>
  </si>
  <si>
    <t>INDOMETACIN 100 BERLIN-CHEMIE</t>
  </si>
  <si>
    <t>RCT SUP 10X100MG</t>
  </si>
  <si>
    <t>202700</t>
  </si>
  <si>
    <t>POR TBL ENT 60X20MG</t>
  </si>
  <si>
    <t>12892</t>
  </si>
  <si>
    <t>POR TBL NOB 30X100MG</t>
  </si>
  <si>
    <t>66046</t>
  </si>
  <si>
    <t>AULIN GEL</t>
  </si>
  <si>
    <t>DRM GEL 1X100GM</t>
  </si>
  <si>
    <t>66045</t>
  </si>
  <si>
    <t>DRM GEL 1X50GM</t>
  </si>
  <si>
    <t>Pentoxifylin</t>
  </si>
  <si>
    <t>155873</t>
  </si>
  <si>
    <t>TRENTAL 400</t>
  </si>
  <si>
    <t>POR TBL RET 100X400MG</t>
  </si>
  <si>
    <t>155872</t>
  </si>
  <si>
    <t>POR TBL RET 20X400MG</t>
  </si>
  <si>
    <t>Rutosid, kombinace</t>
  </si>
  <si>
    <t>96303</t>
  </si>
  <si>
    <t>ASCORUTIN</t>
  </si>
  <si>
    <t>POR TBL FLM 50</t>
  </si>
  <si>
    <t>Síran železnatý a kyselina listová</t>
  </si>
  <si>
    <t>92160</t>
  </si>
  <si>
    <t>TARDYFERON-FOL</t>
  </si>
  <si>
    <t>POR TBL RET 30X247.25MG/0.35MG</t>
  </si>
  <si>
    <t>17926</t>
  </si>
  <si>
    <t>POR TBL FLM 30</t>
  </si>
  <si>
    <t>17929</t>
  </si>
  <si>
    <t>POR TBL FLM 60</t>
  </si>
  <si>
    <t>45387</t>
  </si>
  <si>
    <t>PUNČOCHY KOMPRESNÍ LÝTKOVÉ II.K.T.</t>
  </si>
  <si>
    <t>MAXIS COMFORT A-D</t>
  </si>
  <si>
    <t>140717</t>
  </si>
  <si>
    <t>PÁS BŘIŠNÍ ELASTICKÝ</t>
  </si>
  <si>
    <t>ORTEX 031A</t>
  </si>
  <si>
    <t>63774</t>
  </si>
  <si>
    <t>ORTÉZA ZÁPĚSTÍ A PALCE RUKY ORTEX 028</t>
  </si>
  <si>
    <t>FIXAČNÍ S DLAHOU</t>
  </si>
  <si>
    <t>11462</t>
  </si>
  <si>
    <t>ORTÉZA PRSTŮ RUKY ORTEX 022</t>
  </si>
  <si>
    <t>RIGIDNÍ, 2-4 PRST</t>
  </si>
  <si>
    <t>12494</t>
  </si>
  <si>
    <t>AUGMENTIN 1 G</t>
  </si>
  <si>
    <t>POR TBL FLM 14 I</t>
  </si>
  <si>
    <t>132711</t>
  </si>
  <si>
    <t>Bromazepam</t>
  </si>
  <si>
    <t>88219</t>
  </si>
  <si>
    <t>LEXAURIN 3</t>
  </si>
  <si>
    <t>POR TBL NOB 30X3MG</t>
  </si>
  <si>
    <t>Ciprofloxacin</t>
  </si>
  <si>
    <t>15658</t>
  </si>
  <si>
    <t>CIPLOX 500</t>
  </si>
  <si>
    <t>15653</t>
  </si>
  <si>
    <t>CIPLOX 250</t>
  </si>
  <si>
    <t>POR TBL FLM 10X250MG</t>
  </si>
  <si>
    <t>Fluocinolon-acetonid</t>
  </si>
  <si>
    <t>3388</t>
  </si>
  <si>
    <t>FLUCINAR</t>
  </si>
  <si>
    <t>DRM UNG 1X15GM 0.025%</t>
  </si>
  <si>
    <t>132723</t>
  </si>
  <si>
    <t>POR GRA SUS 30X100MG</t>
  </si>
  <si>
    <t>66044</t>
  </si>
  <si>
    <t>DRM GEL 1X30GM</t>
  </si>
  <si>
    <t>14872</t>
  </si>
  <si>
    <t>DRM LIG IPR 5KS</t>
  </si>
  <si>
    <t>85525</t>
  </si>
  <si>
    <t>AMOKSIKLAV 625 MG</t>
  </si>
  <si>
    <t>POR TBL FLM 21</t>
  </si>
  <si>
    <t>Perindopril a diuretika</t>
  </si>
  <si>
    <t>122690</t>
  </si>
  <si>
    <t>PRESTARIUM NEO COMBI 5 MG/1,25 MG</t>
  </si>
  <si>
    <t>POR TBL FLM 90</t>
  </si>
  <si>
    <t>Pitofenon a analgetika</t>
  </si>
  <si>
    <t>50335</t>
  </si>
  <si>
    <t>ALGIFEN NEO</t>
  </si>
  <si>
    <t>POR GTT SOL 1X25ML</t>
  </si>
  <si>
    <t>82161</t>
  </si>
  <si>
    <t>OBINADLO ELASTICKÉ FIXAČNÍ - MOLLELAST</t>
  </si>
  <si>
    <t>8CMX4M,VOLNĚ BALENO,20KS</t>
  </si>
  <si>
    <t>19526</t>
  </si>
  <si>
    <t>GÁZA HYDROFILNÍ SKLÁDANÁ KOMPRESY STERILNÍ</t>
  </si>
  <si>
    <t>7,5X7,5CM,8 VRSTEV,2KS</t>
  </si>
  <si>
    <t>203097</t>
  </si>
  <si>
    <t>Hydrogenované námelové alkaloidy</t>
  </si>
  <si>
    <t>91032</t>
  </si>
  <si>
    <t>SECATOXIN FORTE</t>
  </si>
  <si>
    <t>Klindamycin</t>
  </si>
  <si>
    <t>100339</t>
  </si>
  <si>
    <t>DALACIN C 300 MG</t>
  </si>
  <si>
    <t>POR CPS DUR 16X300MG</t>
  </si>
  <si>
    <t>91193</t>
  </si>
  <si>
    <t>DALACIN C 150 MG</t>
  </si>
  <si>
    <t>POR CPS DUR 100X150MG</t>
  </si>
  <si>
    <t>17925</t>
  </si>
  <si>
    <t>POR TBL FLM 20</t>
  </si>
  <si>
    <t>17927</t>
  </si>
  <si>
    <t>POR TBL FLM 40</t>
  </si>
  <si>
    <t>Jiná</t>
  </si>
  <si>
    <t>*2085</t>
  </si>
  <si>
    <t>*2083</t>
  </si>
  <si>
    <t>81960</t>
  </si>
  <si>
    <t>KRYTÍ ALGINÁTOVÉ MELGISORB AG</t>
  </si>
  <si>
    <t>10X10CM,10KS</t>
  </si>
  <si>
    <t>170303</t>
  </si>
  <si>
    <t>KRYTÍ HYDROCLEAN</t>
  </si>
  <si>
    <t>4X7CM,10KS</t>
  </si>
  <si>
    <t>45352</t>
  </si>
  <si>
    <t>VENI DUR A-G VELIKOST 1-6</t>
  </si>
  <si>
    <t>5112</t>
  </si>
  <si>
    <t>PÁS BŘIŠNÍ VERBA 932 521 4</t>
  </si>
  <si>
    <t>OBDVOD TRUPU 105-115CM,VEL.5</t>
  </si>
  <si>
    <t>5113</t>
  </si>
  <si>
    <t>PÁS BŘIŠNÍ VERBA 932 520 5</t>
  </si>
  <si>
    <t>OBDVOD TRUPU 95-105CM,VEL.4</t>
  </si>
  <si>
    <t>12001</t>
  </si>
  <si>
    <t>ZÁVĚS PAŽE  ORTEX 023</t>
  </si>
  <si>
    <t>Kompenzační pomůcky pro tělesně postižené</t>
  </si>
  <si>
    <t>140360</t>
  </si>
  <si>
    <t>BERLE PODPAŽNÍ DURALOVÁ DPB 10</t>
  </si>
  <si>
    <t>VELIKOST STŘEDNÍ,DLOUHÁ A DĚTSKÁ,130 KG VYMĚKČENÁ RUKOJEŤ A PODPAŽNÍ NÁVLEK</t>
  </si>
  <si>
    <t>Aceklofenak</t>
  </si>
  <si>
    <t>191730</t>
  </si>
  <si>
    <t>BIOFENAC 100 MG POTAHOVANÉ TABLETY</t>
  </si>
  <si>
    <t>POR TBL FLM 60X100MG</t>
  </si>
  <si>
    <t>Bemiparin</t>
  </si>
  <si>
    <t>30526</t>
  </si>
  <si>
    <t>ZIBOR 3500 IU</t>
  </si>
  <si>
    <t>SDR INJ SOL ISP 10X0.2ML</t>
  </si>
  <si>
    <t>47727</t>
  </si>
  <si>
    <t>47728</t>
  </si>
  <si>
    <t>POR TBL FLM 14X500MG</t>
  </si>
  <si>
    <t>132710</t>
  </si>
  <si>
    <t>96039</t>
  </si>
  <si>
    <t>CIPRINOL 500</t>
  </si>
  <si>
    <t>Diklofenak</t>
  </si>
  <si>
    <t>46621</t>
  </si>
  <si>
    <t>UNO</t>
  </si>
  <si>
    <t>POR TBL PRO 20X150MG</t>
  </si>
  <si>
    <t>Dosulepin</t>
  </si>
  <si>
    <t>77047</t>
  </si>
  <si>
    <t>PROTHIADEN 75</t>
  </si>
  <si>
    <t>POR TBL FLM 30X75MG</t>
  </si>
  <si>
    <t>Doxycyklin</t>
  </si>
  <si>
    <t>97655</t>
  </si>
  <si>
    <t>DOXYBENE 100 MG</t>
  </si>
  <si>
    <t>POR CPS MOL 20X100MG</t>
  </si>
  <si>
    <t>107806</t>
  </si>
  <si>
    <t>POR TBL ENT 30X20MG</t>
  </si>
  <si>
    <t>Kyselina acetylsalicylová</t>
  </si>
  <si>
    <t>155782</t>
  </si>
  <si>
    <t>GODASAL 100</t>
  </si>
  <si>
    <t>POR TBL NOB 100</t>
  </si>
  <si>
    <t>Losartan</t>
  </si>
  <si>
    <t>114067</t>
  </si>
  <si>
    <t>LOZAP 50 ZENTIVA</t>
  </si>
  <si>
    <t>POR TBL FLM 90X50MG II</t>
  </si>
  <si>
    <t>40536</t>
  </si>
  <si>
    <t>INJ SUS 1X5ML</t>
  </si>
  <si>
    <t>59806</t>
  </si>
  <si>
    <t>FRAXIPARINE FORTE</t>
  </si>
  <si>
    <t>SDR INJ SOL ISP 10X0.6MLX19000</t>
  </si>
  <si>
    <t>59808</t>
  </si>
  <si>
    <t>SDR INJ SOL ISP 10X0.8MLX19000</t>
  </si>
  <si>
    <t>Promethazin</t>
  </si>
  <si>
    <t>122197</t>
  </si>
  <si>
    <t>PROTHAZIN</t>
  </si>
  <si>
    <t>POR TBL FLM 20X25MG</t>
  </si>
  <si>
    <t>Rosuvastatin</t>
  </si>
  <si>
    <t>148069</t>
  </si>
  <si>
    <t>ROSUCARD 10 MG POTAHOVANÉ TABLETY</t>
  </si>
  <si>
    <t>POR TBL FLM 84X10MG</t>
  </si>
  <si>
    <t>Tramadol</t>
  </si>
  <si>
    <t>32085</t>
  </si>
  <si>
    <t>TRALGIT</t>
  </si>
  <si>
    <t>POR CPS DUR 10X50MG</t>
  </si>
  <si>
    <t>Zolpidem</t>
  </si>
  <si>
    <t>146899</t>
  </si>
  <si>
    <t>ZOLPIDEM MYLAN 10 MG</t>
  </si>
  <si>
    <t>POR TBL FLM 50X10MG</t>
  </si>
  <si>
    <t>80172</t>
  </si>
  <si>
    <t>7,5X7,5CM,8 VRSTEV,25X2KS</t>
  </si>
  <si>
    <t>169172</t>
  </si>
  <si>
    <t>KRYTÍ MASTNÝ TYL CUTICELL CLASSIC</t>
  </si>
  <si>
    <t>5CMX5CM NEADHERENTNÍ MASTNÝ TYL IMPREGNOVANÝ ČISTÝM PARAFÍNEM STERILNÍ,50KS</t>
  </si>
  <si>
    <t>82160</t>
  </si>
  <si>
    <t>6CMX4M,VOLNĚ BALENO,20KS</t>
  </si>
  <si>
    <t>140561</t>
  </si>
  <si>
    <t>ORTÉZA ZÁPĚSTÍ FIXAČNÍ UNIVERZÁLNÍ</t>
  </si>
  <si>
    <t>ORTEX 07H, S PEVNÝMI DLAHAMI, STRANOVĚ UNIVERZÁLNÍ</t>
  </si>
  <si>
    <t>Všeobecná ambulance</t>
  </si>
  <si>
    <t>P</t>
  </si>
  <si>
    <t>Preskripce a záchyt receptů a poukazů - orientační přehled</t>
  </si>
  <si>
    <t>Přehled plnění pozitivního listu (PL) - 
   preskripce léčivých přípravků dle objemu Kč mimo PL</t>
  </si>
  <si>
    <t>M01AX17 - Nimesulid</t>
  </si>
  <si>
    <t>N02AX02 - Tramadol</t>
  </si>
  <si>
    <t>H02AB04 - Methylprednisolon</t>
  </si>
  <si>
    <t>C10AA07 - Rosuvastatin</t>
  </si>
  <si>
    <t>C09BA04 - Perindopril a diuretika</t>
  </si>
  <si>
    <t>B01AB06 - Nadroparin</t>
  </si>
  <si>
    <t>J01CR02 - Amoxicilin a enzymový inhibitor</t>
  </si>
  <si>
    <t>C09CA01 - Losartan</t>
  </si>
  <si>
    <t>A02BA02 - Ranitidin</t>
  </si>
  <si>
    <t>C09CA07 - Telmisartan</t>
  </si>
  <si>
    <t>A02BA02</t>
  </si>
  <si>
    <t>B01AB06</t>
  </si>
  <si>
    <t>C09CA07</t>
  </si>
  <si>
    <t>J01CR02</t>
  </si>
  <si>
    <t>H02AB04</t>
  </si>
  <si>
    <t>M01AX17</t>
  </si>
  <si>
    <t>C09CA01</t>
  </si>
  <si>
    <t>C10AA07</t>
  </si>
  <si>
    <t>N02AX02</t>
  </si>
  <si>
    <t>C09BA04</t>
  </si>
  <si>
    <t>Přehled plnění PL - Preskripce léčivých přípravků - orientační přehled</t>
  </si>
  <si>
    <t>ZA539</t>
  </si>
  <si>
    <t>Kompresa NT 10 x 10 cm nesterilní 06103</t>
  </si>
  <si>
    <t>ZI558</t>
  </si>
  <si>
    <t>Náplast curapor   7 x   5 cm 22120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</si>
  <si>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</si>
  <si>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</si>
  <si>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</si>
  <si>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</si>
  <si>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ZA471</t>
  </si>
  <si>
    <t>Náplast curaplast poinjekční bal. á 250 ks 30625</t>
  </si>
  <si>
    <t>ZI522</t>
  </si>
  <si>
    <t>Krytí askina 10 x 12 cm derm - sterilní folie bal. á 10 ks F72035</t>
  </si>
  <si>
    <t>ZA486</t>
  </si>
  <si>
    <t>Krytí mastný tyl jelonet   5 x 5 cm á 50 ks 7403</t>
  </si>
  <si>
    <t>ZL854</t>
  </si>
  <si>
    <t>Krytí mastný tyl jelonet 10 x 10 cm á 36 ks 66007478</t>
  </si>
  <si>
    <t>ZA599</t>
  </si>
  <si>
    <t>Steh náplasťový Steri-strip 6 x 75 mm bal. á 50 ks elast. E4541</t>
  </si>
  <si>
    <t>ZB048</t>
  </si>
  <si>
    <t>Krytí cellistyp F (fibrilar) 2,5 x 5 cm bal. á 10 ks (náhrada za okcel) 2082025</t>
  </si>
  <si>
    <t>ZD754</t>
  </si>
  <si>
    <t>Textilie obv.kombinov. 140-1510 COM 30</t>
  </si>
  <si>
    <t>ZA441</t>
  </si>
  <si>
    <t>Steh náplasťový Steri-strip 6 x 38 mm bal. á 200 ks R1542</t>
  </si>
  <si>
    <t>ZA789</t>
  </si>
  <si>
    <t>Stříkačka injekční 2-dílná 2 ml L Inject Solo 4606027V</t>
  </si>
  <si>
    <t>ZA790</t>
  </si>
  <si>
    <t>Stříkačka injekční 2-dílná 5 ml L Inject Solo4606051V</t>
  </si>
  <si>
    <t>ZA965</t>
  </si>
  <si>
    <t>Stříkačka inzulínová omnican 1 ml 100j bal. á 100 ks 9151141S</t>
  </si>
  <si>
    <t>ZB780</t>
  </si>
  <si>
    <t>Kontejner 120 ml sterilní á 50 ks FLME25035</t>
  </si>
  <si>
    <t>ZB893</t>
  </si>
  <si>
    <t>Stříkačka inzulinová omnican 0,5 ml 100j s jehlou 30 G 9151125S</t>
  </si>
  <si>
    <t>ZC752</t>
  </si>
  <si>
    <t>Čepelka skalpelová 15 BB515</t>
  </si>
  <si>
    <t>ZC840</t>
  </si>
  <si>
    <t>Elektroda neutrální zpětná pro dospělé bal. á 5 ks MF3.05.5005</t>
  </si>
  <si>
    <t>ZH809</t>
  </si>
  <si>
    <t>Nádoba na histologický mat. s pufrovaným formalínem HISTOFOR 40 ml bal. á 100 ks BFS-40</t>
  </si>
  <si>
    <t>ZH808</t>
  </si>
  <si>
    <t>Nádoba na histologický mat. s pufrovaným formalínem HISTOFOR 20 ml bal. á 100 ks BFS-20</t>
  </si>
  <si>
    <t>ZD242</t>
  </si>
  <si>
    <t>Šití vicryl coated 6-0 bal. á 36 ks V492H</t>
  </si>
  <si>
    <t>ZA360</t>
  </si>
  <si>
    <t>Jehla sterican 0,5 x 25 mm oranžová 9186158</t>
  </si>
  <si>
    <t>ZK476</t>
  </si>
  <si>
    <t>Rukavice operační latexové s pudrem ansell medigrip plus vel. 7,5 303505EU (302925)</t>
  </si>
  <si>
    <t>ZJ174</t>
  </si>
  <si>
    <t>Implantát mammární anatomický 350cc kulatý 20735-350</t>
  </si>
  <si>
    <t>ZN894</t>
  </si>
  <si>
    <t>Implantát mammární vysoký profil-kulatý GS-XP -350cc – MT</t>
  </si>
  <si>
    <t>ZN918</t>
  </si>
  <si>
    <t>Implantát mammární vysoký profil-kulatý GS-XP-380cc–MT</t>
  </si>
  <si>
    <t>ZE278</t>
  </si>
  <si>
    <t>Drát vodící 0,90 mm vrtací, bez závitu bal. á 10 ks 26-875-00-05</t>
  </si>
  <si>
    <t>ZB155</t>
  </si>
  <si>
    <t>Šití premilene 4/0 (1.5) bal. á 36 ks C0090013</t>
  </si>
  <si>
    <t>ZA329</t>
  </si>
  <si>
    <t>Obinadlo fixa crep   6 cm x 4 m 1323100102</t>
  </si>
  <si>
    <t>ZA331</t>
  </si>
  <si>
    <t>Obinadlo fixa crep 10 cm x 4 m 1323100104</t>
  </si>
  <si>
    <t>ZF159</t>
  </si>
  <si>
    <t>Nádoba na kontaminovaný odpad 1 l 15-0002</t>
  </si>
  <si>
    <t>ZI179</t>
  </si>
  <si>
    <t>Zkumavka s mediem+ flovakovaný tampon eSwab růžový 490CE.A</t>
  </si>
  <si>
    <t>ZL464</t>
  </si>
  <si>
    <t>Popisovač sterilní se dvěma hroty Sandel 4-in-1Marker, bal. á 25 ks, S1041F</t>
  </si>
  <si>
    <t>ZN926</t>
  </si>
  <si>
    <t>Dlaha odlehčená termoplastická TURBOCAST ORTHO micro vel. 1,6 mm x 600 mm x 430 mm JOS161</t>
  </si>
  <si>
    <t>ZN924</t>
  </si>
  <si>
    <t>Dlaha odlehčená termoplastická TURBOCAST mini perfo vel. 2 mm x 600 mm x 440 mm barva bílá J2020 - bílá</t>
  </si>
  <si>
    <t>ZN928</t>
  </si>
  <si>
    <t>Dlaha odlehčená termoplastická IMMO + NS vel. 3,2 mm x 600 mm x 900 mm barva bílá JBCx322</t>
  </si>
  <si>
    <t>ZN927</t>
  </si>
  <si>
    <t>Dlaha odlehčená termoplastická IMMO + NS vel. 3,2 mm x 600 mm x 450 mm barva bílá JBCx252</t>
  </si>
  <si>
    <t>ZN798</t>
  </si>
  <si>
    <t>Svěrka ke stojánku na LipoFilter Canister ASP-CAN-2C</t>
  </si>
  <si>
    <t>ZN797</t>
  </si>
  <si>
    <t>Sojánek na LipoFilter Canister ASP-CAN-2R</t>
  </si>
  <si>
    <t>ZB181</t>
  </si>
  <si>
    <t>Šití prolene bl 5-0 bal. á 36 ks EH7176H</t>
  </si>
  <si>
    <t>ZB528</t>
  </si>
  <si>
    <t>Šití monosyn bezbarvý 4/0 (1.5) bal. á 36 ks C0023624</t>
  </si>
  <si>
    <t>ZB556</t>
  </si>
  <si>
    <t>Jehla injekční 1,2 x 40 mm růžová 4665120</t>
  </si>
  <si>
    <t>50115050</t>
  </si>
  <si>
    <t>502 SZM obvazový (112 02 040)</t>
  </si>
  <si>
    <t>50115060</t>
  </si>
  <si>
    <t>503 SZM ostatní zdravotnický (112 02 100)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</si>
  <si>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</si>
  <si>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</si>
  <si>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</si>
  <si>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</si>
  <si>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</si>
  <si>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</si>
  <si>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50115011</t>
  </si>
  <si>
    <t>515 SZM umělé tělní náhrady ostatní (112 02 030)</t>
  </si>
  <si>
    <t>Spotřeba zdravotnického materiálu - orientační přehled</t>
  </si>
  <si>
    <t>ON Data</t>
  </si>
  <si>
    <t>601 - Pracoviště plastické chirurgie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</si>
  <si>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</si>
  <si>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</si>
  <si>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</si>
  <si>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Menšík Ivo</t>
  </si>
  <si>
    <t>PodkalskáSommerová Kamila</t>
  </si>
  <si>
    <t>Zdravotní výkony vykázané na pracovišti v rámci ambulantní péče dle lékařů *</t>
  </si>
  <si>
    <t>601</t>
  </si>
  <si>
    <t>1</t>
  </si>
  <si>
    <t>0000362</t>
  </si>
  <si>
    <t>ADRENALIN LÉČIVA</t>
  </si>
  <si>
    <t>0000502</t>
  </si>
  <si>
    <t>MESOCAIN 1%</t>
  </si>
  <si>
    <t>0002439</t>
  </si>
  <si>
    <t>MARCAINE 0,5%</t>
  </si>
  <si>
    <t>0007981</t>
  </si>
  <si>
    <t>NOVALGIN INJEKCE</t>
  </si>
  <si>
    <t>0093109</t>
  </si>
  <si>
    <t>SUPRACAIN 4%</t>
  </si>
  <si>
    <t>0154815</t>
  </si>
  <si>
    <t>TETANOL PUR</t>
  </si>
  <si>
    <t>3</t>
  </si>
  <si>
    <t>0017751</t>
  </si>
  <si>
    <t>DRÁT KIRSCHNERŮV OCEL</t>
  </si>
  <si>
    <t>0082077</t>
  </si>
  <si>
    <t>KRYTÍ COM 30 OBVAZOVÁ TEXTÍLIE KOMBINOVANÁ</t>
  </si>
  <si>
    <t>V</t>
  </si>
  <si>
    <t>09216</t>
  </si>
  <si>
    <t>INJEKCE DO MĚKKÝCH TKÁNÍ NEBO INTRADERMÁLNÍ PUPENY</t>
  </si>
  <si>
    <t>09220</t>
  </si>
  <si>
    <t>KANYLACE PERIFERNÍ ŽÍLY VČETNĚ INFÚZE</t>
  </si>
  <si>
    <t>09237</t>
  </si>
  <si>
    <t>OŠETŘENÍ A PŘEVAZ RÁNY VČETNĚ OŠETŘENÍ KOŽNÍCH A P</t>
  </si>
  <si>
    <t>09241</t>
  </si>
  <si>
    <t>OŠETŘENÍ A PŘEVAZ RÁNY, KOŽNÍCH A PODKOŽNÍCH AFEKC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</si>
  <si>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</si>
  <si>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</si>
  <si>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</si>
  <si>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</si>
  <si>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</si>
  <si>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</si>
  <si>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44215</t>
  </si>
  <si>
    <t>DESTRUKTIVNÍ TERAPIE KOŽNÍCH LÉZÍ LASEREM S VYSOKÝ</t>
  </si>
  <si>
    <t>44229</t>
  </si>
  <si>
    <t>INFILTRACE KOŽNÍCH LÉZÍ (1-5)</t>
  </si>
  <si>
    <t>51818</t>
  </si>
  <si>
    <t>61022</t>
  </si>
  <si>
    <t>CÍLENÉ VYŠETŘENÍ PLASTICKÝM CHIRURGEM</t>
  </si>
  <si>
    <t>61023</t>
  </si>
  <si>
    <t>KONTROLNÍ VYŠETŘENÍ PLASTICKÝM CHIRURGEM</t>
  </si>
  <si>
    <t>61113</t>
  </si>
  <si>
    <t xml:space="preserve">REVIZE, EXCIZE A SUTURA PORANĚNÍ KŮŽE A PODKOŽÍ A </t>
  </si>
  <si>
    <t>61123</t>
  </si>
  <si>
    <t>EXCIZE KOŽNÍ LÉZE OD 2 DO 10 CM^2, BEZ UZAVŘENÍ VZ</t>
  </si>
  <si>
    <t>61129</t>
  </si>
  <si>
    <t>EXCIZE KOŽNÍ LÉZE, SUTURA OD 2 DO 10 CM</t>
  </si>
  <si>
    <t>61147</t>
  </si>
  <si>
    <t>UZAVŘENÍ DEFEKTU KOŽNÍM LALOKEM MÍSTNÍM DO 10 CM^2</t>
  </si>
  <si>
    <t>66823</t>
  </si>
  <si>
    <t>ODSTRANĚNÍ ZEVNÍHO FIXATÉRU</t>
  </si>
  <si>
    <t>66949</t>
  </si>
  <si>
    <t>PUNKCE KLOUBNÍ S APLIKACÍ LÉČIVA</t>
  </si>
  <si>
    <t>09547</t>
  </si>
  <si>
    <t>REGULAČNÍ POPLATEK -- POJIŠTĚNEC OD ÚHRADY POPLATK</t>
  </si>
  <si>
    <t>09543</t>
  </si>
  <si>
    <t>Signalni kod</t>
  </si>
  <si>
    <t>09544</t>
  </si>
  <si>
    <t>SIGNÁLNÍ VÝKON POBYTU V ZAŘÍZENÍ LŮŽKOVÉ PÉČE / DO</t>
  </si>
  <si>
    <t>09555</t>
  </si>
  <si>
    <t>OŠETŘENÍ DÍTĚTE DO 6 LET</t>
  </si>
  <si>
    <t>09233</t>
  </si>
  <si>
    <t>INJEKČNÍ OKRSKOVÁ ANESTÉZIE</t>
  </si>
  <si>
    <t>09215</t>
  </si>
  <si>
    <t>INJEKCE I. M., S. C., I. D.</t>
  </si>
  <si>
    <t>09545</t>
  </si>
  <si>
    <t>REGULAČNÍ POPLATEK ZA POHOTOVOSTNÍ SLUŽBU -- POPLA</t>
  </si>
  <si>
    <t>62150</t>
  </si>
  <si>
    <t>POPÁLENINY - OŠETŘENÍ A PŘEVAZ, OSTATNÍ DO 5%</t>
  </si>
  <si>
    <t>09513</t>
  </si>
  <si>
    <t>TELEFONICKÁ KONZULTACE OŠETŘUJÍCÍHO LÉKAŘE PACIENT</t>
  </si>
  <si>
    <t>61115</t>
  </si>
  <si>
    <t>51851</t>
  </si>
  <si>
    <t>FIXAČNÍ SÁDROVÁ DLAHA - RUKA, PŘEDLOKTÍ</t>
  </si>
  <si>
    <t>51825</t>
  </si>
  <si>
    <t>SEKUNDÁRNÍ SUTURA RÁNY</t>
  </si>
  <si>
    <t>51111</t>
  </si>
  <si>
    <t>OPERACE CYSTY NEBO HEMANGIOMU NEBO LIPOMU NEBO PIL</t>
  </si>
  <si>
    <t>09239</t>
  </si>
  <si>
    <t>SUTURA RÁNY A PODKOŽÍ DO 5 CM</t>
  </si>
  <si>
    <t>09115</t>
  </si>
  <si>
    <t>ODBĚR BIOLOGICKÉHO MATERIÁLU JINÉHO NEŽ KREV NA KV</t>
  </si>
  <si>
    <t>09235</t>
  </si>
  <si>
    <t>ODSTRANĚNÍ MALÝCH LÉZÍ KŮŽE</t>
  </si>
  <si>
    <t>51811</t>
  </si>
  <si>
    <t>ABSCES NEBO HEMATOM SUBKUTANNÍ, PILONIDÁLNÍ, INTRA</t>
  </si>
  <si>
    <t>51821</t>
  </si>
  <si>
    <t>CHIRURGICKÉ ODSTRANĚNÍ CIZÍHO TĚLESA</t>
  </si>
  <si>
    <t>62100</t>
  </si>
  <si>
    <t>PŘEVAZ POPÁLENINY V ROZSAHU DO 1 %</t>
  </si>
  <si>
    <t>62310</t>
  </si>
  <si>
    <t>NEKREKTOMIE DO 1% POVRCHU TĚLA</t>
  </si>
  <si>
    <t>62140</t>
  </si>
  <si>
    <t>POPÁLENINY - OŠETŘENÍ A PŘEVAZ DORSA RUKY NEBO NOH</t>
  </si>
  <si>
    <t>62610</t>
  </si>
  <si>
    <t>ODBĚR DERMOEPIDERMÁLNÍHO ŠTĚPU DO 1 % POVRCHU TĚLA</t>
  </si>
  <si>
    <t>53515</t>
  </si>
  <si>
    <t>SUTURA ŠLACHY EXTENSORU RUKY A ZÁPĚSTÍ</t>
  </si>
  <si>
    <t>66821</t>
  </si>
  <si>
    <t>PERKUTÁNNÍ FIXACE K-DRÁTEM</t>
  </si>
  <si>
    <t>61135</t>
  </si>
  <si>
    <t>AUTOTRANSPLANTACE KOŽNÍM ŠTĚPEM V PLNÉ TLOUŠTCE DO</t>
  </si>
  <si>
    <t>62110</t>
  </si>
  <si>
    <t xml:space="preserve">PŘEVAZ POPÁLENINY V ROZSAHU OD 1 % DO 10 %  A EV. </t>
  </si>
  <si>
    <t>62130</t>
  </si>
  <si>
    <t>POPÁLENINY - OŠETŘENÍ A PŘEVAZ PRSTU RUKY, NOHY NE</t>
  </si>
  <si>
    <t>62160</t>
  </si>
  <si>
    <t>POPÁLENI - OŠETŘENÍ A PŘEVAZ, 5 - 10 % POVRCHU</t>
  </si>
  <si>
    <t>51875</t>
  </si>
  <si>
    <t>PŘILOŽENÍ MĚKKÉHO OBVAZU (ZINKOKLIH, ŠKROBOVÝ OBVA</t>
  </si>
  <si>
    <t>0058092</t>
  </si>
  <si>
    <t>CEFAZOLIN SANDOZ 1 G</t>
  </si>
  <si>
    <t>0002684</t>
  </si>
  <si>
    <t>04400</t>
  </si>
  <si>
    <t>SVODNÁ ANESTEZIE</t>
  </si>
  <si>
    <t>61117</t>
  </si>
  <si>
    <t>SUTURA DIGITÁLNÍHO NEBO KOMUNÁLNÍHO DIGITÁLNÍHO NE</t>
  </si>
  <si>
    <t>61149</t>
  </si>
  <si>
    <t xml:space="preserve">UZAVŘENÍ DEFEKTU  KOŽNÍM LALOKEM MÍSTNÍM OD 10 DO </t>
  </si>
  <si>
    <t>61209</t>
  </si>
  <si>
    <t>TENOLÝZA FLEXORU</t>
  </si>
  <si>
    <t>61219</t>
  </si>
  <si>
    <t>TENOLÝZA EXTENZORU</t>
  </si>
  <si>
    <t>61227</t>
  </si>
  <si>
    <t>CHIRURGICKÉ OŠETŘENÍ NEUROMU</t>
  </si>
  <si>
    <t>61247</t>
  </si>
  <si>
    <t>OPERACE KARPÁLNÍHO TUNELU</t>
  </si>
  <si>
    <t>61253</t>
  </si>
  <si>
    <t xml:space="preserve">PALM. APONEUREKTOMIE U DLAŇOVÉ FORMY DUPUYTRENOVY </t>
  </si>
  <si>
    <t>61409</t>
  </si>
  <si>
    <t>MODELACE A PŘITAŽENÍ ODSTÁLÉHO BOLTCE</t>
  </si>
  <si>
    <t>61245</t>
  </si>
  <si>
    <t>FENESTRACE ŠLACHOVÉ POCHVY</t>
  </si>
  <si>
    <t>61125</t>
  </si>
  <si>
    <t>EXCIZE KOŽNÍ LÉZE NAD 10 CM^2, BEZ UZAVŘENÍ VZNIKL</t>
  </si>
  <si>
    <t>61411</t>
  </si>
  <si>
    <t>XANTHELASMA - XANTOMY VÍČKA, EXCIZE XANTOMU VÍČKA</t>
  </si>
  <si>
    <t>62410</t>
  </si>
  <si>
    <t>ŠTĚP PŘI POPÁLENÍ - DLAŇ, DORSUM RUKY, NOHY NEBO D</t>
  </si>
  <si>
    <t>61225</t>
  </si>
  <si>
    <t>NEUROLÝZA</t>
  </si>
  <si>
    <t>51817</t>
  </si>
  <si>
    <t>OŠETŘENÍ NEHTU NA RUCE, NOZE (FENESTRACE, PARCIÁLN</t>
  </si>
  <si>
    <t>61255</t>
  </si>
  <si>
    <t>ROZŠÍŘENÁ APONEUREKTOMIE U FORMY DUPUYTRENOVY KONT</t>
  </si>
  <si>
    <t>61165</t>
  </si>
  <si>
    <t>ROZPROSTŘENÍ NEBO MODELACE LALOKU</t>
  </si>
  <si>
    <t>66411</t>
  </si>
  <si>
    <t>AMPUTACE PRSTU RUKY NEBO ČLÁNKU PRSTU - ZA PRVNÍ P</t>
  </si>
  <si>
    <t>61131</t>
  </si>
  <si>
    <t>EXCIZE KOŽNÍ LÉZE, SUTURA VÍCE NEŽ 10 CM</t>
  </si>
  <si>
    <t>62440</t>
  </si>
  <si>
    <t>ŠTĚP PŘI POPÁLENÍ (A OSTATNÍCH KOŽNÍCH ZTRÁTÁCH) D</t>
  </si>
  <si>
    <t>62420</t>
  </si>
  <si>
    <t>ŠTĚP PŘI POPÁLENÍ (A OSTATNÍCH KOŽNÍCH ZTRÁTÁCH) -</t>
  </si>
  <si>
    <t>61391</t>
  </si>
  <si>
    <t>VYTVOŘENÍ NOVÉ PRSNÍ BRADAVKY A PRSNÍHO DVORCE</t>
  </si>
  <si>
    <t>61425</t>
  </si>
  <si>
    <t>OPERACE RINOFYMY</t>
  </si>
  <si>
    <t>61401</t>
  </si>
  <si>
    <t>KOREKCE MALÉ VROZENÉ ANOMÁLIE BOLTCE A OKOLÍ (VÝRŮ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</si>
  <si>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</si>
  <si>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</si>
  <si>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</si>
  <si>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</si>
  <si>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</si>
  <si>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</si>
  <si>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</si>
  <si>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</si>
  <si>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</si>
  <si>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</si>
  <si>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</si>
  <si>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</si>
  <si>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13 - Otolaryngologická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</si>
  <si>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</si>
  <si>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</si>
  <si>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</si>
  <si>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</si>
  <si>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</si>
  <si>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</si>
  <si>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</si>
  <si>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</si>
  <si>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</si>
  <si>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50 - Kardiochirurgická klinika</t>
  </si>
  <si>
    <t>59 - Oddělení intenzivní péče chirurgických oborů</t>
  </si>
  <si>
    <t>01</t>
  </si>
  <si>
    <t>02</t>
  </si>
  <si>
    <t>NEKREKTOMIE DO 5 % POVRCHU TĚLA - TANGENCIÁLNÍ NEB</t>
  </si>
  <si>
    <t>03</t>
  </si>
  <si>
    <t>04</t>
  </si>
  <si>
    <t>05</t>
  </si>
  <si>
    <t>06</t>
  </si>
  <si>
    <t>07</t>
  </si>
  <si>
    <t>08</t>
  </si>
  <si>
    <t>09</t>
  </si>
  <si>
    <t>10</t>
  </si>
  <si>
    <t>75397</t>
  </si>
  <si>
    <t>SUTURA LACERACE VÍČKA A SVALU</t>
  </si>
  <si>
    <t>11</t>
  </si>
  <si>
    <t>13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</si>
  <si>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</si>
  <si>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</si>
  <si>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</si>
  <si>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</si>
  <si>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</si>
  <si>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</si>
  <si>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</si>
  <si>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</si>
  <si>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</si>
  <si>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50</t>
  </si>
  <si>
    <t>59</t>
  </si>
  <si>
    <t>Zdravotní výkony vykázané na pracovišti pro pacienty hospitalizované ve FNOL - orientační přehled</t>
  </si>
  <si>
    <t>37 - Ústav klinické a molekulární patologie</t>
  </si>
  <si>
    <t>37</t>
  </si>
  <si>
    <t>807</t>
  </si>
  <si>
    <t>87127</t>
  </si>
  <si>
    <t>JEDNODUCHÝ BIOPTICKÝ VZOREK: MAKROSKOPICKÉ POSOUZE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</si>
  <si>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</si>
  <si>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</si>
  <si>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</si>
  <si>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</si>
  <si>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</si>
  <si>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</si>
  <si>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87129</t>
  </si>
  <si>
    <t>VÍCEČETNÉ MALÉ BIOPTICKÉ VZORKY: MAKROSKOPICKÉ POS</t>
  </si>
  <si>
    <t>87215</t>
  </si>
  <si>
    <t>DALŠÍ BLOK SE STANDARTNÍM PREPARÁTEM (OD 3. BIOPTI</t>
  </si>
  <si>
    <t>Zdravotní výkony (vybraných odborností) vyžádané pro pacienty hospitalizované na vlastním pracovišti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</si>
</sst>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25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69" xfId="53" applyNumberFormat="1" applyFont="1" applyFill="1" applyBorder="1"/>
    <xf numFmtId="9" fontId="3" fillId="0" borderId="69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1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0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7" xfId="53" applyFont="1" applyFill="1" applyBorder="1" applyAlignment="1">
      <alignment horizontal="right"/>
    </xf>
    <xf numFmtId="9" fontId="3" fillId="0" borderId="68" xfId="53" applyNumberFormat="1" applyFont="1" applyFill="1" applyBorder="1"/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59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0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7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7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wrapText="1" indent="2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3" fontId="0" fillId="7" borderId="75" xfId="0" applyNumberFormat="1" applyFont="1" applyFill="1" applyBorder="1"/>
    <xf numFmtId="3" fontId="54" fillId="8" borderId="76" xfId="0" applyNumberFormat="1" applyFont="1" applyFill="1" applyBorder="1"/>
    <xf numFmtId="3" fontId="54" fillId="8" borderId="75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40" fillId="2" borderId="85" xfId="0" applyFont="1" applyFill="1" applyBorder="1" applyAlignment="1"/>
    <xf numFmtId="0" fontId="40" fillId="2" borderId="87" xfId="0" applyFont="1" applyFill="1" applyBorder="1" applyAlignment="1">
      <alignment horizontal="left" indent="1"/>
    </xf>
    <xf numFmtId="0" fontId="40" fillId="2" borderId="93" xfId="0" applyFont="1" applyFill="1" applyBorder="1" applyAlignment="1">
      <alignment horizontal="left" indent="1"/>
    </xf>
    <xf numFmtId="0" fontId="40" fillId="4" borderId="85" xfId="0" applyFont="1" applyFill="1" applyBorder="1" applyAlignment="1"/>
    <xf numFmtId="0" fontId="40" fillId="4" borderId="87" xfId="0" applyFont="1" applyFill="1" applyBorder="1" applyAlignment="1">
      <alignment horizontal="left" indent="1"/>
    </xf>
    <xf numFmtId="0" fontId="40" fillId="4" borderId="98" xfId="0" applyFont="1" applyFill="1" applyBorder="1" applyAlignment="1">
      <alignment horizontal="left" indent="1"/>
    </xf>
    <xf numFmtId="0" fontId="33" fillId="2" borderId="87" xfId="0" quotePrefix="1" applyFont="1" applyFill="1" applyBorder="1" applyAlignment="1">
      <alignment horizontal="left" indent="2"/>
    </xf>
    <xf numFmtId="0" fontId="33" fillId="2" borderId="93" xfId="0" quotePrefix="1" applyFont="1" applyFill="1" applyBorder="1" applyAlignment="1">
      <alignment horizontal="left" indent="2"/>
    </xf>
    <xf numFmtId="0" fontId="40" fillId="2" borderId="85" xfId="0" applyFont="1" applyFill="1" applyBorder="1" applyAlignment="1">
      <alignment horizontal="left" indent="1"/>
    </xf>
    <xf numFmtId="0" fontId="40" fillId="2" borderId="98" xfId="0" applyFont="1" applyFill="1" applyBorder="1" applyAlignment="1">
      <alignment horizontal="left" indent="1"/>
    </xf>
    <xf numFmtId="0" fontId="40" fillId="4" borderId="93" xfId="0" applyFont="1" applyFill="1" applyBorder="1" applyAlignment="1">
      <alignment horizontal="left" indent="1"/>
    </xf>
    <xf numFmtId="0" fontId="33" fillId="0" borderId="103" xfId="0" applyFont="1" applyBorder="1"/>
    <xf numFmtId="3" fontId="33" fillId="0" borderId="103" xfId="0" applyNumberFormat="1" applyFont="1" applyBorder="1"/>
    <xf numFmtId="0" fontId="40" fillId="4" borderId="77" xfId="0" applyFont="1" applyFill="1" applyBorder="1" applyAlignment="1">
      <alignment horizontal="center" vertical="center"/>
    </xf>
    <xf numFmtId="0" fontId="40" fillId="4" borderId="61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2" xfId="0" applyNumberFormat="1" applyFont="1" applyFill="1" applyBorder="1" applyAlignment="1">
      <alignment horizontal="center" vertical="center"/>
    </xf>
    <xf numFmtId="3" fontId="56" fillId="2" borderId="100" xfId="0" applyNumberFormat="1" applyFont="1" applyFill="1" applyBorder="1" applyAlignment="1">
      <alignment horizontal="center" vertical="center" wrapText="1"/>
    </xf>
    <xf numFmtId="173" fontId="40" fillId="4" borderId="86" xfId="0" applyNumberFormat="1" applyFont="1" applyFill="1" applyBorder="1" applyAlignment="1"/>
    <xf numFmtId="173" fontId="40" fillId="4" borderId="80" xfId="0" applyNumberFormat="1" applyFont="1" applyFill="1" applyBorder="1" applyAlignment="1"/>
    <xf numFmtId="173" fontId="40" fillId="0" borderId="88" xfId="0" applyNumberFormat="1" applyFont="1" applyBorder="1"/>
    <xf numFmtId="173" fontId="33" fillId="0" borderId="90" xfId="0" applyNumberFormat="1" applyFont="1" applyBorder="1"/>
    <xf numFmtId="173" fontId="40" fillId="0" borderId="99" xfId="0" applyNumberFormat="1" applyFont="1" applyBorder="1"/>
    <xf numFmtId="173" fontId="33" fillId="0" borderId="83" xfId="0" applyNumberFormat="1" applyFont="1" applyBorder="1"/>
    <xf numFmtId="173" fontId="40" fillId="2" borderId="101" xfId="0" applyNumberFormat="1" applyFont="1" applyFill="1" applyBorder="1" applyAlignment="1"/>
    <xf numFmtId="173" fontId="40" fillId="2" borderId="80" xfId="0" applyNumberFormat="1" applyFont="1" applyFill="1" applyBorder="1" applyAlignment="1"/>
    <xf numFmtId="173" fontId="40" fillId="0" borderId="94" xfId="0" applyNumberFormat="1" applyFont="1" applyBorder="1"/>
    <xf numFmtId="173" fontId="33" fillId="0" borderId="96" xfId="0" applyNumberFormat="1" applyFont="1" applyBorder="1"/>
    <xf numFmtId="173" fontId="40" fillId="0" borderId="86" xfId="0" applyNumberFormat="1" applyFont="1" applyBorder="1"/>
    <xf numFmtId="173" fontId="33" fillId="0" borderId="80" xfId="0" applyNumberFormat="1" applyFont="1" applyBorder="1"/>
    <xf numFmtId="174" fontId="40" fillId="2" borderId="86" xfId="0" applyNumberFormat="1" applyFont="1" applyFill="1" applyBorder="1" applyAlignment="1"/>
    <xf numFmtId="174" fontId="33" fillId="2" borderId="80" xfId="0" applyNumberFormat="1" applyFont="1" applyFill="1" applyBorder="1" applyAlignment="1"/>
    <xf numFmtId="174" fontId="40" fillId="0" borderId="88" xfId="0" applyNumberFormat="1" applyFont="1" applyBorder="1"/>
    <xf numFmtId="174" fontId="33" fillId="0" borderId="90" xfId="0" applyNumberFormat="1" applyFont="1" applyBorder="1"/>
    <xf numFmtId="174" fontId="40" fillId="0" borderId="94" xfId="0" applyNumberFormat="1" applyFont="1" applyBorder="1"/>
    <xf numFmtId="174" fontId="33" fillId="0" borderId="96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6" xfId="0" applyNumberFormat="1" applyFont="1" applyFill="1" applyBorder="1" applyAlignment="1">
      <alignment horizontal="center"/>
    </xf>
    <xf numFmtId="175" fontId="40" fillId="0" borderId="94" xfId="0" applyNumberFormat="1" applyFont="1" applyBorder="1"/>
    <xf numFmtId="0" fontId="32" fillId="2" borderId="110" xfId="74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1" xfId="0" applyFont="1" applyFill="1" applyBorder="1"/>
    <xf numFmtId="0" fontId="33" fillId="0" borderId="92" xfId="0" applyFont="1" applyBorder="1" applyAlignment="1"/>
    <xf numFmtId="9" fontId="33" fillId="0" borderId="90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3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8" xfId="0" applyNumberFormat="1" applyFont="1" applyBorder="1"/>
    <xf numFmtId="9" fontId="33" fillId="0" borderId="90" xfId="0" applyNumberFormat="1" applyFont="1" applyBorder="1"/>
    <xf numFmtId="0" fontId="41" fillId="0" borderId="103" xfId="0" applyFont="1" applyFill="1" applyBorder="1" applyAlignment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10" xfId="81" applyFont="1" applyFill="1" applyBorder="1" applyAlignment="1">
      <alignment horizontal="center"/>
    </xf>
    <xf numFmtId="0" fontId="32" fillId="2" borderId="107" xfId="81" applyFont="1" applyFill="1" applyBorder="1" applyAlignment="1">
      <alignment horizontal="center"/>
    </xf>
    <xf numFmtId="0" fontId="32" fillId="2" borderId="86" xfId="81" applyFont="1" applyFill="1" applyBorder="1" applyAlignment="1">
      <alignment horizontal="center"/>
    </xf>
    <xf numFmtId="0" fontId="32" fillId="2" borderId="10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2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2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3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2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5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3" xfId="53" applyFont="1" applyFill="1" applyBorder="1" applyAlignment="1">
      <alignment horizontal="right"/>
    </xf>
    <xf numFmtId="0" fontId="5" fillId="2" borderId="64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5" xfId="79" applyFont="1" applyFill="1" applyBorder="1" applyAlignment="1">
      <alignment horizontal="left"/>
    </xf>
    <xf numFmtId="166" fontId="40" fillId="2" borderId="78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40" fillId="2" borderId="60" xfId="0" applyFont="1" applyFill="1" applyBorder="1" applyAlignment="1">
      <alignment vertical="center"/>
    </xf>
    <xf numFmtId="3" fontId="32" fillId="2" borderId="62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1" xfId="26" applyNumberFormat="1" applyFont="1" applyFill="1" applyBorder="1" applyAlignment="1">
      <alignment horizontal="center"/>
    </xf>
    <xf numFmtId="3" fontId="32" fillId="2" borderId="103" xfId="26" applyNumberFormat="1" applyFont="1" applyFill="1" applyBorder="1" applyAlignment="1">
      <alignment horizontal="center"/>
    </xf>
    <xf numFmtId="3" fontId="32" fillId="2" borderId="78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2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5" fillId="2" borderId="50" xfId="0" applyNumberFormat="1" applyFont="1" applyFill="1" applyBorder="1" applyAlignment="1">
      <alignment horizontal="center" vertical="top"/>
    </xf>
    <xf numFmtId="0" fontId="32" fillId="2" borderId="77" xfId="0" applyNumberFormat="1" applyFont="1" applyFill="1" applyBorder="1" applyAlignment="1">
      <alignment horizontal="center" vertical="top"/>
    </xf>
    <xf numFmtId="0" fontId="32" fillId="2" borderId="77" xfId="0" applyFont="1" applyFill="1" applyBorder="1" applyAlignment="1">
      <alignment horizontal="center" vertical="top" wrapText="1"/>
    </xf>
    <xf numFmtId="0" fontId="32" fillId="2" borderId="62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vertical="center" wrapText="1"/>
    </xf>
    <xf numFmtId="3" fontId="34" fillId="9" borderId="115" xfId="0" applyNumberFormat="1" applyFont="1" applyFill="1" applyBorder="1" applyAlignment="1">
      <alignment horizontal="right" vertical="top"/>
    </xf>
    <xf numFmtId="3" fontId="34" fillId="9" borderId="116" xfId="0" applyNumberFormat="1" applyFont="1" applyFill="1" applyBorder="1" applyAlignment="1">
      <alignment horizontal="right" vertical="top"/>
    </xf>
    <xf numFmtId="176" fontId="34" fillId="9" borderId="117" xfId="0" applyNumberFormat="1" applyFont="1" applyFill="1" applyBorder="1" applyAlignment="1">
      <alignment horizontal="right" vertical="top"/>
    </xf>
    <xf numFmtId="3" fontId="34" fillId="0" borderId="115" xfId="0" applyNumberFormat="1" applyFont="1" applyBorder="1" applyAlignment="1">
      <alignment horizontal="right" vertical="top"/>
    </xf>
    <xf numFmtId="176" fontId="34" fillId="9" borderId="118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3" fontId="36" fillId="9" borderId="121" xfId="0" applyNumberFormat="1" applyFont="1" applyFill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0" fontId="36" fillId="9" borderId="123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0" fontId="34" fillId="9" borderId="118" xfId="0" applyFont="1" applyFill="1" applyBorder="1" applyAlignment="1">
      <alignment horizontal="right" vertical="top"/>
    </xf>
    <xf numFmtId="176" fontId="36" fillId="9" borderId="122" xfId="0" applyNumberFormat="1" applyFont="1" applyFill="1" applyBorder="1" applyAlignment="1">
      <alignment horizontal="right" vertical="top"/>
    </xf>
    <xf numFmtId="176" fontId="36" fillId="9" borderId="123" xfId="0" applyNumberFormat="1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0" fontId="36" fillId="0" borderId="126" xfId="0" applyFont="1" applyBorder="1" applyAlignment="1">
      <alignment horizontal="right" vertical="top"/>
    </xf>
    <xf numFmtId="176" fontId="36" fillId="9" borderId="127" xfId="0" applyNumberFormat="1" applyFont="1" applyFill="1" applyBorder="1" applyAlignment="1">
      <alignment horizontal="right" vertical="top"/>
    </xf>
    <xf numFmtId="0" fontId="38" fillId="10" borderId="114" xfId="0" applyFont="1" applyFill="1" applyBorder="1" applyAlignment="1">
      <alignment vertical="top"/>
    </xf>
    <xf numFmtId="0" fontId="38" fillId="10" borderId="114" xfId="0" applyFont="1" applyFill="1" applyBorder="1" applyAlignment="1">
      <alignment vertical="top" indent="2"/>
    </xf>
    <xf numFmtId="0" fontId="38" fillId="10" borderId="114" xfId="0" applyFont="1" applyFill="1" applyBorder="1" applyAlignment="1">
      <alignment vertical="top" indent="4"/>
    </xf>
    <xf numFmtId="0" fontId="39" fillId="10" borderId="119" xfId="0" applyFont="1" applyFill="1" applyBorder="1" applyAlignment="1">
      <alignment vertical="top" indent="6"/>
    </xf>
    <xf numFmtId="0" fontId="38" fillId="10" borderId="114" xfId="0" applyFont="1" applyFill="1" applyBorder="1" applyAlignment="1">
      <alignment vertical="top" indent="8"/>
    </xf>
    <xf numFmtId="0" fontId="39" fillId="10" borderId="119" xfId="0" applyFont="1" applyFill="1" applyBorder="1" applyAlignment="1">
      <alignment vertical="top" indent="2"/>
    </xf>
    <xf numFmtId="0" fontId="38" fillId="10" borderId="114" xfId="0" applyFont="1" applyFill="1" applyBorder="1" applyAlignment="1">
      <alignment vertical="top" indent="6"/>
    </xf>
    <xf numFmtId="0" fontId="39" fillId="10" borderId="119" xfId="0" applyFont="1" applyFill="1" applyBorder="1" applyAlignment="1">
      <alignment vertical="top" indent="4"/>
    </xf>
    <xf numFmtId="0" fontId="39" fillId="10" borderId="119" xfId="0" applyFont="1" applyFill="1" applyBorder="1" applyAlignment="1">
      <alignment vertical="top"/>
    </xf>
    <xf numFmtId="0" fontId="33" fillId="10" borderId="114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8" xfId="53" applyNumberFormat="1" applyFont="1" applyFill="1" applyBorder="1" applyAlignment="1">
      <alignment horizontal="left"/>
    </xf>
    <xf numFmtId="164" fontId="32" fillId="2" borderId="129" xfId="53" applyNumberFormat="1" applyFont="1" applyFill="1" applyBorder="1" applyAlignment="1">
      <alignment horizontal="left"/>
    </xf>
    <xf numFmtId="164" fontId="32" fillId="2" borderId="58" xfId="53" applyNumberFormat="1" applyFont="1" applyFill="1" applyBorder="1" applyAlignment="1">
      <alignment horizontal="left"/>
    </xf>
    <xf numFmtId="3" fontId="32" fillId="2" borderId="58" xfId="53" applyNumberFormat="1" applyFont="1" applyFill="1" applyBorder="1" applyAlignment="1">
      <alignment horizontal="left"/>
    </xf>
    <xf numFmtId="3" fontId="32" fillId="2" borderId="66" xfId="53" applyNumberFormat="1" applyFont="1" applyFill="1" applyBorder="1" applyAlignment="1">
      <alignment horizontal="left"/>
    </xf>
    <xf numFmtId="0" fontId="33" fillId="0" borderId="79" xfId="0" applyFont="1" applyFill="1" applyBorder="1"/>
    <xf numFmtId="0" fontId="33" fillId="0" borderId="80" xfId="0" applyFont="1" applyFill="1" applyBorder="1"/>
    <xf numFmtId="164" fontId="33" fillId="0" borderId="80" xfId="0" applyNumberFormat="1" applyFont="1" applyFill="1" applyBorder="1"/>
    <xf numFmtId="164" fontId="33" fillId="0" borderId="80" xfId="0" applyNumberFormat="1" applyFont="1" applyFill="1" applyBorder="1" applyAlignment="1">
      <alignment horizontal="right"/>
    </xf>
    <xf numFmtId="3" fontId="33" fillId="0" borderId="80" xfId="0" applyNumberFormat="1" applyFont="1" applyFill="1" applyBorder="1"/>
    <xf numFmtId="3" fontId="33" fillId="0" borderId="81" xfId="0" applyNumberFormat="1" applyFont="1" applyFill="1" applyBorder="1"/>
    <xf numFmtId="0" fontId="33" fillId="0" borderId="89" xfId="0" applyFont="1" applyFill="1" applyBorder="1"/>
    <xf numFmtId="0" fontId="33" fillId="0" borderId="90" xfId="0" applyFont="1" applyFill="1" applyBorder="1"/>
    <xf numFmtId="164" fontId="33" fillId="0" borderId="90" xfId="0" applyNumberFormat="1" applyFont="1" applyFill="1" applyBorder="1"/>
    <xf numFmtId="164" fontId="33" fillId="0" borderId="90" xfId="0" applyNumberFormat="1" applyFont="1" applyFill="1" applyBorder="1" applyAlignment="1">
      <alignment horizontal="right"/>
    </xf>
    <xf numFmtId="3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33" fillId="0" borderId="82" xfId="0" applyFont="1" applyFill="1" applyBorder="1"/>
    <xf numFmtId="0" fontId="33" fillId="0" borderId="83" xfId="0" applyFont="1" applyFill="1" applyBorder="1"/>
    <xf numFmtId="164" fontId="33" fillId="0" borderId="83" xfId="0" applyNumberFormat="1" applyFont="1" applyFill="1" applyBorder="1"/>
    <xf numFmtId="164" fontId="33" fillId="0" borderId="83" xfId="0" applyNumberFormat="1" applyFont="1" applyFill="1" applyBorder="1" applyAlignment="1">
      <alignment horizontal="right"/>
    </xf>
    <xf numFmtId="3" fontId="33" fillId="0" borderId="83" xfId="0" applyNumberFormat="1" applyFont="1" applyFill="1" applyBorder="1"/>
    <xf numFmtId="3" fontId="33" fillId="0" borderId="84" xfId="0" applyNumberFormat="1" applyFont="1" applyFill="1" applyBorder="1"/>
    <xf numFmtId="0" fontId="3" fillId="2" borderId="128" xfId="79" applyFont="1" applyFill="1" applyBorder="1" applyAlignment="1">
      <alignment horizontal="left"/>
    </xf>
    <xf numFmtId="3" fontId="3" fillId="2" borderId="96" xfId="80" applyNumberFormat="1" applyFont="1" applyFill="1" applyBorder="1"/>
    <xf numFmtId="3" fontId="3" fillId="2" borderId="97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" fillId="2" borderId="97" xfId="80" applyNumberFormat="1" applyFont="1" applyFill="1" applyBorder="1"/>
    <xf numFmtId="9" fontId="33" fillId="0" borderId="80" xfId="0" applyNumberFormat="1" applyFont="1" applyFill="1" applyBorder="1"/>
    <xf numFmtId="9" fontId="33" fillId="0" borderId="81" xfId="0" applyNumberFormat="1" applyFont="1" applyFill="1" applyBorder="1"/>
    <xf numFmtId="9" fontId="33" fillId="0" borderId="90" xfId="0" applyNumberFormat="1" applyFont="1" applyFill="1" applyBorder="1"/>
    <xf numFmtId="9" fontId="33" fillId="0" borderId="91" xfId="0" applyNumberFormat="1" applyFont="1" applyFill="1" applyBorder="1"/>
    <xf numFmtId="9" fontId="33" fillId="0" borderId="83" xfId="0" applyNumberFormat="1" applyFont="1" applyFill="1" applyBorder="1"/>
    <xf numFmtId="9" fontId="33" fillId="0" borderId="84" xfId="0" applyNumberFormat="1" applyFont="1" applyFill="1" applyBorder="1"/>
    <xf numFmtId="0" fontId="40" fillId="0" borderId="110" xfId="0" applyFont="1" applyFill="1" applyBorder="1"/>
    <xf numFmtId="0" fontId="40" fillId="0" borderId="108" xfId="0" applyFont="1" applyFill="1" applyBorder="1" applyAlignment="1">
      <alignment horizontal="left" indent="1"/>
    </xf>
    <xf numFmtId="0" fontId="40" fillId="0" borderId="109" xfId="0" applyFont="1" applyFill="1" applyBorder="1" applyAlignment="1">
      <alignment horizontal="left" indent="1"/>
    </xf>
    <xf numFmtId="9" fontId="33" fillId="0" borderId="102" xfId="0" applyNumberFormat="1" applyFont="1" applyFill="1" applyBorder="1"/>
    <xf numFmtId="9" fontId="33" fillId="0" borderId="92" xfId="0" applyNumberFormat="1" applyFont="1" applyFill="1" applyBorder="1"/>
    <xf numFmtId="9" fontId="33" fillId="0" borderId="100" xfId="0" applyNumberFormat="1" applyFont="1" applyFill="1" applyBorder="1"/>
    <xf numFmtId="3" fontId="33" fillId="0" borderId="79" xfId="0" applyNumberFormat="1" applyFont="1" applyFill="1" applyBorder="1"/>
    <xf numFmtId="3" fontId="33" fillId="0" borderId="89" xfId="0" applyNumberFormat="1" applyFont="1" applyFill="1" applyBorder="1"/>
    <xf numFmtId="3" fontId="33" fillId="0" borderId="82" xfId="0" applyNumberFormat="1" applyFont="1" applyFill="1" applyBorder="1"/>
    <xf numFmtId="9" fontId="33" fillId="0" borderId="106" xfId="0" applyNumberFormat="1" applyFont="1" applyFill="1" applyBorder="1"/>
    <xf numFmtId="9" fontId="33" fillId="0" borderId="104" xfId="0" applyNumberFormat="1" applyFont="1" applyFill="1" applyBorder="1"/>
    <xf numFmtId="9" fontId="33" fillId="0" borderId="105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40" fillId="10" borderId="110" xfId="0" applyFont="1" applyFill="1" applyBorder="1"/>
    <xf numFmtId="0" fontId="40" fillId="10" borderId="108" xfId="0" applyFont="1" applyFill="1" applyBorder="1"/>
    <xf numFmtId="0" fontId="40" fillId="10" borderId="109" xfId="0" applyFont="1" applyFill="1" applyBorder="1"/>
    <xf numFmtId="0" fontId="3" fillId="2" borderId="96" xfId="80" applyFont="1" applyFill="1" applyBorder="1"/>
    <xf numFmtId="3" fontId="33" fillId="0" borderId="106" xfId="0" applyNumberFormat="1" applyFont="1" applyFill="1" applyBorder="1"/>
    <xf numFmtId="3" fontId="33" fillId="0" borderId="104" xfId="0" applyNumberFormat="1" applyFont="1" applyFill="1" applyBorder="1"/>
    <xf numFmtId="3" fontId="33" fillId="0" borderId="105" xfId="0" applyNumberFormat="1" applyFont="1" applyFill="1" applyBorder="1"/>
    <xf numFmtId="0" fontId="33" fillId="0" borderId="110" xfId="0" applyFont="1" applyFill="1" applyBorder="1"/>
    <xf numFmtId="0" fontId="33" fillId="0" borderId="108" xfId="0" applyFont="1" applyFill="1" applyBorder="1"/>
    <xf numFmtId="0" fontId="33" fillId="0" borderId="109" xfId="0" applyFont="1" applyFill="1" applyBorder="1"/>
    <xf numFmtId="3" fontId="33" fillId="0" borderId="102" xfId="0" applyNumberFormat="1" applyFont="1" applyFill="1" applyBorder="1"/>
    <xf numFmtId="3" fontId="33" fillId="0" borderId="92" xfId="0" applyNumberFormat="1" applyFont="1" applyFill="1" applyBorder="1"/>
    <xf numFmtId="3" fontId="33" fillId="0" borderId="100" xfId="0" applyNumberFormat="1" applyFont="1" applyFill="1" applyBorder="1"/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" fillId="2" borderId="133" xfId="80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5" xfId="0" applyFont="1" applyFill="1" applyBorder="1"/>
    <xf numFmtId="0" fontId="33" fillId="0" borderId="136" xfId="0" applyFont="1" applyFill="1" applyBorder="1"/>
    <xf numFmtId="0" fontId="33" fillId="0" borderId="136" xfId="0" applyFont="1" applyFill="1" applyBorder="1" applyAlignment="1">
      <alignment horizontal="right"/>
    </xf>
    <xf numFmtId="0" fontId="33" fillId="0" borderId="136" xfId="0" applyFont="1" applyFill="1" applyBorder="1" applyAlignment="1">
      <alignment horizontal="left"/>
    </xf>
    <xf numFmtId="164" fontId="33" fillId="0" borderId="136" xfId="0" applyNumberFormat="1" applyFont="1" applyFill="1" applyBorder="1"/>
    <xf numFmtId="165" fontId="33" fillId="0" borderId="136" xfId="0" applyNumberFormat="1" applyFont="1" applyFill="1" applyBorder="1"/>
    <xf numFmtId="9" fontId="33" fillId="0" borderId="136" xfId="0" applyNumberFormat="1" applyFont="1" applyFill="1" applyBorder="1"/>
    <xf numFmtId="9" fontId="33" fillId="0" borderId="137" xfId="0" applyNumberFormat="1" applyFont="1" applyFill="1" applyBorder="1"/>
    <xf numFmtId="0" fontId="33" fillId="0" borderId="138" xfId="0" applyFont="1" applyFill="1" applyBorder="1"/>
    <xf numFmtId="0" fontId="33" fillId="0" borderId="139" xfId="0" applyFont="1" applyFill="1" applyBorder="1"/>
    <xf numFmtId="0" fontId="33" fillId="0" borderId="139" xfId="0" applyFont="1" applyFill="1" applyBorder="1" applyAlignment="1">
      <alignment horizontal="right"/>
    </xf>
    <xf numFmtId="0" fontId="33" fillId="0" borderId="139" xfId="0" applyFont="1" applyFill="1" applyBorder="1" applyAlignment="1">
      <alignment horizontal="left"/>
    </xf>
    <xf numFmtId="164" fontId="33" fillId="0" borderId="139" xfId="0" applyNumberFormat="1" applyFont="1" applyFill="1" applyBorder="1"/>
    <xf numFmtId="165" fontId="33" fillId="0" borderId="139" xfId="0" applyNumberFormat="1" applyFont="1" applyFill="1" applyBorder="1"/>
    <xf numFmtId="9" fontId="33" fillId="0" borderId="139" xfId="0" applyNumberFormat="1" applyFont="1" applyFill="1" applyBorder="1"/>
    <xf numFmtId="9" fontId="33" fillId="0" borderId="140" xfId="0" applyNumberFormat="1" applyFont="1" applyFill="1" applyBorder="1"/>
    <xf numFmtId="0" fontId="40" fillId="2" borderId="52" xfId="0" applyFont="1" applyFill="1" applyBorder="1"/>
    <xf numFmtId="3" fontId="40" fillId="2" borderId="130" xfId="0" applyNumberFormat="1" applyFont="1" applyFill="1" applyBorder="1"/>
    <xf numFmtId="9" fontId="40" fillId="2" borderId="74" xfId="0" applyNumberFormat="1" applyFont="1" applyFill="1" applyBorder="1"/>
    <xf numFmtId="3" fontId="40" fillId="2" borderId="66" xfId="0" applyNumberFormat="1" applyFont="1" applyFill="1" applyBorder="1"/>
    <xf numFmtId="3" fontId="33" fillId="0" borderId="25" xfId="0" applyNumberFormat="1" applyFont="1" applyFill="1" applyBorder="1"/>
    <xf numFmtId="3" fontId="33" fillId="0" borderId="139" xfId="0" applyNumberFormat="1" applyFont="1" applyFill="1" applyBorder="1"/>
    <xf numFmtId="3" fontId="33" fillId="0" borderId="140" xfId="0" applyNumberFormat="1" applyFont="1" applyFill="1" applyBorder="1"/>
    <xf numFmtId="3" fontId="33" fillId="0" borderId="136" xfId="0" applyNumberFormat="1" applyFont="1" applyFill="1" applyBorder="1"/>
    <xf numFmtId="3" fontId="33" fillId="0" borderId="137" xfId="0" applyNumberFormat="1" applyFont="1" applyFill="1" applyBorder="1"/>
    <xf numFmtId="3" fontId="33" fillId="0" borderId="142" xfId="0" applyNumberFormat="1" applyFont="1" applyFill="1" applyBorder="1"/>
    <xf numFmtId="9" fontId="33" fillId="0" borderId="142" xfId="0" applyNumberFormat="1" applyFont="1" applyFill="1" applyBorder="1"/>
    <xf numFmtId="3" fontId="33" fillId="0" borderId="143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24" xfId="0" applyFont="1" applyFill="1" applyBorder="1"/>
    <xf numFmtId="0" fontId="40" fillId="0" borderId="138" xfId="0" applyFont="1" applyFill="1" applyBorder="1"/>
    <xf numFmtId="0" fontId="40" fillId="0" borderId="141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8" xfId="0" applyFont="1" applyFill="1" applyBorder="1"/>
    <xf numFmtId="0" fontId="40" fillId="2" borderId="129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164" fontId="33" fillId="0" borderId="29" xfId="0" applyNumberFormat="1" applyFont="1" applyFill="1" applyBorder="1" applyAlignment="1">
      <alignment horizontal="right"/>
    </xf>
    <xf numFmtId="164" fontId="33" fillId="0" borderId="139" xfId="0" applyNumberFormat="1" applyFont="1" applyFill="1" applyBorder="1" applyAlignment="1">
      <alignment horizontal="right"/>
    </xf>
    <xf numFmtId="164" fontId="33" fillId="0" borderId="136" xfId="0" applyNumberFormat="1" applyFont="1" applyFill="1" applyBorder="1" applyAlignment="1">
      <alignment horizontal="right"/>
    </xf>
    <xf numFmtId="0" fontId="0" fillId="0" borderId="147" xfId="0" applyBorder="1" applyAlignment="1"/>
    <xf numFmtId="173" fontId="40" fillId="4" borderId="148" xfId="0" applyNumberFormat="1" applyFont="1" applyFill="1" applyBorder="1" applyAlignment="1">
      <alignment horizontal="center"/>
    </xf>
    <xf numFmtId="0" fontId="0" fillId="0" borderId="148" xfId="0" applyBorder="1" applyAlignment="1">
      <alignment horizontal="center"/>
    </xf>
    <xf numFmtId="0" fontId="0" fillId="0" borderId="149" xfId="0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0" fontId="0" fillId="0" borderId="150" xfId="0" applyBorder="1" applyAlignment="1">
      <alignment horizontal="right"/>
    </xf>
    <xf numFmtId="173" fontId="33" fillId="0" borderId="150" xfId="0" applyNumberFormat="1" applyFont="1" applyBorder="1" applyAlignment="1">
      <alignment horizontal="right" wrapText="1"/>
    </xf>
    <xf numFmtId="0" fontId="0" fillId="0" borderId="150" xfId="0" applyBorder="1" applyAlignment="1">
      <alignment horizontal="right" wrapText="1"/>
    </xf>
    <xf numFmtId="175" fontId="33" fillId="0" borderId="150" xfId="0" applyNumberFormat="1" applyFont="1" applyBorder="1" applyAlignment="1">
      <alignment horizontal="right"/>
    </xf>
    <xf numFmtId="0" fontId="0" fillId="0" borderId="151" xfId="0" applyBorder="1" applyAlignment="1">
      <alignment horizontal="right"/>
    </xf>
    <xf numFmtId="173" fontId="33" fillId="0" borderId="152" xfId="0" applyNumberFormat="1" applyFont="1" applyBorder="1" applyAlignment="1">
      <alignment horizontal="right"/>
    </xf>
    <xf numFmtId="0" fontId="0" fillId="0" borderId="152" xfId="0" applyBorder="1" applyAlignment="1">
      <alignment horizontal="right"/>
    </xf>
    <xf numFmtId="0" fontId="40" fillId="2" borderId="106" xfId="0" applyFont="1" applyFill="1" applyBorder="1" applyAlignment="1">
      <alignment horizontal="center" vertical="center"/>
    </xf>
    <xf numFmtId="0" fontId="56" fillId="2" borderId="146" xfId="0" applyFont="1" applyFill="1" applyBorder="1" applyAlignment="1">
      <alignment horizontal="center" vertical="center" wrapText="1"/>
    </xf>
    <xf numFmtId="174" fontId="33" fillId="2" borderId="106" xfId="0" applyNumberFormat="1" applyFont="1" applyFill="1" applyBorder="1" applyAlignment="1"/>
    <xf numFmtId="174" fontId="33" fillId="0" borderId="145" xfId="0" applyNumberFormat="1" applyFont="1" applyBorder="1"/>
    <xf numFmtId="174" fontId="33" fillId="0" borderId="154" xfId="0" applyNumberFormat="1" applyFont="1" applyBorder="1"/>
    <xf numFmtId="173" fontId="40" fillId="4" borderId="106" xfId="0" applyNumberFormat="1" applyFont="1" applyFill="1" applyBorder="1" applyAlignment="1"/>
    <xf numFmtId="173" fontId="33" fillId="0" borderId="145" xfId="0" applyNumberFormat="1" applyFont="1" applyBorder="1"/>
    <xf numFmtId="173" fontId="33" fillId="0" borderId="146" xfId="0" applyNumberFormat="1" applyFont="1" applyBorder="1"/>
    <xf numFmtId="173" fontId="40" fillId="2" borderId="106" xfId="0" applyNumberFormat="1" applyFont="1" applyFill="1" applyBorder="1" applyAlignment="1"/>
    <xf numFmtId="173" fontId="33" fillId="0" borderId="154" xfId="0" applyNumberFormat="1" applyFont="1" applyBorder="1"/>
    <xf numFmtId="173" fontId="33" fillId="0" borderId="106" xfId="0" applyNumberFormat="1" applyFont="1" applyBorder="1"/>
    <xf numFmtId="173" fontId="40" fillId="4" borderId="155" xfId="0" applyNumberFormat="1" applyFont="1" applyFill="1" applyBorder="1" applyAlignment="1">
      <alignment horizontal="center"/>
    </xf>
    <xf numFmtId="173" fontId="33" fillId="0" borderId="156" xfId="0" applyNumberFormat="1" applyFont="1" applyBorder="1" applyAlignment="1">
      <alignment horizontal="right"/>
    </xf>
    <xf numFmtId="175" fontId="33" fillId="0" borderId="156" xfId="0" applyNumberFormat="1" applyFont="1" applyBorder="1" applyAlignment="1">
      <alignment horizontal="right"/>
    </xf>
    <xf numFmtId="173" fontId="33" fillId="0" borderId="157" xfId="0" applyNumberFormat="1" applyFont="1" applyBorder="1" applyAlignment="1">
      <alignment horizontal="right"/>
    </xf>
    <xf numFmtId="0" fontId="0" fillId="0" borderId="153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8" xfId="0" applyNumberFormat="1" applyFont="1" applyBorder="1" applyAlignment="1">
      <alignment horizontal="right"/>
    </xf>
    <xf numFmtId="175" fontId="33" fillId="0" borderId="158" xfId="0" applyNumberFormat="1" applyFont="1" applyBorder="1" applyAlignment="1">
      <alignment horizontal="right"/>
    </xf>
    <xf numFmtId="173" fontId="33" fillId="0" borderId="144" xfId="0" applyNumberFormat="1" applyFont="1" applyBorder="1" applyAlignment="1">
      <alignment horizontal="right"/>
    </xf>
    <xf numFmtId="0" fontId="33" fillId="2" borderId="66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27" xfId="0" applyNumberFormat="1" applyFont="1" applyFill="1" applyBorder="1"/>
    <xf numFmtId="0" fontId="33" fillId="0" borderId="27" xfId="0" applyFont="1" applyFill="1" applyBorder="1"/>
    <xf numFmtId="0" fontId="40" fillId="0" borderId="19" xfId="0" applyFont="1" applyFill="1" applyBorder="1"/>
    <xf numFmtId="169" fontId="33" fillId="0" borderId="80" xfId="0" applyNumberFormat="1" applyFont="1" applyFill="1" applyBorder="1"/>
    <xf numFmtId="169" fontId="33" fillId="0" borderId="139" xfId="0" applyNumberFormat="1" applyFont="1" applyFill="1" applyBorder="1"/>
    <xf numFmtId="169" fontId="33" fillId="0" borderId="136" xfId="0" applyNumberFormat="1" applyFont="1" applyFill="1" applyBorder="1"/>
    <xf numFmtId="0" fontId="40" fillId="0" borderId="135" xfId="0" applyFont="1" applyFill="1" applyBorder="1"/>
    <xf numFmtId="169" fontId="33" fillId="0" borderId="25" xfId="0" applyNumberFormat="1" applyFont="1" applyFill="1" applyBorder="1"/>
    <xf numFmtId="169" fontId="33" fillId="0" borderId="140" xfId="0" applyNumberFormat="1" applyFont="1" applyFill="1" applyBorder="1"/>
    <xf numFmtId="169" fontId="33" fillId="0" borderId="137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  <xf numFmtId="0" fontId="30" fillId="2" borderId="31" xfId="0" applyFont="1" applyFill="1" applyBorder="1" applyAlignment="1">
      <alignment vertical="center" wrapText="1"/>
    </xf>
    <xf numFmtId="0" fontId="32" fillId="2" borderId="15" xfId="26" applyNumberFormat="1" applyFont="1" applyFill="1" applyBorder="1" applyAlignment="1">
      <alignment horizontal="right"/>
    </xf>
    <xf numFmtId="0" fontId="32" fillId="2" borderId="0" xfId="26" applyNumberFormat="1" applyFont="1" applyFill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9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0.28108732677166809</c:v>
                </c:pt>
                <c:pt idx="1">
                  <c:v>0.31599758714499854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13837168"/>
        <c:axId val="-111383662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0.24100357016346974</c:v>
                </c:pt>
                <c:pt idx="1">
                  <c:v>0.24100357016346974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99184944"/>
        <c:axId val="-899185488"/>
      </c:scatterChart>
      <c:catAx>
        <c:axId val="-1113837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11383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138366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113837168"/>
        <c:crosses val="autoZero"/>
        <c:crossBetween val="between"/>
      </c:valAx>
      <c:valAx>
        <c:axId val="-89918494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899185488"/>
        <c:crosses val="max"/>
        <c:crossBetween val="midCat"/>
      </c:valAx>
      <c:valAx>
        <c:axId val="-8991854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89918494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3" bestFit="1" customWidth="1"/>
    <col min="2" max="2" width="102.21875" style="133" bestFit="1" customWidth="1"/>
    <col min="3" max="3" width="16.109375" style="47" hidden="1" customWidth="1"/>
    <col min="4" max="16384" width="8.88671875" style="133"/>
  </cols>
  <sheetData>
    <row r="1" spans="1:3" ht="18.600000000000001" customHeight="1" thickBot="1" x14ac:dyDescent="0.4">
      <c r="A1" s="315" t="s">
        <v>109</v>
      </c>
      <c r="B1" s="315"/>
    </row>
    <row r="2" spans="1:3" ht="14.4" customHeight="1" thickBot="1" x14ac:dyDescent="0.35">
      <c r="A2" s="239" t="s">
        <v>251</v>
      </c>
      <c r="B2" s="46"/>
    </row>
    <row r="3" spans="1:3" ht="14.4" customHeight="1" thickBot="1" x14ac:dyDescent="0.35">
      <c r="A3" s="311" t="s">
        <v>144</v>
      </c>
      <c r="B3" s="312"/>
    </row>
    <row r="4" spans="1:3" ht="14.4" customHeight="1" x14ac:dyDescent="0.3">
      <c r="A4" s="148" t="str">
        <f t="shared" ref="A4:A8" si="0">HYPERLINK("#'"&amp;C4&amp;"'!A1",C4)</f>
        <v>Motivace</v>
      </c>
      <c r="B4" s="89" t="s">
        <v>124</v>
      </c>
      <c r="C4" s="47" t="s">
        <v>125</v>
      </c>
    </row>
    <row r="5" spans="1:3" ht="14.4" customHeight="1" x14ac:dyDescent="0.3">
      <c r="A5" s="149" t="str">
        <f t="shared" si="0"/>
        <v>HI</v>
      </c>
      <c r="B5" s="90" t="s">
        <v>140</v>
      </c>
      <c r="C5" s="47" t="s">
        <v>112</v>
      </c>
    </row>
    <row r="6" spans="1:3" ht="14.4" customHeight="1" x14ac:dyDescent="0.3">
      <c r="A6" s="150" t="str">
        <f t="shared" si="0"/>
        <v>HI Graf</v>
      </c>
      <c r="B6" s="91" t="s">
        <v>105</v>
      </c>
      <c r="C6" s="47" t="s">
        <v>113</v>
      </c>
    </row>
    <row r="7" spans="1:3" ht="14.4" customHeight="1" x14ac:dyDescent="0.3">
      <c r="A7" s="150" t="str">
        <f t="shared" si="0"/>
        <v>Man Tab</v>
      </c>
      <c r="B7" s="91" t="s">
        <v>253</v>
      </c>
      <c r="C7" s="47" t="s">
        <v>114</v>
      </c>
    </row>
    <row r="8" spans="1:3" ht="14.4" customHeight="1" thickBot="1" x14ac:dyDescent="0.35">
      <c r="A8" s="151" t="str">
        <f t="shared" si="0"/>
        <v>HV</v>
      </c>
      <c r="B8" s="92" t="s">
        <v>61</v>
      </c>
      <c r="C8" s="47" t="s">
        <v>66</v>
      </c>
    </row>
    <row r="9" spans="1:3" ht="14.4" customHeight="1" thickBot="1" x14ac:dyDescent="0.35">
      <c r="A9" s="93"/>
      <c r="B9" s="93"/>
    </row>
    <row r="10" spans="1:3" ht="14.4" customHeight="1" thickBot="1" x14ac:dyDescent="0.35">
      <c r="A10" s="313" t="s">
        <v>110</v>
      </c>
      <c r="B10" s="312"/>
    </row>
    <row r="11" spans="1:3" ht="14.4" customHeight="1" x14ac:dyDescent="0.3">
      <c r="A11" s="152" t="str">
        <f t="shared" ref="A11" si="1">HYPERLINK("#'"&amp;C11&amp;"'!A1",C11)</f>
        <v>Léky Žádanky</v>
      </c>
      <c r="B11" s="90" t="s">
        <v>141</v>
      </c>
      <c r="C11" s="47" t="s">
        <v>115</v>
      </c>
    </row>
    <row r="12" spans="1:3" ht="14.4" customHeight="1" x14ac:dyDescent="0.3">
      <c r="A12" s="150" t="str">
        <f t="shared" ref="A12:A21" si="2">HYPERLINK("#'"&amp;C12&amp;"'!A1",C12)</f>
        <v>LŽ Detail</v>
      </c>
      <c r="B12" s="91" t="s">
        <v>164</v>
      </c>
      <c r="C12" s="47" t="s">
        <v>116</v>
      </c>
    </row>
    <row r="13" spans="1:3" ht="14.4" customHeight="1" x14ac:dyDescent="0.3">
      <c r="A13" s="150" t="str">
        <f t="shared" si="2"/>
        <v>LŽ Statim</v>
      </c>
      <c r="B13" s="299" t="s">
        <v>205</v>
      </c>
      <c r="C13" s="47" t="s">
        <v>215</v>
      </c>
    </row>
    <row r="14" spans="1:3" ht="14.4" customHeight="1" x14ac:dyDescent="0.3">
      <c r="A14" s="150" t="str">
        <f t="shared" si="2"/>
        <v>Léky Recepty</v>
      </c>
      <c r="B14" s="91" t="s">
        <v>142</v>
      </c>
      <c r="C14" s="47" t="s">
        <v>117</v>
      </c>
    </row>
    <row r="15" spans="1:3" ht="14.4" customHeight="1" x14ac:dyDescent="0.3">
      <c r="A15" s="150" t="str">
        <f t="shared" si="2"/>
        <v>LRp Lékaři</v>
      </c>
      <c r="B15" s="91" t="s">
        <v>150</v>
      </c>
      <c r="C15" s="47" t="s">
        <v>151</v>
      </c>
    </row>
    <row r="16" spans="1:3" ht="14.4" customHeight="1" x14ac:dyDescent="0.3">
      <c r="A16" s="150" t="str">
        <f t="shared" si="2"/>
        <v>LRp Detail</v>
      </c>
      <c r="B16" s="91" t="s">
        <v>873</v>
      </c>
      <c r="C16" s="47" t="s">
        <v>118</v>
      </c>
    </row>
    <row r="17" spans="1:3" ht="28.8" customHeight="1" x14ac:dyDescent="0.3">
      <c r="A17" s="150" t="str">
        <f t="shared" si="2"/>
        <v>LRp PL</v>
      </c>
      <c r="B17" s="553" t="s">
        <v>874</v>
      </c>
      <c r="C17" s="47" t="s">
        <v>147</v>
      </c>
    </row>
    <row r="18" spans="1:3" ht="14.4" customHeight="1" x14ac:dyDescent="0.3">
      <c r="A18" s="150" t="str">
        <f>HYPERLINK("#'"&amp;C18&amp;"'!A1",C18)</f>
        <v>LRp PL Detail</v>
      </c>
      <c r="B18" s="91" t="s">
        <v>895</v>
      </c>
      <c r="C18" s="47" t="s">
        <v>148</v>
      </c>
    </row>
    <row r="19" spans="1:3" ht="14.4" customHeight="1" x14ac:dyDescent="0.3">
      <c r="A19" s="152" t="str">
        <f t="shared" ref="A19" si="3">HYPERLINK("#'"&amp;C19&amp;"'!A1",C19)</f>
        <v>Materiál Žádanky</v>
      </c>
      <c r="B19" s="91" t="s">
        <v>143</v>
      </c>
      <c r="C19" s="47" t="s">
        <v>119</v>
      </c>
    </row>
    <row r="20" spans="1:3" ht="14.4" customHeight="1" x14ac:dyDescent="0.3">
      <c r="A20" s="150" t="str">
        <f t="shared" si="2"/>
        <v>MŽ Detail</v>
      </c>
      <c r="B20" s="91" t="s">
        <v>994</v>
      </c>
      <c r="C20" s="47" t="s">
        <v>120</v>
      </c>
    </row>
    <row r="21" spans="1:3" ht="14.4" customHeight="1" thickBot="1" x14ac:dyDescent="0.35">
      <c r="A21" s="152" t="str">
        <f t="shared" si="2"/>
        <v>Osobní náklady</v>
      </c>
      <c r="B21" s="91" t="s">
        <v>107</v>
      </c>
      <c r="C21" s="47" t="s">
        <v>121</v>
      </c>
    </row>
    <row r="22" spans="1:3" ht="14.4" customHeight="1" thickBot="1" x14ac:dyDescent="0.35">
      <c r="A22" s="94"/>
      <c r="B22" s="94"/>
    </row>
    <row r="23" spans="1:3" ht="14.4" customHeight="1" thickBot="1" x14ac:dyDescent="0.35">
      <c r="A23" s="314" t="s">
        <v>111</v>
      </c>
      <c r="B23" s="312"/>
    </row>
    <row r="24" spans="1:3" ht="14.4" customHeight="1" x14ac:dyDescent="0.3">
      <c r="A24" s="153" t="str">
        <f t="shared" ref="A24:A30" si="4">HYPERLINK("#'"&amp;C24&amp;"'!A1",C24)</f>
        <v>ZV Vykáz.-A</v>
      </c>
      <c r="B24" s="90" t="s">
        <v>997</v>
      </c>
      <c r="C24" s="47" t="s">
        <v>126</v>
      </c>
    </row>
    <row r="25" spans="1:3" ht="14.4" customHeight="1" x14ac:dyDescent="0.3">
      <c r="A25" s="150" t="str">
        <f t="shared" ref="A25" si="5">HYPERLINK("#'"&amp;C25&amp;"'!A1",C25)</f>
        <v>ZV Vykáz.-A Lékaři</v>
      </c>
      <c r="B25" s="91" t="s">
        <v>1002</v>
      </c>
      <c r="C25" s="47" t="s">
        <v>218</v>
      </c>
    </row>
    <row r="26" spans="1:3" ht="14.4" customHeight="1" x14ac:dyDescent="0.3">
      <c r="A26" s="150" t="str">
        <f t="shared" si="4"/>
        <v>ZV Vykáz.-A Detail</v>
      </c>
      <c r="B26" s="91" t="s">
        <v>1166</v>
      </c>
      <c r="C26" s="47" t="s">
        <v>127</v>
      </c>
    </row>
    <row r="27" spans="1:3" ht="14.4" customHeight="1" x14ac:dyDescent="0.3">
      <c r="A27" s="150" t="str">
        <f t="shared" si="4"/>
        <v>ZV Vykáz.-H</v>
      </c>
      <c r="B27" s="91" t="s">
        <v>130</v>
      </c>
      <c r="C27" s="47" t="s">
        <v>128</v>
      </c>
    </row>
    <row r="28" spans="1:3" ht="14.4" customHeight="1" x14ac:dyDescent="0.3">
      <c r="A28" s="150" t="str">
        <f t="shared" si="4"/>
        <v>ZV Vykáz.-H Detail</v>
      </c>
      <c r="B28" s="91" t="s">
        <v>1216</v>
      </c>
      <c r="C28" s="47" t="s">
        <v>129</v>
      </c>
    </row>
    <row r="29" spans="1:3" ht="14.4" customHeight="1" x14ac:dyDescent="0.3">
      <c r="A29" s="150" t="str">
        <f t="shared" si="4"/>
        <v>ZV Vyžád.</v>
      </c>
      <c r="B29" s="91" t="s">
        <v>131</v>
      </c>
      <c r="C29" s="47" t="s">
        <v>123</v>
      </c>
    </row>
    <row r="30" spans="1:3" ht="14.4" customHeight="1" x14ac:dyDescent="0.3">
      <c r="A30" s="150" t="str">
        <f t="shared" si="4"/>
        <v>ZV Vyžád. Detail</v>
      </c>
      <c r="B30" s="91" t="s">
        <v>1232</v>
      </c>
      <c r="C30" s="47" t="s">
        <v>122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0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3" customWidth="1"/>
    <col min="2" max="2" width="34.21875" style="133" customWidth="1"/>
    <col min="3" max="3" width="11.109375" style="133" bestFit="1" customWidth="1"/>
    <col min="4" max="4" width="7.33203125" style="133" bestFit="1" customWidth="1"/>
    <col min="5" max="5" width="11.109375" style="133" bestFit="1" customWidth="1"/>
    <col min="6" max="6" width="5.33203125" style="133" customWidth="1"/>
    <col min="7" max="7" width="7.33203125" style="133" bestFit="1" customWidth="1"/>
    <col min="8" max="8" width="5.33203125" style="133" customWidth="1"/>
    <col min="9" max="9" width="11.109375" style="133" customWidth="1"/>
    <col min="10" max="10" width="5.33203125" style="133" customWidth="1"/>
    <col min="11" max="11" width="7.33203125" style="133" customWidth="1"/>
    <col min="12" max="12" width="5.33203125" style="133" customWidth="1"/>
    <col min="13" max="13" width="0" style="133" hidden="1" customWidth="1"/>
    <col min="14" max="16384" width="8.88671875" style="133"/>
  </cols>
  <sheetData>
    <row r="1" spans="1:14" ht="18.600000000000001" customHeight="1" thickBot="1" x14ac:dyDescent="0.4">
      <c r="A1" s="353" t="s">
        <v>142</v>
      </c>
      <c r="B1" s="353"/>
      <c r="C1" s="353"/>
      <c r="D1" s="353"/>
      <c r="E1" s="353"/>
      <c r="F1" s="353"/>
      <c r="G1" s="353"/>
      <c r="H1" s="353"/>
      <c r="I1" s="316"/>
      <c r="J1" s="316"/>
      <c r="K1" s="316"/>
      <c r="L1" s="316"/>
    </row>
    <row r="2" spans="1:14" ht="14.4" customHeight="1" thickBot="1" x14ac:dyDescent="0.35">
      <c r="A2" s="239" t="s">
        <v>251</v>
      </c>
      <c r="B2" s="210"/>
      <c r="C2" s="210"/>
      <c r="D2" s="210"/>
      <c r="E2" s="210"/>
      <c r="F2" s="210"/>
      <c r="G2" s="210"/>
      <c r="H2" s="210"/>
    </row>
    <row r="3" spans="1:14" ht="14.4" customHeight="1" thickBot="1" x14ac:dyDescent="0.35">
      <c r="A3" s="147"/>
      <c r="B3" s="147"/>
      <c r="C3" s="370" t="s">
        <v>15</v>
      </c>
      <c r="D3" s="369"/>
      <c r="E3" s="369" t="s">
        <v>16</v>
      </c>
      <c r="F3" s="369"/>
      <c r="G3" s="369"/>
      <c r="H3" s="369"/>
      <c r="I3" s="369" t="s">
        <v>149</v>
      </c>
      <c r="J3" s="369"/>
      <c r="K3" s="369"/>
      <c r="L3" s="371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38">
        <v>29</v>
      </c>
      <c r="B5" s="439" t="s">
        <v>430</v>
      </c>
      <c r="C5" s="442">
        <v>83189.640000000014</v>
      </c>
      <c r="D5" s="442">
        <v>274</v>
      </c>
      <c r="E5" s="442">
        <v>61842.150000000009</v>
      </c>
      <c r="F5" s="490">
        <v>0.74338763817225317</v>
      </c>
      <c r="G5" s="442">
        <v>188</v>
      </c>
      <c r="H5" s="490">
        <v>0.68613138686131392</v>
      </c>
      <c r="I5" s="442">
        <v>21347.490000000005</v>
      </c>
      <c r="J5" s="490">
        <v>0.25661236182774683</v>
      </c>
      <c r="K5" s="442">
        <v>86</v>
      </c>
      <c r="L5" s="490">
        <v>0.31386861313868614</v>
      </c>
      <c r="M5" s="442" t="s">
        <v>69</v>
      </c>
      <c r="N5" s="154"/>
    </row>
    <row r="6" spans="1:14" ht="14.4" customHeight="1" x14ac:dyDescent="0.3">
      <c r="A6" s="438">
        <v>29</v>
      </c>
      <c r="B6" s="439" t="s">
        <v>545</v>
      </c>
      <c r="C6" s="442">
        <v>29617.090000000011</v>
      </c>
      <c r="D6" s="442">
        <v>158</v>
      </c>
      <c r="E6" s="442">
        <v>17810.370000000006</v>
      </c>
      <c r="F6" s="490">
        <v>0.60135448823635274</v>
      </c>
      <c r="G6" s="442">
        <v>97</v>
      </c>
      <c r="H6" s="490">
        <v>0.61392405063291144</v>
      </c>
      <c r="I6" s="442">
        <v>11806.720000000003</v>
      </c>
      <c r="J6" s="490">
        <v>0.39864551176364721</v>
      </c>
      <c r="K6" s="442">
        <v>61</v>
      </c>
      <c r="L6" s="490">
        <v>0.38607594936708861</v>
      </c>
      <c r="M6" s="442" t="s">
        <v>1</v>
      </c>
      <c r="N6" s="154"/>
    </row>
    <row r="7" spans="1:14" ht="14.4" customHeight="1" x14ac:dyDescent="0.3">
      <c r="A7" s="438">
        <v>29</v>
      </c>
      <c r="B7" s="439" t="s">
        <v>546</v>
      </c>
      <c r="C7" s="442">
        <v>0</v>
      </c>
      <c r="D7" s="442">
        <v>5</v>
      </c>
      <c r="E7" s="442">
        <v>0</v>
      </c>
      <c r="F7" s="490" t="s">
        <v>431</v>
      </c>
      <c r="G7" s="442">
        <v>4</v>
      </c>
      <c r="H7" s="490">
        <v>0.8</v>
      </c>
      <c r="I7" s="442">
        <v>0</v>
      </c>
      <c r="J7" s="490" t="s">
        <v>431</v>
      </c>
      <c r="K7" s="442">
        <v>1</v>
      </c>
      <c r="L7" s="490">
        <v>0.2</v>
      </c>
      <c r="M7" s="442" t="s">
        <v>1</v>
      </c>
      <c r="N7" s="154"/>
    </row>
    <row r="8" spans="1:14" ht="14.4" customHeight="1" x14ac:dyDescent="0.3">
      <c r="A8" s="438">
        <v>29</v>
      </c>
      <c r="B8" s="439" t="s">
        <v>547</v>
      </c>
      <c r="C8" s="442">
        <v>53572.55</v>
      </c>
      <c r="D8" s="442">
        <v>111</v>
      </c>
      <c r="E8" s="442">
        <v>44031.78</v>
      </c>
      <c r="F8" s="490">
        <v>0.82190935469750825</v>
      </c>
      <c r="G8" s="442">
        <v>87</v>
      </c>
      <c r="H8" s="490">
        <v>0.78378378378378377</v>
      </c>
      <c r="I8" s="442">
        <v>9540.77</v>
      </c>
      <c r="J8" s="490">
        <v>0.17809064530249166</v>
      </c>
      <c r="K8" s="442">
        <v>24</v>
      </c>
      <c r="L8" s="490">
        <v>0.21621621621621623</v>
      </c>
      <c r="M8" s="442" t="s">
        <v>1</v>
      </c>
      <c r="N8" s="154"/>
    </row>
    <row r="9" spans="1:14" ht="14.4" customHeight="1" x14ac:dyDescent="0.3">
      <c r="A9" s="438" t="s">
        <v>429</v>
      </c>
      <c r="B9" s="439" t="s">
        <v>3</v>
      </c>
      <c r="C9" s="442">
        <v>83189.640000000014</v>
      </c>
      <c r="D9" s="442">
        <v>274</v>
      </c>
      <c r="E9" s="442">
        <v>61842.150000000009</v>
      </c>
      <c r="F9" s="490">
        <v>0.74338763817225317</v>
      </c>
      <c r="G9" s="442">
        <v>188</v>
      </c>
      <c r="H9" s="490">
        <v>0.68613138686131392</v>
      </c>
      <c r="I9" s="442">
        <v>21347.490000000005</v>
      </c>
      <c r="J9" s="490">
        <v>0.25661236182774683</v>
      </c>
      <c r="K9" s="442">
        <v>86</v>
      </c>
      <c r="L9" s="490">
        <v>0.31386861313868614</v>
      </c>
      <c r="M9" s="442" t="s">
        <v>433</v>
      </c>
      <c r="N9" s="154"/>
    </row>
    <row r="11" spans="1:14" ht="14.4" customHeight="1" x14ac:dyDescent="0.3">
      <c r="A11" s="438">
        <v>29</v>
      </c>
      <c r="B11" s="439" t="s">
        <v>430</v>
      </c>
      <c r="C11" s="442" t="s">
        <v>431</v>
      </c>
      <c r="D11" s="442" t="s">
        <v>431</v>
      </c>
      <c r="E11" s="442" t="s">
        <v>431</v>
      </c>
      <c r="F11" s="490" t="s">
        <v>431</v>
      </c>
      <c r="G11" s="442" t="s">
        <v>431</v>
      </c>
      <c r="H11" s="490" t="s">
        <v>431</v>
      </c>
      <c r="I11" s="442" t="s">
        <v>431</v>
      </c>
      <c r="J11" s="490" t="s">
        <v>431</v>
      </c>
      <c r="K11" s="442" t="s">
        <v>431</v>
      </c>
      <c r="L11" s="490" t="s">
        <v>431</v>
      </c>
      <c r="M11" s="442" t="s">
        <v>69</v>
      </c>
      <c r="N11" s="154"/>
    </row>
    <row r="12" spans="1:14" ht="14.4" customHeight="1" x14ac:dyDescent="0.3">
      <c r="A12" s="438" t="s">
        <v>548</v>
      </c>
      <c r="B12" s="439" t="s">
        <v>545</v>
      </c>
      <c r="C12" s="442">
        <v>29617.090000000011</v>
      </c>
      <c r="D12" s="442">
        <v>158</v>
      </c>
      <c r="E12" s="442">
        <v>17810.370000000006</v>
      </c>
      <c r="F12" s="490">
        <v>0.60135448823635274</v>
      </c>
      <c r="G12" s="442">
        <v>97</v>
      </c>
      <c r="H12" s="490">
        <v>0.61392405063291144</v>
      </c>
      <c r="I12" s="442">
        <v>11806.720000000003</v>
      </c>
      <c r="J12" s="490">
        <v>0.39864551176364721</v>
      </c>
      <c r="K12" s="442">
        <v>61</v>
      </c>
      <c r="L12" s="490">
        <v>0.38607594936708861</v>
      </c>
      <c r="M12" s="442" t="s">
        <v>1</v>
      </c>
      <c r="N12" s="154"/>
    </row>
    <row r="13" spans="1:14" ht="14.4" customHeight="1" x14ac:dyDescent="0.3">
      <c r="A13" s="438" t="s">
        <v>548</v>
      </c>
      <c r="B13" s="439" t="s">
        <v>546</v>
      </c>
      <c r="C13" s="442">
        <v>0</v>
      </c>
      <c r="D13" s="442">
        <v>5</v>
      </c>
      <c r="E13" s="442">
        <v>0</v>
      </c>
      <c r="F13" s="490" t="s">
        <v>431</v>
      </c>
      <c r="G13" s="442">
        <v>4</v>
      </c>
      <c r="H13" s="490">
        <v>0.8</v>
      </c>
      <c r="I13" s="442">
        <v>0</v>
      </c>
      <c r="J13" s="490" t="s">
        <v>431</v>
      </c>
      <c r="K13" s="442">
        <v>1</v>
      </c>
      <c r="L13" s="490">
        <v>0.2</v>
      </c>
      <c r="M13" s="442" t="s">
        <v>1</v>
      </c>
      <c r="N13" s="154"/>
    </row>
    <row r="14" spans="1:14" ht="14.4" customHeight="1" x14ac:dyDescent="0.3">
      <c r="A14" s="438" t="s">
        <v>548</v>
      </c>
      <c r="B14" s="439" t="s">
        <v>547</v>
      </c>
      <c r="C14" s="442">
        <v>53572.55</v>
      </c>
      <c r="D14" s="442">
        <v>111</v>
      </c>
      <c r="E14" s="442">
        <v>44031.78</v>
      </c>
      <c r="F14" s="490">
        <v>0.82190935469750825</v>
      </c>
      <c r="G14" s="442">
        <v>87</v>
      </c>
      <c r="H14" s="490">
        <v>0.78378378378378377</v>
      </c>
      <c r="I14" s="442">
        <v>9540.77</v>
      </c>
      <c r="J14" s="490">
        <v>0.17809064530249166</v>
      </c>
      <c r="K14" s="442">
        <v>24</v>
      </c>
      <c r="L14" s="490">
        <v>0.21621621621621623</v>
      </c>
      <c r="M14" s="442" t="s">
        <v>1</v>
      </c>
      <c r="N14" s="154"/>
    </row>
    <row r="15" spans="1:14" ht="14.4" customHeight="1" x14ac:dyDescent="0.3">
      <c r="A15" s="438" t="s">
        <v>548</v>
      </c>
      <c r="B15" s="439" t="s">
        <v>549</v>
      </c>
      <c r="C15" s="442">
        <v>83189.640000000014</v>
      </c>
      <c r="D15" s="442">
        <v>274</v>
      </c>
      <c r="E15" s="442">
        <v>61842.150000000009</v>
      </c>
      <c r="F15" s="490">
        <v>0.74338763817225317</v>
      </c>
      <c r="G15" s="442">
        <v>188</v>
      </c>
      <c r="H15" s="490">
        <v>0.68613138686131392</v>
      </c>
      <c r="I15" s="442">
        <v>21347.490000000005</v>
      </c>
      <c r="J15" s="490">
        <v>0.25661236182774683</v>
      </c>
      <c r="K15" s="442">
        <v>86</v>
      </c>
      <c r="L15" s="490">
        <v>0.31386861313868614</v>
      </c>
      <c r="M15" s="442" t="s">
        <v>437</v>
      </c>
      <c r="N15" s="154"/>
    </row>
    <row r="16" spans="1:14" ht="14.4" customHeight="1" x14ac:dyDescent="0.3">
      <c r="A16" s="438" t="s">
        <v>431</v>
      </c>
      <c r="B16" s="439" t="s">
        <v>431</v>
      </c>
      <c r="C16" s="442" t="s">
        <v>431</v>
      </c>
      <c r="D16" s="442" t="s">
        <v>431</v>
      </c>
      <c r="E16" s="442" t="s">
        <v>431</v>
      </c>
      <c r="F16" s="490" t="s">
        <v>431</v>
      </c>
      <c r="G16" s="442" t="s">
        <v>431</v>
      </c>
      <c r="H16" s="490" t="s">
        <v>431</v>
      </c>
      <c r="I16" s="442" t="s">
        <v>431</v>
      </c>
      <c r="J16" s="490" t="s">
        <v>431</v>
      </c>
      <c r="K16" s="442" t="s">
        <v>431</v>
      </c>
      <c r="L16" s="490" t="s">
        <v>431</v>
      </c>
      <c r="M16" s="442" t="s">
        <v>438</v>
      </c>
      <c r="N16" s="154"/>
    </row>
    <row r="17" spans="1:14" ht="14.4" customHeight="1" x14ac:dyDescent="0.3">
      <c r="A17" s="438" t="s">
        <v>429</v>
      </c>
      <c r="B17" s="439" t="s">
        <v>432</v>
      </c>
      <c r="C17" s="442">
        <v>83189.640000000014</v>
      </c>
      <c r="D17" s="442">
        <v>274</v>
      </c>
      <c r="E17" s="442">
        <v>61842.150000000009</v>
      </c>
      <c r="F17" s="490">
        <v>0.74338763817225317</v>
      </c>
      <c r="G17" s="442">
        <v>188</v>
      </c>
      <c r="H17" s="490">
        <v>0.68613138686131392</v>
      </c>
      <c r="I17" s="442">
        <v>21347.490000000005</v>
      </c>
      <c r="J17" s="490">
        <v>0.25661236182774683</v>
      </c>
      <c r="K17" s="442">
        <v>86</v>
      </c>
      <c r="L17" s="490">
        <v>0.31386861313868614</v>
      </c>
      <c r="M17" s="442" t="s">
        <v>433</v>
      </c>
      <c r="N17" s="154"/>
    </row>
    <row r="18" spans="1:14" ht="14.4" customHeight="1" x14ac:dyDescent="0.3">
      <c r="A18" s="491" t="s">
        <v>550</v>
      </c>
    </row>
    <row r="19" spans="1:14" ht="14.4" customHeight="1" x14ac:dyDescent="0.3">
      <c r="A19" s="492" t="s">
        <v>551</v>
      </c>
    </row>
    <row r="20" spans="1:14" ht="14.4" customHeight="1" x14ac:dyDescent="0.3">
      <c r="A20" s="491" t="s">
        <v>552</v>
      </c>
    </row>
  </sheetData>
  <autoFilter ref="A4:M4"/>
  <mergeCells count="4">
    <mergeCell ref="E3:H3"/>
    <mergeCell ref="C3:D3"/>
    <mergeCell ref="I3:L3"/>
    <mergeCell ref="A1:L1"/>
  </mergeCells>
  <conditionalFormatting sqref="F4 F10 F18:F1048576">
    <cfRule type="cellIs" dxfId="38" priority="15" stopIfTrue="1" operator="lessThan">
      <formula>0.6</formula>
    </cfRule>
  </conditionalFormatting>
  <conditionalFormatting sqref="B5:B9">
    <cfRule type="expression" dxfId="37" priority="10">
      <formula>AND(LEFT(M5,6)&lt;&gt;"mezera",M5&lt;&gt;"")</formula>
    </cfRule>
  </conditionalFormatting>
  <conditionalFormatting sqref="A5:A9">
    <cfRule type="expression" dxfId="36" priority="8">
      <formula>AND(M5&lt;&gt;"",M5&lt;&gt;"mezeraKL")</formula>
    </cfRule>
  </conditionalFormatting>
  <conditionalFormatting sqref="F5:F9">
    <cfRule type="cellIs" dxfId="35" priority="7" operator="lessThan">
      <formula>0.6</formula>
    </cfRule>
  </conditionalFormatting>
  <conditionalFormatting sqref="B5:L9">
    <cfRule type="expression" dxfId="34" priority="9">
      <formula>OR($M5="KL",$M5="SumaKL")</formula>
    </cfRule>
    <cfRule type="expression" dxfId="33" priority="11">
      <formula>$M5="SumaNS"</formula>
    </cfRule>
  </conditionalFormatting>
  <conditionalFormatting sqref="A5:L9">
    <cfRule type="expression" dxfId="32" priority="12">
      <formula>$M5&lt;&gt;""</formula>
    </cfRule>
  </conditionalFormatting>
  <conditionalFormatting sqref="B11:B17">
    <cfRule type="expression" dxfId="31" priority="4">
      <formula>AND(LEFT(M11,6)&lt;&gt;"mezera",M11&lt;&gt;"")</formula>
    </cfRule>
  </conditionalFormatting>
  <conditionalFormatting sqref="A11:A17">
    <cfRule type="expression" dxfId="30" priority="2">
      <formula>AND(M11&lt;&gt;"",M11&lt;&gt;"mezeraKL")</formula>
    </cfRule>
  </conditionalFormatting>
  <conditionalFormatting sqref="F11:F17">
    <cfRule type="cellIs" dxfId="29" priority="1" operator="lessThan">
      <formula>0.6</formula>
    </cfRule>
  </conditionalFormatting>
  <conditionalFormatting sqref="B11:L17">
    <cfRule type="expression" dxfId="28" priority="3">
      <formula>OR($M11="KL",$M11="SumaKL")</formula>
    </cfRule>
    <cfRule type="expression" dxfId="27" priority="5">
      <formula>$M11="SumaNS"</formula>
    </cfRule>
  </conditionalFormatting>
  <conditionalFormatting sqref="A11:L17">
    <cfRule type="expression" dxfId="26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2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3" customWidth="1"/>
    <col min="2" max="2" width="11.109375" style="211" bestFit="1" customWidth="1"/>
    <col min="3" max="3" width="11.109375" style="133" hidden="1" customWidth="1"/>
    <col min="4" max="4" width="7.33203125" style="211" bestFit="1" customWidth="1"/>
    <col min="5" max="5" width="7.33203125" style="133" hidden="1" customWidth="1"/>
    <col min="6" max="6" width="11.109375" style="211" bestFit="1" customWidth="1"/>
    <col min="7" max="7" width="5.33203125" style="214" customWidth="1"/>
    <col min="8" max="8" width="7.33203125" style="211" bestFit="1" customWidth="1"/>
    <col min="9" max="9" width="5.33203125" style="214" customWidth="1"/>
    <col min="10" max="10" width="11.109375" style="211" customWidth="1"/>
    <col min="11" max="11" width="5.33203125" style="214" customWidth="1"/>
    <col min="12" max="12" width="7.33203125" style="211" customWidth="1"/>
    <col min="13" max="13" width="5.33203125" style="214" customWidth="1"/>
    <col min="14" max="14" width="0" style="133" hidden="1" customWidth="1"/>
    <col min="15" max="16384" width="8.88671875" style="133"/>
  </cols>
  <sheetData>
    <row r="1" spans="1:13" ht="18.600000000000001" customHeight="1" thickBot="1" x14ac:dyDescent="0.4">
      <c r="A1" s="353" t="s">
        <v>150</v>
      </c>
      <c r="B1" s="353"/>
      <c r="C1" s="353"/>
      <c r="D1" s="353"/>
      <c r="E1" s="353"/>
      <c r="F1" s="353"/>
      <c r="G1" s="353"/>
      <c r="H1" s="353"/>
      <c r="I1" s="353"/>
      <c r="J1" s="316"/>
      <c r="K1" s="316"/>
      <c r="L1" s="316"/>
      <c r="M1" s="316"/>
    </row>
    <row r="2" spans="1:13" ht="14.4" customHeight="1" thickBot="1" x14ac:dyDescent="0.35">
      <c r="A2" s="239" t="s">
        <v>251</v>
      </c>
      <c r="B2" s="218"/>
      <c r="C2" s="210"/>
      <c r="D2" s="218"/>
      <c r="E2" s="210"/>
      <c r="F2" s="218"/>
      <c r="G2" s="219"/>
      <c r="H2" s="218"/>
      <c r="I2" s="219"/>
    </row>
    <row r="3" spans="1:13" ht="14.4" customHeight="1" thickBot="1" x14ac:dyDescent="0.35">
      <c r="A3" s="147"/>
      <c r="B3" s="370" t="s">
        <v>15</v>
      </c>
      <c r="C3" s="372"/>
      <c r="D3" s="369"/>
      <c r="E3" s="146"/>
      <c r="F3" s="369" t="s">
        <v>16</v>
      </c>
      <c r="G3" s="369"/>
      <c r="H3" s="369"/>
      <c r="I3" s="369"/>
      <c r="J3" s="369" t="s">
        <v>149</v>
      </c>
      <c r="K3" s="369"/>
      <c r="L3" s="369"/>
      <c r="M3" s="371"/>
    </row>
    <row r="4" spans="1:13" ht="14.4" customHeight="1" thickBot="1" x14ac:dyDescent="0.35">
      <c r="A4" s="466" t="s">
        <v>139</v>
      </c>
      <c r="B4" s="467" t="s">
        <v>19</v>
      </c>
      <c r="C4" s="496"/>
      <c r="D4" s="467" t="s">
        <v>20</v>
      </c>
      <c r="E4" s="496"/>
      <c r="F4" s="467" t="s">
        <v>19</v>
      </c>
      <c r="G4" s="470" t="s">
        <v>2</v>
      </c>
      <c r="H4" s="467" t="s">
        <v>20</v>
      </c>
      <c r="I4" s="470" t="s">
        <v>2</v>
      </c>
      <c r="J4" s="467" t="s">
        <v>19</v>
      </c>
      <c r="K4" s="470" t="s">
        <v>2</v>
      </c>
      <c r="L4" s="467" t="s">
        <v>20</v>
      </c>
      <c r="M4" s="471" t="s">
        <v>2</v>
      </c>
    </row>
    <row r="5" spans="1:13" ht="14.4" customHeight="1" x14ac:dyDescent="0.3">
      <c r="A5" s="493" t="s">
        <v>553</v>
      </c>
      <c r="B5" s="484">
        <v>5984.37</v>
      </c>
      <c r="C5" s="449">
        <v>1</v>
      </c>
      <c r="D5" s="497">
        <v>23</v>
      </c>
      <c r="E5" s="500" t="s">
        <v>553</v>
      </c>
      <c r="F5" s="484">
        <v>2535.42</v>
      </c>
      <c r="G5" s="472">
        <v>0.42367366991011585</v>
      </c>
      <c r="H5" s="452">
        <v>10</v>
      </c>
      <c r="I5" s="473">
        <v>0.43478260869565216</v>
      </c>
      <c r="J5" s="503">
        <v>3448.95</v>
      </c>
      <c r="K5" s="472">
        <v>0.5763263300898841</v>
      </c>
      <c r="L5" s="452">
        <v>13</v>
      </c>
      <c r="M5" s="473">
        <v>0.56521739130434778</v>
      </c>
    </row>
    <row r="6" spans="1:13" ht="14.4" customHeight="1" x14ac:dyDescent="0.3">
      <c r="A6" s="494" t="s">
        <v>554</v>
      </c>
      <c r="B6" s="485">
        <v>166.29000000000002</v>
      </c>
      <c r="C6" s="455">
        <v>1</v>
      </c>
      <c r="D6" s="498">
        <v>2</v>
      </c>
      <c r="E6" s="501" t="s">
        <v>554</v>
      </c>
      <c r="F6" s="485">
        <v>16.77</v>
      </c>
      <c r="G6" s="474">
        <v>0.10084791629081723</v>
      </c>
      <c r="H6" s="458">
        <v>1</v>
      </c>
      <c r="I6" s="475">
        <v>0.5</v>
      </c>
      <c r="J6" s="504">
        <v>149.52000000000001</v>
      </c>
      <c r="K6" s="474">
        <v>0.89915208370918276</v>
      </c>
      <c r="L6" s="458">
        <v>1</v>
      </c>
      <c r="M6" s="475">
        <v>0.5</v>
      </c>
    </row>
    <row r="7" spans="1:13" ht="14.4" customHeight="1" x14ac:dyDescent="0.3">
      <c r="A7" s="494" t="s">
        <v>555</v>
      </c>
      <c r="B7" s="485">
        <v>6113.5</v>
      </c>
      <c r="C7" s="455">
        <v>1</v>
      </c>
      <c r="D7" s="498">
        <v>31</v>
      </c>
      <c r="E7" s="501" t="s">
        <v>555</v>
      </c>
      <c r="F7" s="485">
        <v>5652.21</v>
      </c>
      <c r="G7" s="474">
        <v>0.92454567759875683</v>
      </c>
      <c r="H7" s="458">
        <v>26</v>
      </c>
      <c r="I7" s="475">
        <v>0.83870967741935487</v>
      </c>
      <c r="J7" s="504">
        <v>461.29</v>
      </c>
      <c r="K7" s="474">
        <v>7.5454322401243154E-2</v>
      </c>
      <c r="L7" s="458">
        <v>5</v>
      </c>
      <c r="M7" s="475">
        <v>0.16129032258064516</v>
      </c>
    </row>
    <row r="8" spans="1:13" ht="14.4" customHeight="1" x14ac:dyDescent="0.3">
      <c r="A8" s="494" t="s">
        <v>556</v>
      </c>
      <c r="B8" s="485">
        <v>6765.65</v>
      </c>
      <c r="C8" s="455">
        <v>1</v>
      </c>
      <c r="D8" s="498">
        <v>41</v>
      </c>
      <c r="E8" s="501" t="s">
        <v>556</v>
      </c>
      <c r="F8" s="485">
        <v>4548.45</v>
      </c>
      <c r="G8" s="474">
        <v>0.67228573751228637</v>
      </c>
      <c r="H8" s="458">
        <v>26</v>
      </c>
      <c r="I8" s="475">
        <v>0.63414634146341464</v>
      </c>
      <c r="J8" s="504">
        <v>2217.2000000000003</v>
      </c>
      <c r="K8" s="474">
        <v>0.32771426248771374</v>
      </c>
      <c r="L8" s="458">
        <v>15</v>
      </c>
      <c r="M8" s="475">
        <v>0.36585365853658536</v>
      </c>
    </row>
    <row r="9" spans="1:13" ht="14.4" customHeight="1" x14ac:dyDescent="0.3">
      <c r="A9" s="494" t="s">
        <v>557</v>
      </c>
      <c r="B9" s="485">
        <v>8677.4599999999991</v>
      </c>
      <c r="C9" s="455">
        <v>1</v>
      </c>
      <c r="D9" s="498">
        <v>28</v>
      </c>
      <c r="E9" s="501" t="s">
        <v>557</v>
      </c>
      <c r="F9" s="485">
        <v>6510.29</v>
      </c>
      <c r="G9" s="474">
        <v>0.75025295420549343</v>
      </c>
      <c r="H9" s="458">
        <v>17</v>
      </c>
      <c r="I9" s="475">
        <v>0.6071428571428571</v>
      </c>
      <c r="J9" s="504">
        <v>2167.17</v>
      </c>
      <c r="K9" s="474">
        <v>0.24974704579450671</v>
      </c>
      <c r="L9" s="458">
        <v>11</v>
      </c>
      <c r="M9" s="475">
        <v>0.39285714285714285</v>
      </c>
    </row>
    <row r="10" spans="1:13" ht="14.4" customHeight="1" x14ac:dyDescent="0.3">
      <c r="A10" s="494" t="s">
        <v>558</v>
      </c>
      <c r="B10" s="485">
        <v>1041.08</v>
      </c>
      <c r="C10" s="455">
        <v>1</v>
      </c>
      <c r="D10" s="498">
        <v>8</v>
      </c>
      <c r="E10" s="501" t="s">
        <v>558</v>
      </c>
      <c r="F10" s="485">
        <v>701.84</v>
      </c>
      <c r="G10" s="474">
        <v>0.6741460790717333</v>
      </c>
      <c r="H10" s="458">
        <v>6</v>
      </c>
      <c r="I10" s="475">
        <v>0.75</v>
      </c>
      <c r="J10" s="504">
        <v>339.24</v>
      </c>
      <c r="K10" s="474">
        <v>0.32585392092826682</v>
      </c>
      <c r="L10" s="458">
        <v>2</v>
      </c>
      <c r="M10" s="475">
        <v>0.25</v>
      </c>
    </row>
    <row r="11" spans="1:13" ht="14.4" customHeight="1" x14ac:dyDescent="0.3">
      <c r="A11" s="494" t="s">
        <v>559</v>
      </c>
      <c r="B11" s="485">
        <v>37810.679999999993</v>
      </c>
      <c r="C11" s="455">
        <v>1</v>
      </c>
      <c r="D11" s="498">
        <v>80</v>
      </c>
      <c r="E11" s="501" t="s">
        <v>559</v>
      </c>
      <c r="F11" s="485">
        <v>29762.799999999996</v>
      </c>
      <c r="G11" s="474">
        <v>0.78715325934365632</v>
      </c>
      <c r="H11" s="458">
        <v>60</v>
      </c>
      <c r="I11" s="475">
        <v>0.75</v>
      </c>
      <c r="J11" s="504">
        <v>8047.88</v>
      </c>
      <c r="K11" s="474">
        <v>0.21284674065634371</v>
      </c>
      <c r="L11" s="458">
        <v>20</v>
      </c>
      <c r="M11" s="475">
        <v>0.25</v>
      </c>
    </row>
    <row r="12" spans="1:13" ht="14.4" customHeight="1" thickBot="1" x14ac:dyDescent="0.35">
      <c r="A12" s="495" t="s">
        <v>560</v>
      </c>
      <c r="B12" s="486">
        <v>16630.61</v>
      </c>
      <c r="C12" s="461">
        <v>1</v>
      </c>
      <c r="D12" s="499">
        <v>61</v>
      </c>
      <c r="E12" s="502" t="s">
        <v>560</v>
      </c>
      <c r="F12" s="486">
        <v>12114.37</v>
      </c>
      <c r="G12" s="476">
        <v>0.72843810299201295</v>
      </c>
      <c r="H12" s="464">
        <v>42</v>
      </c>
      <c r="I12" s="477">
        <v>0.68852459016393441</v>
      </c>
      <c r="J12" s="505">
        <v>4516.24</v>
      </c>
      <c r="K12" s="476">
        <v>0.27156189700798705</v>
      </c>
      <c r="L12" s="464">
        <v>19</v>
      </c>
      <c r="M12" s="477">
        <v>0.31147540983606559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5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63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3" hidden="1" customWidth="1" outlineLevel="1"/>
    <col min="2" max="2" width="28.33203125" style="133" hidden="1" customWidth="1" outlineLevel="1"/>
    <col min="3" max="3" width="9" style="133" customWidth="1" collapsed="1"/>
    <col min="4" max="4" width="18.77734375" style="222" customWidth="1"/>
    <col min="5" max="5" width="13.5546875" style="212" customWidth="1"/>
    <col min="6" max="6" width="6" style="133" bestFit="1" customWidth="1"/>
    <col min="7" max="7" width="8.77734375" style="133" customWidth="1"/>
    <col min="8" max="8" width="5" style="133" bestFit="1" customWidth="1"/>
    <col min="9" max="9" width="8.5546875" style="133" hidden="1" customWidth="1" outlineLevel="1"/>
    <col min="10" max="10" width="25.77734375" style="133" customWidth="1" collapsed="1"/>
    <col min="11" max="11" width="8.77734375" style="133" customWidth="1"/>
    <col min="12" max="12" width="7.77734375" style="213" customWidth="1"/>
    <col min="13" max="13" width="11.109375" style="213" customWidth="1"/>
    <col min="14" max="14" width="7.77734375" style="133" customWidth="1"/>
    <col min="15" max="15" width="7.77734375" style="223" customWidth="1"/>
    <col min="16" max="16" width="11.109375" style="213" customWidth="1"/>
    <col min="17" max="17" width="5.44140625" style="214" bestFit="1" customWidth="1"/>
    <col min="18" max="18" width="7.77734375" style="133" customWidth="1"/>
    <col min="19" max="19" width="5.44140625" style="214" bestFit="1" customWidth="1"/>
    <col min="20" max="20" width="7.77734375" style="223" customWidth="1"/>
    <col min="21" max="21" width="5.44140625" style="214" bestFit="1" customWidth="1"/>
    <col min="22" max="16384" width="8.88671875" style="133"/>
  </cols>
  <sheetData>
    <row r="1" spans="1:21" ht="18.600000000000001" customHeight="1" thickBot="1" x14ac:dyDescent="0.4">
      <c r="A1" s="344" t="s">
        <v>873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</row>
    <row r="2" spans="1:21" ht="14.4" customHeight="1" thickBot="1" x14ac:dyDescent="0.35">
      <c r="A2" s="239" t="s">
        <v>251</v>
      </c>
      <c r="B2" s="220"/>
      <c r="C2" s="210"/>
      <c r="D2" s="210"/>
      <c r="E2" s="221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</row>
    <row r="3" spans="1:21" ht="14.4" customHeight="1" thickBot="1" x14ac:dyDescent="0.35">
      <c r="A3" s="376"/>
      <c r="B3" s="377"/>
      <c r="C3" s="377"/>
      <c r="D3" s="377"/>
      <c r="E3" s="377"/>
      <c r="F3" s="377"/>
      <c r="G3" s="377"/>
      <c r="H3" s="377"/>
      <c r="I3" s="377"/>
      <c r="J3" s="377"/>
      <c r="K3" s="378" t="s">
        <v>132</v>
      </c>
      <c r="L3" s="379"/>
      <c r="M3" s="66">
        <f>SUBTOTAL(9,M7:M1048576)</f>
        <v>83189.640000000043</v>
      </c>
      <c r="N3" s="66">
        <f>SUBTOTAL(9,N7:N1048576)</f>
        <v>405</v>
      </c>
      <c r="O3" s="66">
        <f>SUBTOTAL(9,O7:O1048576)</f>
        <v>274</v>
      </c>
      <c r="P3" s="66">
        <f>SUBTOTAL(9,P7:P1048576)</f>
        <v>61842.15</v>
      </c>
      <c r="Q3" s="67">
        <f>IF(M3=0,0,P3/M3)</f>
        <v>0.74338763817225284</v>
      </c>
      <c r="R3" s="66">
        <f>SUBTOTAL(9,R7:R1048576)</f>
        <v>279</v>
      </c>
      <c r="S3" s="67">
        <f>IF(N3=0,0,R3/N3)</f>
        <v>0.68888888888888888</v>
      </c>
      <c r="T3" s="66">
        <f>SUBTOTAL(9,T7:T1048576)</f>
        <v>188</v>
      </c>
      <c r="U3" s="68">
        <f>IF(O3=0,0,T3/O3)</f>
        <v>0.68613138686131392</v>
      </c>
    </row>
    <row r="4" spans="1:21" ht="14.4" customHeight="1" x14ac:dyDescent="0.3">
      <c r="A4" s="69"/>
      <c r="B4" s="70"/>
      <c r="C4" s="70"/>
      <c r="D4" s="71"/>
      <c r="E4" s="147"/>
      <c r="F4" s="70"/>
      <c r="G4" s="70"/>
      <c r="H4" s="70"/>
      <c r="I4" s="70"/>
      <c r="J4" s="70"/>
      <c r="K4" s="70"/>
      <c r="L4" s="70"/>
      <c r="M4" s="380" t="s">
        <v>15</v>
      </c>
      <c r="N4" s="381"/>
      <c r="O4" s="381"/>
      <c r="P4" s="382" t="s">
        <v>21</v>
      </c>
      <c r="Q4" s="381"/>
      <c r="R4" s="381"/>
      <c r="S4" s="381"/>
      <c r="T4" s="381"/>
      <c r="U4" s="383"/>
    </row>
    <row r="5" spans="1:21" ht="14.4" customHeight="1" thickBot="1" x14ac:dyDescent="0.35">
      <c r="A5" s="72"/>
      <c r="B5" s="73"/>
      <c r="C5" s="70"/>
      <c r="D5" s="71"/>
      <c r="E5" s="147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73" t="s">
        <v>22</v>
      </c>
      <c r="Q5" s="374"/>
      <c r="R5" s="373" t="s">
        <v>13</v>
      </c>
      <c r="S5" s="374"/>
      <c r="T5" s="373" t="s">
        <v>20</v>
      </c>
      <c r="U5" s="375"/>
    </row>
    <row r="6" spans="1:21" s="212" customFormat="1" ht="14.4" customHeight="1" thickBot="1" x14ac:dyDescent="0.35">
      <c r="A6" s="506" t="s">
        <v>23</v>
      </c>
      <c r="B6" s="507" t="s">
        <v>5</v>
      </c>
      <c r="C6" s="506" t="s">
        <v>24</v>
      </c>
      <c r="D6" s="507" t="s">
        <v>6</v>
      </c>
      <c r="E6" s="507" t="s">
        <v>152</v>
      </c>
      <c r="F6" s="507" t="s">
        <v>25</v>
      </c>
      <c r="G6" s="507" t="s">
        <v>26</v>
      </c>
      <c r="H6" s="507" t="s">
        <v>8</v>
      </c>
      <c r="I6" s="507" t="s">
        <v>10</v>
      </c>
      <c r="J6" s="507" t="s">
        <v>11</v>
      </c>
      <c r="K6" s="507" t="s">
        <v>12</v>
      </c>
      <c r="L6" s="507" t="s">
        <v>27</v>
      </c>
      <c r="M6" s="508" t="s">
        <v>14</v>
      </c>
      <c r="N6" s="509" t="s">
        <v>28</v>
      </c>
      <c r="O6" s="509" t="s">
        <v>28</v>
      </c>
      <c r="P6" s="509" t="s">
        <v>14</v>
      </c>
      <c r="Q6" s="509" t="s">
        <v>2</v>
      </c>
      <c r="R6" s="509" t="s">
        <v>28</v>
      </c>
      <c r="S6" s="509" t="s">
        <v>2</v>
      </c>
      <c r="T6" s="509" t="s">
        <v>28</v>
      </c>
      <c r="U6" s="510" t="s">
        <v>2</v>
      </c>
    </row>
    <row r="7" spans="1:21" ht="14.4" customHeight="1" x14ac:dyDescent="0.3">
      <c r="A7" s="511">
        <v>29</v>
      </c>
      <c r="B7" s="512" t="s">
        <v>430</v>
      </c>
      <c r="C7" s="512" t="s">
        <v>548</v>
      </c>
      <c r="D7" s="513" t="s">
        <v>871</v>
      </c>
      <c r="E7" s="514" t="s">
        <v>553</v>
      </c>
      <c r="F7" s="512" t="s">
        <v>545</v>
      </c>
      <c r="G7" s="512" t="s">
        <v>561</v>
      </c>
      <c r="H7" s="512" t="s">
        <v>872</v>
      </c>
      <c r="I7" s="512" t="s">
        <v>562</v>
      </c>
      <c r="J7" s="512" t="s">
        <v>563</v>
      </c>
      <c r="K7" s="512" t="s">
        <v>564</v>
      </c>
      <c r="L7" s="515">
        <v>154.36000000000001</v>
      </c>
      <c r="M7" s="515">
        <v>154.36000000000001</v>
      </c>
      <c r="N7" s="512">
        <v>1</v>
      </c>
      <c r="O7" s="516">
        <v>1</v>
      </c>
      <c r="P7" s="515"/>
      <c r="Q7" s="517">
        <v>0</v>
      </c>
      <c r="R7" s="512"/>
      <c r="S7" s="517">
        <v>0</v>
      </c>
      <c r="T7" s="516"/>
      <c r="U7" s="125">
        <v>0</v>
      </c>
    </row>
    <row r="8" spans="1:21" ht="14.4" customHeight="1" x14ac:dyDescent="0.3">
      <c r="A8" s="526">
        <v>29</v>
      </c>
      <c r="B8" s="527" t="s">
        <v>430</v>
      </c>
      <c r="C8" s="527" t="s">
        <v>548</v>
      </c>
      <c r="D8" s="528" t="s">
        <v>871</v>
      </c>
      <c r="E8" s="529" t="s">
        <v>553</v>
      </c>
      <c r="F8" s="527" t="s">
        <v>545</v>
      </c>
      <c r="G8" s="527" t="s">
        <v>565</v>
      </c>
      <c r="H8" s="527" t="s">
        <v>431</v>
      </c>
      <c r="I8" s="527" t="s">
        <v>566</v>
      </c>
      <c r="J8" s="527" t="s">
        <v>567</v>
      </c>
      <c r="K8" s="527" t="s">
        <v>568</v>
      </c>
      <c r="L8" s="530">
        <v>0</v>
      </c>
      <c r="M8" s="530">
        <v>0</v>
      </c>
      <c r="N8" s="527">
        <v>1</v>
      </c>
      <c r="O8" s="531">
        <v>1</v>
      </c>
      <c r="P8" s="530">
        <v>0</v>
      </c>
      <c r="Q8" s="532"/>
      <c r="R8" s="527">
        <v>1</v>
      </c>
      <c r="S8" s="532">
        <v>1</v>
      </c>
      <c r="T8" s="531">
        <v>1</v>
      </c>
      <c r="U8" s="533">
        <v>1</v>
      </c>
    </row>
    <row r="9" spans="1:21" ht="14.4" customHeight="1" x14ac:dyDescent="0.3">
      <c r="A9" s="526">
        <v>29</v>
      </c>
      <c r="B9" s="527" t="s">
        <v>430</v>
      </c>
      <c r="C9" s="527" t="s">
        <v>548</v>
      </c>
      <c r="D9" s="528" t="s">
        <v>871</v>
      </c>
      <c r="E9" s="529" t="s">
        <v>553</v>
      </c>
      <c r="F9" s="527" t="s">
        <v>545</v>
      </c>
      <c r="G9" s="527" t="s">
        <v>565</v>
      </c>
      <c r="H9" s="527" t="s">
        <v>431</v>
      </c>
      <c r="I9" s="527" t="s">
        <v>569</v>
      </c>
      <c r="J9" s="527" t="s">
        <v>567</v>
      </c>
      <c r="K9" s="527" t="s">
        <v>570</v>
      </c>
      <c r="L9" s="530">
        <v>264.07</v>
      </c>
      <c r="M9" s="530">
        <v>264.07</v>
      </c>
      <c r="N9" s="527">
        <v>1</v>
      </c>
      <c r="O9" s="531">
        <v>1</v>
      </c>
      <c r="P9" s="530">
        <v>264.07</v>
      </c>
      <c r="Q9" s="532">
        <v>1</v>
      </c>
      <c r="R9" s="527">
        <v>1</v>
      </c>
      <c r="S9" s="532">
        <v>1</v>
      </c>
      <c r="T9" s="531">
        <v>1</v>
      </c>
      <c r="U9" s="533">
        <v>1</v>
      </c>
    </row>
    <row r="10" spans="1:21" ht="14.4" customHeight="1" x14ac:dyDescent="0.3">
      <c r="A10" s="526">
        <v>29</v>
      </c>
      <c r="B10" s="527" t="s">
        <v>430</v>
      </c>
      <c r="C10" s="527" t="s">
        <v>548</v>
      </c>
      <c r="D10" s="528" t="s">
        <v>871</v>
      </c>
      <c r="E10" s="529" t="s">
        <v>553</v>
      </c>
      <c r="F10" s="527" t="s">
        <v>545</v>
      </c>
      <c r="G10" s="527" t="s">
        <v>571</v>
      </c>
      <c r="H10" s="527" t="s">
        <v>431</v>
      </c>
      <c r="I10" s="527" t="s">
        <v>572</v>
      </c>
      <c r="J10" s="527" t="s">
        <v>573</v>
      </c>
      <c r="K10" s="527" t="s">
        <v>574</v>
      </c>
      <c r="L10" s="530">
        <v>0</v>
      </c>
      <c r="M10" s="530">
        <v>0</v>
      </c>
      <c r="N10" s="527">
        <v>1</v>
      </c>
      <c r="O10" s="531">
        <v>1</v>
      </c>
      <c r="P10" s="530"/>
      <c r="Q10" s="532"/>
      <c r="R10" s="527"/>
      <c r="S10" s="532">
        <v>0</v>
      </c>
      <c r="T10" s="531"/>
      <c r="U10" s="533">
        <v>0</v>
      </c>
    </row>
    <row r="11" spans="1:21" ht="14.4" customHeight="1" x14ac:dyDescent="0.3">
      <c r="A11" s="526">
        <v>29</v>
      </c>
      <c r="B11" s="527" t="s">
        <v>430</v>
      </c>
      <c r="C11" s="527" t="s">
        <v>548</v>
      </c>
      <c r="D11" s="528" t="s">
        <v>871</v>
      </c>
      <c r="E11" s="529" t="s">
        <v>553</v>
      </c>
      <c r="F11" s="527" t="s">
        <v>545</v>
      </c>
      <c r="G11" s="527" t="s">
        <v>575</v>
      </c>
      <c r="H11" s="527" t="s">
        <v>431</v>
      </c>
      <c r="I11" s="527" t="s">
        <v>576</v>
      </c>
      <c r="J11" s="527" t="s">
        <v>452</v>
      </c>
      <c r="K11" s="527" t="s">
        <v>577</v>
      </c>
      <c r="L11" s="530">
        <v>114</v>
      </c>
      <c r="M11" s="530">
        <v>114</v>
      </c>
      <c r="N11" s="527">
        <v>1</v>
      </c>
      <c r="O11" s="531">
        <v>1</v>
      </c>
      <c r="P11" s="530"/>
      <c r="Q11" s="532">
        <v>0</v>
      </c>
      <c r="R11" s="527"/>
      <c r="S11" s="532">
        <v>0</v>
      </c>
      <c r="T11" s="531"/>
      <c r="U11" s="533">
        <v>0</v>
      </c>
    </row>
    <row r="12" spans="1:21" ht="14.4" customHeight="1" x14ac:dyDescent="0.3">
      <c r="A12" s="526">
        <v>29</v>
      </c>
      <c r="B12" s="527" t="s">
        <v>430</v>
      </c>
      <c r="C12" s="527" t="s">
        <v>548</v>
      </c>
      <c r="D12" s="528" t="s">
        <v>871</v>
      </c>
      <c r="E12" s="529" t="s">
        <v>553</v>
      </c>
      <c r="F12" s="527" t="s">
        <v>545</v>
      </c>
      <c r="G12" s="527" t="s">
        <v>578</v>
      </c>
      <c r="H12" s="527" t="s">
        <v>872</v>
      </c>
      <c r="I12" s="527" t="s">
        <v>579</v>
      </c>
      <c r="J12" s="527" t="s">
        <v>580</v>
      </c>
      <c r="K12" s="527" t="s">
        <v>581</v>
      </c>
      <c r="L12" s="530">
        <v>543.39</v>
      </c>
      <c r="M12" s="530">
        <v>543.39</v>
      </c>
      <c r="N12" s="527">
        <v>1</v>
      </c>
      <c r="O12" s="531">
        <v>1</v>
      </c>
      <c r="P12" s="530"/>
      <c r="Q12" s="532">
        <v>0</v>
      </c>
      <c r="R12" s="527"/>
      <c r="S12" s="532">
        <v>0</v>
      </c>
      <c r="T12" s="531"/>
      <c r="U12" s="533">
        <v>0</v>
      </c>
    </row>
    <row r="13" spans="1:21" ht="14.4" customHeight="1" x14ac:dyDescent="0.3">
      <c r="A13" s="526">
        <v>29</v>
      </c>
      <c r="B13" s="527" t="s">
        <v>430</v>
      </c>
      <c r="C13" s="527" t="s">
        <v>548</v>
      </c>
      <c r="D13" s="528" t="s">
        <v>871</v>
      </c>
      <c r="E13" s="529" t="s">
        <v>553</v>
      </c>
      <c r="F13" s="527" t="s">
        <v>545</v>
      </c>
      <c r="G13" s="527" t="s">
        <v>582</v>
      </c>
      <c r="H13" s="527" t="s">
        <v>431</v>
      </c>
      <c r="I13" s="527" t="s">
        <v>583</v>
      </c>
      <c r="J13" s="527" t="s">
        <v>584</v>
      </c>
      <c r="K13" s="527" t="s">
        <v>585</v>
      </c>
      <c r="L13" s="530">
        <v>0</v>
      </c>
      <c r="M13" s="530">
        <v>0</v>
      </c>
      <c r="N13" s="527">
        <v>2</v>
      </c>
      <c r="O13" s="531">
        <v>0.5</v>
      </c>
      <c r="P13" s="530"/>
      <c r="Q13" s="532"/>
      <c r="R13" s="527"/>
      <c r="S13" s="532">
        <v>0</v>
      </c>
      <c r="T13" s="531"/>
      <c r="U13" s="533">
        <v>0</v>
      </c>
    </row>
    <row r="14" spans="1:21" ht="14.4" customHeight="1" x14ac:dyDescent="0.3">
      <c r="A14" s="526">
        <v>29</v>
      </c>
      <c r="B14" s="527" t="s">
        <v>430</v>
      </c>
      <c r="C14" s="527" t="s">
        <v>548</v>
      </c>
      <c r="D14" s="528" t="s">
        <v>871</v>
      </c>
      <c r="E14" s="529" t="s">
        <v>553</v>
      </c>
      <c r="F14" s="527" t="s">
        <v>545</v>
      </c>
      <c r="G14" s="527" t="s">
        <v>586</v>
      </c>
      <c r="H14" s="527" t="s">
        <v>872</v>
      </c>
      <c r="I14" s="527" t="s">
        <v>587</v>
      </c>
      <c r="J14" s="527" t="s">
        <v>588</v>
      </c>
      <c r="K14" s="527" t="s">
        <v>589</v>
      </c>
      <c r="L14" s="530">
        <v>41.63</v>
      </c>
      <c r="M14" s="530">
        <v>41.63</v>
      </c>
      <c r="N14" s="527">
        <v>1</v>
      </c>
      <c r="O14" s="531">
        <v>1</v>
      </c>
      <c r="P14" s="530"/>
      <c r="Q14" s="532">
        <v>0</v>
      </c>
      <c r="R14" s="527"/>
      <c r="S14" s="532">
        <v>0</v>
      </c>
      <c r="T14" s="531"/>
      <c r="U14" s="533">
        <v>0</v>
      </c>
    </row>
    <row r="15" spans="1:21" ht="14.4" customHeight="1" x14ac:dyDescent="0.3">
      <c r="A15" s="526">
        <v>29</v>
      </c>
      <c r="B15" s="527" t="s">
        <v>430</v>
      </c>
      <c r="C15" s="527" t="s">
        <v>548</v>
      </c>
      <c r="D15" s="528" t="s">
        <v>871</v>
      </c>
      <c r="E15" s="529" t="s">
        <v>553</v>
      </c>
      <c r="F15" s="527" t="s">
        <v>545</v>
      </c>
      <c r="G15" s="527" t="s">
        <v>590</v>
      </c>
      <c r="H15" s="527" t="s">
        <v>431</v>
      </c>
      <c r="I15" s="527" t="s">
        <v>534</v>
      </c>
      <c r="J15" s="527" t="s">
        <v>476</v>
      </c>
      <c r="K15" s="527" t="s">
        <v>591</v>
      </c>
      <c r="L15" s="530">
        <v>96.42</v>
      </c>
      <c r="M15" s="530">
        <v>96.42</v>
      </c>
      <c r="N15" s="527">
        <v>1</v>
      </c>
      <c r="O15" s="531">
        <v>1</v>
      </c>
      <c r="P15" s="530"/>
      <c r="Q15" s="532">
        <v>0</v>
      </c>
      <c r="R15" s="527"/>
      <c r="S15" s="532">
        <v>0</v>
      </c>
      <c r="T15" s="531"/>
      <c r="U15" s="533">
        <v>0</v>
      </c>
    </row>
    <row r="16" spans="1:21" ht="14.4" customHeight="1" x14ac:dyDescent="0.3">
      <c r="A16" s="526">
        <v>29</v>
      </c>
      <c r="B16" s="527" t="s">
        <v>430</v>
      </c>
      <c r="C16" s="527" t="s">
        <v>548</v>
      </c>
      <c r="D16" s="528" t="s">
        <v>871</v>
      </c>
      <c r="E16" s="529" t="s">
        <v>553</v>
      </c>
      <c r="F16" s="527" t="s">
        <v>545</v>
      </c>
      <c r="G16" s="527" t="s">
        <v>590</v>
      </c>
      <c r="H16" s="527" t="s">
        <v>431</v>
      </c>
      <c r="I16" s="527" t="s">
        <v>475</v>
      </c>
      <c r="J16" s="527" t="s">
        <v>476</v>
      </c>
      <c r="K16" s="527" t="s">
        <v>592</v>
      </c>
      <c r="L16" s="530">
        <v>289.27</v>
      </c>
      <c r="M16" s="530">
        <v>3181.97</v>
      </c>
      <c r="N16" s="527">
        <v>11</v>
      </c>
      <c r="O16" s="531">
        <v>6</v>
      </c>
      <c r="P16" s="530">
        <v>1446.35</v>
      </c>
      <c r="Q16" s="532">
        <v>0.45454545454545453</v>
      </c>
      <c r="R16" s="527">
        <v>5</v>
      </c>
      <c r="S16" s="532">
        <v>0.45454545454545453</v>
      </c>
      <c r="T16" s="531">
        <v>3</v>
      </c>
      <c r="U16" s="533">
        <v>0.5</v>
      </c>
    </row>
    <row r="17" spans="1:21" ht="14.4" customHeight="1" x14ac:dyDescent="0.3">
      <c r="A17" s="526">
        <v>29</v>
      </c>
      <c r="B17" s="527" t="s">
        <v>430</v>
      </c>
      <c r="C17" s="527" t="s">
        <v>548</v>
      </c>
      <c r="D17" s="528" t="s">
        <v>871</v>
      </c>
      <c r="E17" s="529" t="s">
        <v>553</v>
      </c>
      <c r="F17" s="527" t="s">
        <v>545</v>
      </c>
      <c r="G17" s="527" t="s">
        <v>593</v>
      </c>
      <c r="H17" s="527" t="s">
        <v>872</v>
      </c>
      <c r="I17" s="527" t="s">
        <v>594</v>
      </c>
      <c r="J17" s="527" t="s">
        <v>595</v>
      </c>
      <c r="K17" s="527" t="s">
        <v>596</v>
      </c>
      <c r="L17" s="530">
        <v>366.53</v>
      </c>
      <c r="M17" s="530">
        <v>366.53</v>
      </c>
      <c r="N17" s="527">
        <v>1</v>
      </c>
      <c r="O17" s="531">
        <v>0.5</v>
      </c>
      <c r="P17" s="530"/>
      <c r="Q17" s="532">
        <v>0</v>
      </c>
      <c r="R17" s="527"/>
      <c r="S17" s="532">
        <v>0</v>
      </c>
      <c r="T17" s="531"/>
      <c r="U17" s="533">
        <v>0</v>
      </c>
    </row>
    <row r="18" spans="1:21" ht="14.4" customHeight="1" x14ac:dyDescent="0.3">
      <c r="A18" s="526">
        <v>29</v>
      </c>
      <c r="B18" s="527" t="s">
        <v>430</v>
      </c>
      <c r="C18" s="527" t="s">
        <v>548</v>
      </c>
      <c r="D18" s="528" t="s">
        <v>871</v>
      </c>
      <c r="E18" s="529" t="s">
        <v>553</v>
      </c>
      <c r="F18" s="527" t="s">
        <v>547</v>
      </c>
      <c r="G18" s="527" t="s">
        <v>597</v>
      </c>
      <c r="H18" s="527" t="s">
        <v>431</v>
      </c>
      <c r="I18" s="527" t="s">
        <v>598</v>
      </c>
      <c r="J18" s="527" t="s">
        <v>599</v>
      </c>
      <c r="K18" s="527" t="s">
        <v>600</v>
      </c>
      <c r="L18" s="530">
        <v>25</v>
      </c>
      <c r="M18" s="530">
        <v>25</v>
      </c>
      <c r="N18" s="527">
        <v>1</v>
      </c>
      <c r="O18" s="531">
        <v>1</v>
      </c>
      <c r="P18" s="530">
        <v>25</v>
      </c>
      <c r="Q18" s="532">
        <v>1</v>
      </c>
      <c r="R18" s="527">
        <v>1</v>
      </c>
      <c r="S18" s="532">
        <v>1</v>
      </c>
      <c r="T18" s="531">
        <v>1</v>
      </c>
      <c r="U18" s="533">
        <v>1</v>
      </c>
    </row>
    <row r="19" spans="1:21" ht="14.4" customHeight="1" x14ac:dyDescent="0.3">
      <c r="A19" s="526">
        <v>29</v>
      </c>
      <c r="B19" s="527" t="s">
        <v>430</v>
      </c>
      <c r="C19" s="527" t="s">
        <v>548</v>
      </c>
      <c r="D19" s="528" t="s">
        <v>871</v>
      </c>
      <c r="E19" s="529" t="s">
        <v>553</v>
      </c>
      <c r="F19" s="527" t="s">
        <v>547</v>
      </c>
      <c r="G19" s="527" t="s">
        <v>597</v>
      </c>
      <c r="H19" s="527" t="s">
        <v>431</v>
      </c>
      <c r="I19" s="527" t="s">
        <v>601</v>
      </c>
      <c r="J19" s="527" t="s">
        <v>599</v>
      </c>
      <c r="K19" s="527" t="s">
        <v>602</v>
      </c>
      <c r="L19" s="530">
        <v>100</v>
      </c>
      <c r="M19" s="530">
        <v>1100</v>
      </c>
      <c r="N19" s="527">
        <v>11</v>
      </c>
      <c r="O19" s="531">
        <v>6</v>
      </c>
      <c r="P19" s="530">
        <v>800</v>
      </c>
      <c r="Q19" s="532">
        <v>0.72727272727272729</v>
      </c>
      <c r="R19" s="527">
        <v>8</v>
      </c>
      <c r="S19" s="532">
        <v>0.72727272727272729</v>
      </c>
      <c r="T19" s="531">
        <v>4</v>
      </c>
      <c r="U19" s="533">
        <v>0.66666666666666663</v>
      </c>
    </row>
    <row r="20" spans="1:21" ht="14.4" customHeight="1" x14ac:dyDescent="0.3">
      <c r="A20" s="526">
        <v>29</v>
      </c>
      <c r="B20" s="527" t="s">
        <v>430</v>
      </c>
      <c r="C20" s="527" t="s">
        <v>548</v>
      </c>
      <c r="D20" s="528" t="s">
        <v>871</v>
      </c>
      <c r="E20" s="529" t="s">
        <v>553</v>
      </c>
      <c r="F20" s="527" t="s">
        <v>547</v>
      </c>
      <c r="G20" s="527" t="s">
        <v>603</v>
      </c>
      <c r="H20" s="527" t="s">
        <v>431</v>
      </c>
      <c r="I20" s="527" t="s">
        <v>604</v>
      </c>
      <c r="J20" s="527" t="s">
        <v>605</v>
      </c>
      <c r="K20" s="527" t="s">
        <v>606</v>
      </c>
      <c r="L20" s="530">
        <v>97</v>
      </c>
      <c r="M20" s="530">
        <v>97</v>
      </c>
      <c r="N20" s="527">
        <v>1</v>
      </c>
      <c r="O20" s="531">
        <v>1</v>
      </c>
      <c r="P20" s="530"/>
      <c r="Q20" s="532">
        <v>0</v>
      </c>
      <c r="R20" s="527"/>
      <c r="S20" s="532">
        <v>0</v>
      </c>
      <c r="T20" s="531"/>
      <c r="U20" s="533">
        <v>0</v>
      </c>
    </row>
    <row r="21" spans="1:21" ht="14.4" customHeight="1" x14ac:dyDescent="0.3">
      <c r="A21" s="526">
        <v>29</v>
      </c>
      <c r="B21" s="527" t="s">
        <v>430</v>
      </c>
      <c r="C21" s="527" t="s">
        <v>548</v>
      </c>
      <c r="D21" s="528" t="s">
        <v>871</v>
      </c>
      <c r="E21" s="529" t="s">
        <v>554</v>
      </c>
      <c r="F21" s="527" t="s">
        <v>545</v>
      </c>
      <c r="G21" s="527" t="s">
        <v>561</v>
      </c>
      <c r="H21" s="527" t="s">
        <v>431</v>
      </c>
      <c r="I21" s="527" t="s">
        <v>607</v>
      </c>
      <c r="J21" s="527" t="s">
        <v>608</v>
      </c>
      <c r="K21" s="527" t="s">
        <v>609</v>
      </c>
      <c r="L21" s="530">
        <v>149.52000000000001</v>
      </c>
      <c r="M21" s="530">
        <v>149.52000000000001</v>
      </c>
      <c r="N21" s="527">
        <v>1</v>
      </c>
      <c r="O21" s="531">
        <v>1</v>
      </c>
      <c r="P21" s="530"/>
      <c r="Q21" s="532">
        <v>0</v>
      </c>
      <c r="R21" s="527"/>
      <c r="S21" s="532">
        <v>0</v>
      </c>
      <c r="T21" s="531"/>
      <c r="U21" s="533">
        <v>0</v>
      </c>
    </row>
    <row r="22" spans="1:21" ht="14.4" customHeight="1" x14ac:dyDescent="0.3">
      <c r="A22" s="526">
        <v>29</v>
      </c>
      <c r="B22" s="527" t="s">
        <v>430</v>
      </c>
      <c r="C22" s="527" t="s">
        <v>548</v>
      </c>
      <c r="D22" s="528" t="s">
        <v>871</v>
      </c>
      <c r="E22" s="529" t="s">
        <v>554</v>
      </c>
      <c r="F22" s="527" t="s">
        <v>545</v>
      </c>
      <c r="G22" s="527" t="s">
        <v>610</v>
      </c>
      <c r="H22" s="527" t="s">
        <v>431</v>
      </c>
      <c r="I22" s="527" t="s">
        <v>611</v>
      </c>
      <c r="J22" s="527" t="s">
        <v>612</v>
      </c>
      <c r="K22" s="527" t="s">
        <v>613</v>
      </c>
      <c r="L22" s="530">
        <v>16.77</v>
      </c>
      <c r="M22" s="530">
        <v>16.77</v>
      </c>
      <c r="N22" s="527">
        <v>1</v>
      </c>
      <c r="O22" s="531">
        <v>1</v>
      </c>
      <c r="P22" s="530">
        <v>16.77</v>
      </c>
      <c r="Q22" s="532">
        <v>1</v>
      </c>
      <c r="R22" s="527">
        <v>1</v>
      </c>
      <c r="S22" s="532">
        <v>1</v>
      </c>
      <c r="T22" s="531">
        <v>1</v>
      </c>
      <c r="U22" s="533">
        <v>1</v>
      </c>
    </row>
    <row r="23" spans="1:21" ht="14.4" customHeight="1" x14ac:dyDescent="0.3">
      <c r="A23" s="526">
        <v>29</v>
      </c>
      <c r="B23" s="527" t="s">
        <v>430</v>
      </c>
      <c r="C23" s="527" t="s">
        <v>548</v>
      </c>
      <c r="D23" s="528" t="s">
        <v>871</v>
      </c>
      <c r="E23" s="529" t="s">
        <v>555</v>
      </c>
      <c r="F23" s="527" t="s">
        <v>545</v>
      </c>
      <c r="G23" s="527" t="s">
        <v>561</v>
      </c>
      <c r="H23" s="527" t="s">
        <v>872</v>
      </c>
      <c r="I23" s="527" t="s">
        <v>562</v>
      </c>
      <c r="J23" s="527" t="s">
        <v>563</v>
      </c>
      <c r="K23" s="527" t="s">
        <v>564</v>
      </c>
      <c r="L23" s="530">
        <v>154.36000000000001</v>
      </c>
      <c r="M23" s="530">
        <v>154.36000000000001</v>
      </c>
      <c r="N23" s="527">
        <v>1</v>
      </c>
      <c r="O23" s="531">
        <v>1</v>
      </c>
      <c r="P23" s="530">
        <v>154.36000000000001</v>
      </c>
      <c r="Q23" s="532">
        <v>1</v>
      </c>
      <c r="R23" s="527">
        <v>1</v>
      </c>
      <c r="S23" s="532">
        <v>1</v>
      </c>
      <c r="T23" s="531">
        <v>1</v>
      </c>
      <c r="U23" s="533">
        <v>1</v>
      </c>
    </row>
    <row r="24" spans="1:21" ht="14.4" customHeight="1" x14ac:dyDescent="0.3">
      <c r="A24" s="526">
        <v>29</v>
      </c>
      <c r="B24" s="527" t="s">
        <v>430</v>
      </c>
      <c r="C24" s="527" t="s">
        <v>548</v>
      </c>
      <c r="D24" s="528" t="s">
        <v>871</v>
      </c>
      <c r="E24" s="529" t="s">
        <v>555</v>
      </c>
      <c r="F24" s="527" t="s">
        <v>545</v>
      </c>
      <c r="G24" s="527" t="s">
        <v>565</v>
      </c>
      <c r="H24" s="527" t="s">
        <v>431</v>
      </c>
      <c r="I24" s="527" t="s">
        <v>566</v>
      </c>
      <c r="J24" s="527" t="s">
        <v>567</v>
      </c>
      <c r="K24" s="527" t="s">
        <v>568</v>
      </c>
      <c r="L24" s="530">
        <v>0</v>
      </c>
      <c r="M24" s="530">
        <v>0</v>
      </c>
      <c r="N24" s="527">
        <v>1</v>
      </c>
      <c r="O24" s="531">
        <v>1</v>
      </c>
      <c r="P24" s="530">
        <v>0</v>
      </c>
      <c r="Q24" s="532"/>
      <c r="R24" s="527">
        <v>1</v>
      </c>
      <c r="S24" s="532">
        <v>1</v>
      </c>
      <c r="T24" s="531">
        <v>1</v>
      </c>
      <c r="U24" s="533">
        <v>1</v>
      </c>
    </row>
    <row r="25" spans="1:21" ht="14.4" customHeight="1" x14ac:dyDescent="0.3">
      <c r="A25" s="526">
        <v>29</v>
      </c>
      <c r="B25" s="527" t="s">
        <v>430</v>
      </c>
      <c r="C25" s="527" t="s">
        <v>548</v>
      </c>
      <c r="D25" s="528" t="s">
        <v>871</v>
      </c>
      <c r="E25" s="529" t="s">
        <v>555</v>
      </c>
      <c r="F25" s="527" t="s">
        <v>545</v>
      </c>
      <c r="G25" s="527" t="s">
        <v>614</v>
      </c>
      <c r="H25" s="527" t="s">
        <v>431</v>
      </c>
      <c r="I25" s="527" t="s">
        <v>615</v>
      </c>
      <c r="J25" s="527" t="s">
        <v>616</v>
      </c>
      <c r="K25" s="527" t="s">
        <v>617</v>
      </c>
      <c r="L25" s="530">
        <v>170.52</v>
      </c>
      <c r="M25" s="530">
        <v>170.52</v>
      </c>
      <c r="N25" s="527">
        <v>1</v>
      </c>
      <c r="O25" s="531">
        <v>0.5</v>
      </c>
      <c r="P25" s="530">
        <v>170.52</v>
      </c>
      <c r="Q25" s="532">
        <v>1</v>
      </c>
      <c r="R25" s="527">
        <v>1</v>
      </c>
      <c r="S25" s="532">
        <v>1</v>
      </c>
      <c r="T25" s="531">
        <v>0.5</v>
      </c>
      <c r="U25" s="533">
        <v>1</v>
      </c>
    </row>
    <row r="26" spans="1:21" ht="14.4" customHeight="1" x14ac:dyDescent="0.3">
      <c r="A26" s="526">
        <v>29</v>
      </c>
      <c r="B26" s="527" t="s">
        <v>430</v>
      </c>
      <c r="C26" s="527" t="s">
        <v>548</v>
      </c>
      <c r="D26" s="528" t="s">
        <v>871</v>
      </c>
      <c r="E26" s="529" t="s">
        <v>555</v>
      </c>
      <c r="F26" s="527" t="s">
        <v>545</v>
      </c>
      <c r="G26" s="527" t="s">
        <v>618</v>
      </c>
      <c r="H26" s="527" t="s">
        <v>431</v>
      </c>
      <c r="I26" s="527" t="s">
        <v>619</v>
      </c>
      <c r="J26" s="527" t="s">
        <v>620</v>
      </c>
      <c r="K26" s="527" t="s">
        <v>621</v>
      </c>
      <c r="L26" s="530">
        <v>79.58</v>
      </c>
      <c r="M26" s="530">
        <v>79.58</v>
      </c>
      <c r="N26" s="527">
        <v>1</v>
      </c>
      <c r="O26" s="531">
        <v>1</v>
      </c>
      <c r="P26" s="530">
        <v>79.58</v>
      </c>
      <c r="Q26" s="532">
        <v>1</v>
      </c>
      <c r="R26" s="527">
        <v>1</v>
      </c>
      <c r="S26" s="532">
        <v>1</v>
      </c>
      <c r="T26" s="531">
        <v>1</v>
      </c>
      <c r="U26" s="533">
        <v>1</v>
      </c>
    </row>
    <row r="27" spans="1:21" ht="14.4" customHeight="1" x14ac:dyDescent="0.3">
      <c r="A27" s="526">
        <v>29</v>
      </c>
      <c r="B27" s="527" t="s">
        <v>430</v>
      </c>
      <c r="C27" s="527" t="s">
        <v>548</v>
      </c>
      <c r="D27" s="528" t="s">
        <v>871</v>
      </c>
      <c r="E27" s="529" t="s">
        <v>555</v>
      </c>
      <c r="F27" s="527" t="s">
        <v>545</v>
      </c>
      <c r="G27" s="527" t="s">
        <v>622</v>
      </c>
      <c r="H27" s="527" t="s">
        <v>431</v>
      </c>
      <c r="I27" s="527" t="s">
        <v>623</v>
      </c>
      <c r="J27" s="527" t="s">
        <v>624</v>
      </c>
      <c r="K27" s="527" t="s">
        <v>625</v>
      </c>
      <c r="L27" s="530">
        <v>0</v>
      </c>
      <c r="M27" s="530">
        <v>0</v>
      </c>
      <c r="N27" s="527">
        <v>1</v>
      </c>
      <c r="O27" s="531">
        <v>1</v>
      </c>
      <c r="P27" s="530">
        <v>0</v>
      </c>
      <c r="Q27" s="532"/>
      <c r="R27" s="527">
        <v>1</v>
      </c>
      <c r="S27" s="532">
        <v>1</v>
      </c>
      <c r="T27" s="531">
        <v>1</v>
      </c>
      <c r="U27" s="533">
        <v>1</v>
      </c>
    </row>
    <row r="28" spans="1:21" ht="14.4" customHeight="1" x14ac:dyDescent="0.3">
      <c r="A28" s="526">
        <v>29</v>
      </c>
      <c r="B28" s="527" t="s">
        <v>430</v>
      </c>
      <c r="C28" s="527" t="s">
        <v>548</v>
      </c>
      <c r="D28" s="528" t="s">
        <v>871</v>
      </c>
      <c r="E28" s="529" t="s">
        <v>555</v>
      </c>
      <c r="F28" s="527" t="s">
        <v>545</v>
      </c>
      <c r="G28" s="527" t="s">
        <v>626</v>
      </c>
      <c r="H28" s="527" t="s">
        <v>431</v>
      </c>
      <c r="I28" s="527" t="s">
        <v>627</v>
      </c>
      <c r="J28" s="527" t="s">
        <v>628</v>
      </c>
      <c r="K28" s="527" t="s">
        <v>629</v>
      </c>
      <c r="L28" s="530">
        <v>244.64</v>
      </c>
      <c r="M28" s="530">
        <v>489.28</v>
      </c>
      <c r="N28" s="527">
        <v>2</v>
      </c>
      <c r="O28" s="531">
        <v>1</v>
      </c>
      <c r="P28" s="530">
        <v>489.28</v>
      </c>
      <c r="Q28" s="532">
        <v>1</v>
      </c>
      <c r="R28" s="527">
        <v>2</v>
      </c>
      <c r="S28" s="532">
        <v>1</v>
      </c>
      <c r="T28" s="531">
        <v>1</v>
      </c>
      <c r="U28" s="533">
        <v>1</v>
      </c>
    </row>
    <row r="29" spans="1:21" ht="14.4" customHeight="1" x14ac:dyDescent="0.3">
      <c r="A29" s="526">
        <v>29</v>
      </c>
      <c r="B29" s="527" t="s">
        <v>430</v>
      </c>
      <c r="C29" s="527" t="s">
        <v>548</v>
      </c>
      <c r="D29" s="528" t="s">
        <v>871</v>
      </c>
      <c r="E29" s="529" t="s">
        <v>555</v>
      </c>
      <c r="F29" s="527" t="s">
        <v>545</v>
      </c>
      <c r="G29" s="527" t="s">
        <v>626</v>
      </c>
      <c r="H29" s="527" t="s">
        <v>431</v>
      </c>
      <c r="I29" s="527" t="s">
        <v>630</v>
      </c>
      <c r="J29" s="527" t="s">
        <v>628</v>
      </c>
      <c r="K29" s="527" t="s">
        <v>631</v>
      </c>
      <c r="L29" s="530">
        <v>0</v>
      </c>
      <c r="M29" s="530">
        <v>0</v>
      </c>
      <c r="N29" s="527">
        <v>5</v>
      </c>
      <c r="O29" s="531">
        <v>2</v>
      </c>
      <c r="P29" s="530">
        <v>0</v>
      </c>
      <c r="Q29" s="532"/>
      <c r="R29" s="527">
        <v>5</v>
      </c>
      <c r="S29" s="532">
        <v>1</v>
      </c>
      <c r="T29" s="531">
        <v>2</v>
      </c>
      <c r="U29" s="533">
        <v>1</v>
      </c>
    </row>
    <row r="30" spans="1:21" ht="14.4" customHeight="1" x14ac:dyDescent="0.3">
      <c r="A30" s="526">
        <v>29</v>
      </c>
      <c r="B30" s="527" t="s">
        <v>430</v>
      </c>
      <c r="C30" s="527" t="s">
        <v>548</v>
      </c>
      <c r="D30" s="528" t="s">
        <v>871</v>
      </c>
      <c r="E30" s="529" t="s">
        <v>555</v>
      </c>
      <c r="F30" s="527" t="s">
        <v>545</v>
      </c>
      <c r="G30" s="527" t="s">
        <v>632</v>
      </c>
      <c r="H30" s="527" t="s">
        <v>872</v>
      </c>
      <c r="I30" s="527" t="s">
        <v>633</v>
      </c>
      <c r="J30" s="527" t="s">
        <v>634</v>
      </c>
      <c r="K30" s="527" t="s">
        <v>568</v>
      </c>
      <c r="L30" s="530">
        <v>21.13</v>
      </c>
      <c r="M30" s="530">
        <v>42.26</v>
      </c>
      <c r="N30" s="527">
        <v>2</v>
      </c>
      <c r="O30" s="531">
        <v>2</v>
      </c>
      <c r="P30" s="530">
        <v>42.26</v>
      </c>
      <c r="Q30" s="532">
        <v>1</v>
      </c>
      <c r="R30" s="527">
        <v>2</v>
      </c>
      <c r="S30" s="532">
        <v>1</v>
      </c>
      <c r="T30" s="531">
        <v>2</v>
      </c>
      <c r="U30" s="533">
        <v>1</v>
      </c>
    </row>
    <row r="31" spans="1:21" ht="14.4" customHeight="1" x14ac:dyDescent="0.3">
      <c r="A31" s="526">
        <v>29</v>
      </c>
      <c r="B31" s="527" t="s">
        <v>430</v>
      </c>
      <c r="C31" s="527" t="s">
        <v>548</v>
      </c>
      <c r="D31" s="528" t="s">
        <v>871</v>
      </c>
      <c r="E31" s="529" t="s">
        <v>555</v>
      </c>
      <c r="F31" s="527" t="s">
        <v>545</v>
      </c>
      <c r="G31" s="527" t="s">
        <v>635</v>
      </c>
      <c r="H31" s="527" t="s">
        <v>431</v>
      </c>
      <c r="I31" s="527" t="s">
        <v>636</v>
      </c>
      <c r="J31" s="527" t="s">
        <v>637</v>
      </c>
      <c r="K31" s="527" t="s">
        <v>638</v>
      </c>
      <c r="L31" s="530">
        <v>0</v>
      </c>
      <c r="M31" s="530">
        <v>0</v>
      </c>
      <c r="N31" s="527">
        <v>2</v>
      </c>
      <c r="O31" s="531">
        <v>1</v>
      </c>
      <c r="P31" s="530"/>
      <c r="Q31" s="532"/>
      <c r="R31" s="527"/>
      <c r="S31" s="532">
        <v>0</v>
      </c>
      <c r="T31" s="531"/>
      <c r="U31" s="533">
        <v>0</v>
      </c>
    </row>
    <row r="32" spans="1:21" ht="14.4" customHeight="1" x14ac:dyDescent="0.3">
      <c r="A32" s="526">
        <v>29</v>
      </c>
      <c r="B32" s="527" t="s">
        <v>430</v>
      </c>
      <c r="C32" s="527" t="s">
        <v>548</v>
      </c>
      <c r="D32" s="528" t="s">
        <v>871</v>
      </c>
      <c r="E32" s="529" t="s">
        <v>555</v>
      </c>
      <c r="F32" s="527" t="s">
        <v>545</v>
      </c>
      <c r="G32" s="527" t="s">
        <v>639</v>
      </c>
      <c r="H32" s="527" t="s">
        <v>872</v>
      </c>
      <c r="I32" s="527" t="s">
        <v>640</v>
      </c>
      <c r="J32" s="527" t="s">
        <v>641</v>
      </c>
      <c r="K32" s="527" t="s">
        <v>642</v>
      </c>
      <c r="L32" s="530">
        <v>18.260000000000002</v>
      </c>
      <c r="M32" s="530">
        <v>18.260000000000002</v>
      </c>
      <c r="N32" s="527">
        <v>1</v>
      </c>
      <c r="O32" s="531">
        <v>1</v>
      </c>
      <c r="P32" s="530">
        <v>18.260000000000002</v>
      </c>
      <c r="Q32" s="532">
        <v>1</v>
      </c>
      <c r="R32" s="527">
        <v>1</v>
      </c>
      <c r="S32" s="532">
        <v>1</v>
      </c>
      <c r="T32" s="531">
        <v>1</v>
      </c>
      <c r="U32" s="533">
        <v>1</v>
      </c>
    </row>
    <row r="33" spans="1:21" ht="14.4" customHeight="1" x14ac:dyDescent="0.3">
      <c r="A33" s="526">
        <v>29</v>
      </c>
      <c r="B33" s="527" t="s">
        <v>430</v>
      </c>
      <c r="C33" s="527" t="s">
        <v>548</v>
      </c>
      <c r="D33" s="528" t="s">
        <v>871</v>
      </c>
      <c r="E33" s="529" t="s">
        <v>555</v>
      </c>
      <c r="F33" s="527" t="s">
        <v>545</v>
      </c>
      <c r="G33" s="527" t="s">
        <v>643</v>
      </c>
      <c r="H33" s="527" t="s">
        <v>431</v>
      </c>
      <c r="I33" s="527" t="s">
        <v>644</v>
      </c>
      <c r="J33" s="527" t="s">
        <v>645</v>
      </c>
      <c r="K33" s="527" t="s">
        <v>646</v>
      </c>
      <c r="L33" s="530">
        <v>139.63999999999999</v>
      </c>
      <c r="M33" s="530">
        <v>139.63999999999999</v>
      </c>
      <c r="N33" s="527">
        <v>1</v>
      </c>
      <c r="O33" s="531">
        <v>1</v>
      </c>
      <c r="P33" s="530">
        <v>139.63999999999999</v>
      </c>
      <c r="Q33" s="532">
        <v>1</v>
      </c>
      <c r="R33" s="527">
        <v>1</v>
      </c>
      <c r="S33" s="532">
        <v>1</v>
      </c>
      <c r="T33" s="531">
        <v>1</v>
      </c>
      <c r="U33" s="533">
        <v>1</v>
      </c>
    </row>
    <row r="34" spans="1:21" ht="14.4" customHeight="1" x14ac:dyDescent="0.3">
      <c r="A34" s="526">
        <v>29</v>
      </c>
      <c r="B34" s="527" t="s">
        <v>430</v>
      </c>
      <c r="C34" s="527" t="s">
        <v>548</v>
      </c>
      <c r="D34" s="528" t="s">
        <v>871</v>
      </c>
      <c r="E34" s="529" t="s">
        <v>555</v>
      </c>
      <c r="F34" s="527" t="s">
        <v>545</v>
      </c>
      <c r="G34" s="527" t="s">
        <v>647</v>
      </c>
      <c r="H34" s="527" t="s">
        <v>431</v>
      </c>
      <c r="I34" s="527" t="s">
        <v>648</v>
      </c>
      <c r="J34" s="527" t="s">
        <v>649</v>
      </c>
      <c r="K34" s="527" t="s">
        <v>650</v>
      </c>
      <c r="L34" s="530">
        <v>0</v>
      </c>
      <c r="M34" s="530">
        <v>0</v>
      </c>
      <c r="N34" s="527">
        <v>1</v>
      </c>
      <c r="O34" s="531">
        <v>0.5</v>
      </c>
      <c r="P34" s="530">
        <v>0</v>
      </c>
      <c r="Q34" s="532"/>
      <c r="R34" s="527">
        <v>1</v>
      </c>
      <c r="S34" s="532">
        <v>1</v>
      </c>
      <c r="T34" s="531">
        <v>0.5</v>
      </c>
      <c r="U34" s="533">
        <v>1</v>
      </c>
    </row>
    <row r="35" spans="1:21" ht="14.4" customHeight="1" x14ac:dyDescent="0.3">
      <c r="A35" s="526">
        <v>29</v>
      </c>
      <c r="B35" s="527" t="s">
        <v>430</v>
      </c>
      <c r="C35" s="527" t="s">
        <v>548</v>
      </c>
      <c r="D35" s="528" t="s">
        <v>871</v>
      </c>
      <c r="E35" s="529" t="s">
        <v>555</v>
      </c>
      <c r="F35" s="527" t="s">
        <v>545</v>
      </c>
      <c r="G35" s="527" t="s">
        <v>590</v>
      </c>
      <c r="H35" s="527" t="s">
        <v>431</v>
      </c>
      <c r="I35" s="527" t="s">
        <v>475</v>
      </c>
      <c r="J35" s="527" t="s">
        <v>476</v>
      </c>
      <c r="K35" s="527" t="s">
        <v>592</v>
      </c>
      <c r="L35" s="530">
        <v>289.27</v>
      </c>
      <c r="M35" s="530">
        <v>867.81</v>
      </c>
      <c r="N35" s="527">
        <v>3</v>
      </c>
      <c r="O35" s="531">
        <v>2</v>
      </c>
      <c r="P35" s="530">
        <v>867.81</v>
      </c>
      <c r="Q35" s="532">
        <v>1</v>
      </c>
      <c r="R35" s="527">
        <v>3</v>
      </c>
      <c r="S35" s="532">
        <v>1</v>
      </c>
      <c r="T35" s="531">
        <v>2</v>
      </c>
      <c r="U35" s="533">
        <v>1</v>
      </c>
    </row>
    <row r="36" spans="1:21" ht="14.4" customHeight="1" x14ac:dyDescent="0.3">
      <c r="A36" s="526">
        <v>29</v>
      </c>
      <c r="B36" s="527" t="s">
        <v>430</v>
      </c>
      <c r="C36" s="527" t="s">
        <v>548</v>
      </c>
      <c r="D36" s="528" t="s">
        <v>871</v>
      </c>
      <c r="E36" s="529" t="s">
        <v>555</v>
      </c>
      <c r="F36" s="527" t="s">
        <v>547</v>
      </c>
      <c r="G36" s="527" t="s">
        <v>597</v>
      </c>
      <c r="H36" s="527" t="s">
        <v>431</v>
      </c>
      <c r="I36" s="527" t="s">
        <v>601</v>
      </c>
      <c r="J36" s="527" t="s">
        <v>599</v>
      </c>
      <c r="K36" s="527" t="s">
        <v>602</v>
      </c>
      <c r="L36" s="530">
        <v>100</v>
      </c>
      <c r="M36" s="530">
        <v>1100</v>
      </c>
      <c r="N36" s="527">
        <v>11</v>
      </c>
      <c r="O36" s="531">
        <v>9</v>
      </c>
      <c r="P36" s="530">
        <v>900</v>
      </c>
      <c r="Q36" s="532">
        <v>0.81818181818181823</v>
      </c>
      <c r="R36" s="527">
        <v>9</v>
      </c>
      <c r="S36" s="532">
        <v>0.81818181818181823</v>
      </c>
      <c r="T36" s="531">
        <v>7</v>
      </c>
      <c r="U36" s="533">
        <v>0.77777777777777779</v>
      </c>
    </row>
    <row r="37" spans="1:21" ht="14.4" customHeight="1" x14ac:dyDescent="0.3">
      <c r="A37" s="526">
        <v>29</v>
      </c>
      <c r="B37" s="527" t="s">
        <v>430</v>
      </c>
      <c r="C37" s="527" t="s">
        <v>548</v>
      </c>
      <c r="D37" s="528" t="s">
        <v>871</v>
      </c>
      <c r="E37" s="529" t="s">
        <v>555</v>
      </c>
      <c r="F37" s="527" t="s">
        <v>547</v>
      </c>
      <c r="G37" s="527" t="s">
        <v>597</v>
      </c>
      <c r="H37" s="527" t="s">
        <v>431</v>
      </c>
      <c r="I37" s="527" t="s">
        <v>651</v>
      </c>
      <c r="J37" s="527" t="s">
        <v>652</v>
      </c>
      <c r="K37" s="527" t="s">
        <v>653</v>
      </c>
      <c r="L37" s="530">
        <v>156</v>
      </c>
      <c r="M37" s="530">
        <v>468</v>
      </c>
      <c r="N37" s="527">
        <v>3</v>
      </c>
      <c r="O37" s="531">
        <v>2</v>
      </c>
      <c r="P37" s="530">
        <v>468</v>
      </c>
      <c r="Q37" s="532">
        <v>1</v>
      </c>
      <c r="R37" s="527">
        <v>3</v>
      </c>
      <c r="S37" s="532">
        <v>1</v>
      </c>
      <c r="T37" s="531">
        <v>2</v>
      </c>
      <c r="U37" s="533">
        <v>1</v>
      </c>
    </row>
    <row r="38" spans="1:21" ht="14.4" customHeight="1" x14ac:dyDescent="0.3">
      <c r="A38" s="526">
        <v>29</v>
      </c>
      <c r="B38" s="527" t="s">
        <v>430</v>
      </c>
      <c r="C38" s="527" t="s">
        <v>548</v>
      </c>
      <c r="D38" s="528" t="s">
        <v>871</v>
      </c>
      <c r="E38" s="529" t="s">
        <v>555</v>
      </c>
      <c r="F38" s="527" t="s">
        <v>547</v>
      </c>
      <c r="G38" s="527" t="s">
        <v>654</v>
      </c>
      <c r="H38" s="527" t="s">
        <v>431</v>
      </c>
      <c r="I38" s="527" t="s">
        <v>655</v>
      </c>
      <c r="J38" s="527" t="s">
        <v>656</v>
      </c>
      <c r="K38" s="527" t="s">
        <v>657</v>
      </c>
      <c r="L38" s="530">
        <v>566</v>
      </c>
      <c r="M38" s="530">
        <v>2264</v>
      </c>
      <c r="N38" s="527">
        <v>4</v>
      </c>
      <c r="O38" s="531">
        <v>2</v>
      </c>
      <c r="P38" s="530">
        <v>2264</v>
      </c>
      <c r="Q38" s="532">
        <v>1</v>
      </c>
      <c r="R38" s="527">
        <v>4</v>
      </c>
      <c r="S38" s="532">
        <v>1</v>
      </c>
      <c r="T38" s="531">
        <v>2</v>
      </c>
      <c r="U38" s="533">
        <v>1</v>
      </c>
    </row>
    <row r="39" spans="1:21" ht="14.4" customHeight="1" x14ac:dyDescent="0.3">
      <c r="A39" s="526">
        <v>29</v>
      </c>
      <c r="B39" s="527" t="s">
        <v>430</v>
      </c>
      <c r="C39" s="527" t="s">
        <v>548</v>
      </c>
      <c r="D39" s="528" t="s">
        <v>871</v>
      </c>
      <c r="E39" s="529" t="s">
        <v>555</v>
      </c>
      <c r="F39" s="527" t="s">
        <v>547</v>
      </c>
      <c r="G39" s="527" t="s">
        <v>603</v>
      </c>
      <c r="H39" s="527" t="s">
        <v>431</v>
      </c>
      <c r="I39" s="527" t="s">
        <v>658</v>
      </c>
      <c r="J39" s="527" t="s">
        <v>659</v>
      </c>
      <c r="K39" s="527" t="s">
        <v>660</v>
      </c>
      <c r="L39" s="530">
        <v>58.5</v>
      </c>
      <c r="M39" s="530">
        <v>58.5</v>
      </c>
      <c r="N39" s="527">
        <v>1</v>
      </c>
      <c r="O39" s="531">
        <v>1</v>
      </c>
      <c r="P39" s="530">
        <v>58.5</v>
      </c>
      <c r="Q39" s="532">
        <v>1</v>
      </c>
      <c r="R39" s="527">
        <v>1</v>
      </c>
      <c r="S39" s="532">
        <v>1</v>
      </c>
      <c r="T39" s="531">
        <v>1</v>
      </c>
      <c r="U39" s="533">
        <v>1</v>
      </c>
    </row>
    <row r="40" spans="1:21" ht="14.4" customHeight="1" x14ac:dyDescent="0.3">
      <c r="A40" s="526">
        <v>29</v>
      </c>
      <c r="B40" s="527" t="s">
        <v>430</v>
      </c>
      <c r="C40" s="527" t="s">
        <v>548</v>
      </c>
      <c r="D40" s="528" t="s">
        <v>871</v>
      </c>
      <c r="E40" s="529" t="s">
        <v>555</v>
      </c>
      <c r="F40" s="527" t="s">
        <v>547</v>
      </c>
      <c r="G40" s="527" t="s">
        <v>603</v>
      </c>
      <c r="H40" s="527" t="s">
        <v>431</v>
      </c>
      <c r="I40" s="527" t="s">
        <v>661</v>
      </c>
      <c r="J40" s="527" t="s">
        <v>662</v>
      </c>
      <c r="K40" s="527" t="s">
        <v>663</v>
      </c>
      <c r="L40" s="530">
        <v>261.29000000000002</v>
      </c>
      <c r="M40" s="530">
        <v>261.29000000000002</v>
      </c>
      <c r="N40" s="527">
        <v>1</v>
      </c>
      <c r="O40" s="531">
        <v>1</v>
      </c>
      <c r="P40" s="530"/>
      <c r="Q40" s="532">
        <v>0</v>
      </c>
      <c r="R40" s="527"/>
      <c r="S40" s="532">
        <v>0</v>
      </c>
      <c r="T40" s="531"/>
      <c r="U40" s="533">
        <v>0</v>
      </c>
    </row>
    <row r="41" spans="1:21" ht="14.4" customHeight="1" x14ac:dyDescent="0.3">
      <c r="A41" s="526">
        <v>29</v>
      </c>
      <c r="B41" s="527" t="s">
        <v>430</v>
      </c>
      <c r="C41" s="527" t="s">
        <v>548</v>
      </c>
      <c r="D41" s="528" t="s">
        <v>871</v>
      </c>
      <c r="E41" s="529" t="s">
        <v>555</v>
      </c>
      <c r="F41" s="527" t="s">
        <v>547</v>
      </c>
      <c r="G41" s="527" t="s">
        <v>664</v>
      </c>
      <c r="H41" s="527" t="s">
        <v>431</v>
      </c>
      <c r="I41" s="527" t="s">
        <v>665</v>
      </c>
      <c r="J41" s="527" t="s">
        <v>666</v>
      </c>
      <c r="K41" s="527"/>
      <c r="L41" s="530">
        <v>0</v>
      </c>
      <c r="M41" s="530">
        <v>0</v>
      </c>
      <c r="N41" s="527">
        <v>1</v>
      </c>
      <c r="O41" s="531">
        <v>1</v>
      </c>
      <c r="P41" s="530"/>
      <c r="Q41" s="532"/>
      <c r="R41" s="527"/>
      <c r="S41" s="532">
        <v>0</v>
      </c>
      <c r="T41" s="531"/>
      <c r="U41" s="533">
        <v>0</v>
      </c>
    </row>
    <row r="42" spans="1:21" ht="14.4" customHeight="1" x14ac:dyDescent="0.3">
      <c r="A42" s="526">
        <v>29</v>
      </c>
      <c r="B42" s="527" t="s">
        <v>430</v>
      </c>
      <c r="C42" s="527" t="s">
        <v>548</v>
      </c>
      <c r="D42" s="528" t="s">
        <v>871</v>
      </c>
      <c r="E42" s="529" t="s">
        <v>556</v>
      </c>
      <c r="F42" s="527" t="s">
        <v>545</v>
      </c>
      <c r="G42" s="527" t="s">
        <v>561</v>
      </c>
      <c r="H42" s="527" t="s">
        <v>872</v>
      </c>
      <c r="I42" s="527" t="s">
        <v>562</v>
      </c>
      <c r="J42" s="527" t="s">
        <v>563</v>
      </c>
      <c r="K42" s="527" t="s">
        <v>564</v>
      </c>
      <c r="L42" s="530">
        <v>154.36000000000001</v>
      </c>
      <c r="M42" s="530">
        <v>308.72000000000003</v>
      </c>
      <c r="N42" s="527">
        <v>2</v>
      </c>
      <c r="O42" s="531">
        <v>0.5</v>
      </c>
      <c r="P42" s="530">
        <v>308.72000000000003</v>
      </c>
      <c r="Q42" s="532">
        <v>1</v>
      </c>
      <c r="R42" s="527">
        <v>2</v>
      </c>
      <c r="S42" s="532">
        <v>1</v>
      </c>
      <c r="T42" s="531">
        <v>0.5</v>
      </c>
      <c r="U42" s="533">
        <v>1</v>
      </c>
    </row>
    <row r="43" spans="1:21" ht="14.4" customHeight="1" x14ac:dyDescent="0.3">
      <c r="A43" s="526">
        <v>29</v>
      </c>
      <c r="B43" s="527" t="s">
        <v>430</v>
      </c>
      <c r="C43" s="527" t="s">
        <v>548</v>
      </c>
      <c r="D43" s="528" t="s">
        <v>871</v>
      </c>
      <c r="E43" s="529" t="s">
        <v>556</v>
      </c>
      <c r="F43" s="527" t="s">
        <v>545</v>
      </c>
      <c r="G43" s="527" t="s">
        <v>565</v>
      </c>
      <c r="H43" s="527" t="s">
        <v>431</v>
      </c>
      <c r="I43" s="527" t="s">
        <v>566</v>
      </c>
      <c r="J43" s="527" t="s">
        <v>567</v>
      </c>
      <c r="K43" s="527" t="s">
        <v>568</v>
      </c>
      <c r="L43" s="530">
        <v>0</v>
      </c>
      <c r="M43" s="530">
        <v>0</v>
      </c>
      <c r="N43" s="527">
        <v>7</v>
      </c>
      <c r="O43" s="531">
        <v>7</v>
      </c>
      <c r="P43" s="530">
        <v>0</v>
      </c>
      <c r="Q43" s="532"/>
      <c r="R43" s="527">
        <v>7</v>
      </c>
      <c r="S43" s="532">
        <v>1</v>
      </c>
      <c r="T43" s="531">
        <v>7</v>
      </c>
      <c r="U43" s="533">
        <v>1</v>
      </c>
    </row>
    <row r="44" spans="1:21" ht="14.4" customHeight="1" x14ac:dyDescent="0.3">
      <c r="A44" s="526">
        <v>29</v>
      </c>
      <c r="B44" s="527" t="s">
        <v>430</v>
      </c>
      <c r="C44" s="527" t="s">
        <v>548</v>
      </c>
      <c r="D44" s="528" t="s">
        <v>871</v>
      </c>
      <c r="E44" s="529" t="s">
        <v>556</v>
      </c>
      <c r="F44" s="527" t="s">
        <v>545</v>
      </c>
      <c r="G44" s="527" t="s">
        <v>667</v>
      </c>
      <c r="H44" s="527" t="s">
        <v>431</v>
      </c>
      <c r="I44" s="527" t="s">
        <v>668</v>
      </c>
      <c r="J44" s="527" t="s">
        <v>669</v>
      </c>
      <c r="K44" s="527" t="s">
        <v>670</v>
      </c>
      <c r="L44" s="530">
        <v>91.11</v>
      </c>
      <c r="M44" s="530">
        <v>91.11</v>
      </c>
      <c r="N44" s="527">
        <v>1</v>
      </c>
      <c r="O44" s="531">
        <v>0.5</v>
      </c>
      <c r="P44" s="530">
        <v>91.11</v>
      </c>
      <c r="Q44" s="532">
        <v>1</v>
      </c>
      <c r="R44" s="527">
        <v>1</v>
      </c>
      <c r="S44" s="532">
        <v>1</v>
      </c>
      <c r="T44" s="531">
        <v>0.5</v>
      </c>
      <c r="U44" s="533">
        <v>1</v>
      </c>
    </row>
    <row r="45" spans="1:21" ht="14.4" customHeight="1" x14ac:dyDescent="0.3">
      <c r="A45" s="526">
        <v>29</v>
      </c>
      <c r="B45" s="527" t="s">
        <v>430</v>
      </c>
      <c r="C45" s="527" t="s">
        <v>548</v>
      </c>
      <c r="D45" s="528" t="s">
        <v>871</v>
      </c>
      <c r="E45" s="529" t="s">
        <v>556</v>
      </c>
      <c r="F45" s="527" t="s">
        <v>545</v>
      </c>
      <c r="G45" s="527" t="s">
        <v>667</v>
      </c>
      <c r="H45" s="527" t="s">
        <v>431</v>
      </c>
      <c r="I45" s="527" t="s">
        <v>671</v>
      </c>
      <c r="J45" s="527" t="s">
        <v>669</v>
      </c>
      <c r="K45" s="527" t="s">
        <v>670</v>
      </c>
      <c r="L45" s="530">
        <v>91.11</v>
      </c>
      <c r="M45" s="530">
        <v>182.22</v>
      </c>
      <c r="N45" s="527">
        <v>2</v>
      </c>
      <c r="O45" s="531">
        <v>0.5</v>
      </c>
      <c r="P45" s="530"/>
      <c r="Q45" s="532">
        <v>0</v>
      </c>
      <c r="R45" s="527"/>
      <c r="S45" s="532">
        <v>0</v>
      </c>
      <c r="T45" s="531"/>
      <c r="U45" s="533">
        <v>0</v>
      </c>
    </row>
    <row r="46" spans="1:21" ht="14.4" customHeight="1" x14ac:dyDescent="0.3">
      <c r="A46" s="526">
        <v>29</v>
      </c>
      <c r="B46" s="527" t="s">
        <v>430</v>
      </c>
      <c r="C46" s="527" t="s">
        <v>548</v>
      </c>
      <c r="D46" s="528" t="s">
        <v>871</v>
      </c>
      <c r="E46" s="529" t="s">
        <v>556</v>
      </c>
      <c r="F46" s="527" t="s">
        <v>545</v>
      </c>
      <c r="G46" s="527" t="s">
        <v>672</v>
      </c>
      <c r="H46" s="527" t="s">
        <v>431</v>
      </c>
      <c r="I46" s="527" t="s">
        <v>673</v>
      </c>
      <c r="J46" s="527" t="s">
        <v>674</v>
      </c>
      <c r="K46" s="527" t="s">
        <v>675</v>
      </c>
      <c r="L46" s="530">
        <v>107.27</v>
      </c>
      <c r="M46" s="530">
        <v>107.27</v>
      </c>
      <c r="N46" s="527">
        <v>1</v>
      </c>
      <c r="O46" s="531">
        <v>1</v>
      </c>
      <c r="P46" s="530"/>
      <c r="Q46" s="532">
        <v>0</v>
      </c>
      <c r="R46" s="527"/>
      <c r="S46" s="532">
        <v>0</v>
      </c>
      <c r="T46" s="531"/>
      <c r="U46" s="533">
        <v>0</v>
      </c>
    </row>
    <row r="47" spans="1:21" ht="14.4" customHeight="1" x14ac:dyDescent="0.3">
      <c r="A47" s="526">
        <v>29</v>
      </c>
      <c r="B47" s="527" t="s">
        <v>430</v>
      </c>
      <c r="C47" s="527" t="s">
        <v>548</v>
      </c>
      <c r="D47" s="528" t="s">
        <v>871</v>
      </c>
      <c r="E47" s="529" t="s">
        <v>556</v>
      </c>
      <c r="F47" s="527" t="s">
        <v>545</v>
      </c>
      <c r="G47" s="527" t="s">
        <v>672</v>
      </c>
      <c r="H47" s="527" t="s">
        <v>431</v>
      </c>
      <c r="I47" s="527" t="s">
        <v>676</v>
      </c>
      <c r="J47" s="527" t="s">
        <v>674</v>
      </c>
      <c r="K47" s="527" t="s">
        <v>675</v>
      </c>
      <c r="L47" s="530">
        <v>107.27</v>
      </c>
      <c r="M47" s="530">
        <v>214.54</v>
      </c>
      <c r="N47" s="527">
        <v>2</v>
      </c>
      <c r="O47" s="531">
        <v>1</v>
      </c>
      <c r="P47" s="530"/>
      <c r="Q47" s="532">
        <v>0</v>
      </c>
      <c r="R47" s="527"/>
      <c r="S47" s="532">
        <v>0</v>
      </c>
      <c r="T47" s="531"/>
      <c r="U47" s="533">
        <v>0</v>
      </c>
    </row>
    <row r="48" spans="1:21" ht="14.4" customHeight="1" x14ac:dyDescent="0.3">
      <c r="A48" s="526">
        <v>29</v>
      </c>
      <c r="B48" s="527" t="s">
        <v>430</v>
      </c>
      <c r="C48" s="527" t="s">
        <v>548</v>
      </c>
      <c r="D48" s="528" t="s">
        <v>871</v>
      </c>
      <c r="E48" s="529" t="s">
        <v>556</v>
      </c>
      <c r="F48" s="527" t="s">
        <v>545</v>
      </c>
      <c r="G48" s="527" t="s">
        <v>677</v>
      </c>
      <c r="H48" s="527" t="s">
        <v>431</v>
      </c>
      <c r="I48" s="527" t="s">
        <v>678</v>
      </c>
      <c r="J48" s="527" t="s">
        <v>679</v>
      </c>
      <c r="K48" s="527" t="s">
        <v>680</v>
      </c>
      <c r="L48" s="530">
        <v>30.46</v>
      </c>
      <c r="M48" s="530">
        <v>30.46</v>
      </c>
      <c r="N48" s="527">
        <v>1</v>
      </c>
      <c r="O48" s="531">
        <v>0.5</v>
      </c>
      <c r="P48" s="530">
        <v>30.46</v>
      </c>
      <c r="Q48" s="532">
        <v>1</v>
      </c>
      <c r="R48" s="527">
        <v>1</v>
      </c>
      <c r="S48" s="532">
        <v>1</v>
      </c>
      <c r="T48" s="531">
        <v>0.5</v>
      </c>
      <c r="U48" s="533">
        <v>1</v>
      </c>
    </row>
    <row r="49" spans="1:21" ht="14.4" customHeight="1" x14ac:dyDescent="0.3">
      <c r="A49" s="526">
        <v>29</v>
      </c>
      <c r="B49" s="527" t="s">
        <v>430</v>
      </c>
      <c r="C49" s="527" t="s">
        <v>548</v>
      </c>
      <c r="D49" s="528" t="s">
        <v>871</v>
      </c>
      <c r="E49" s="529" t="s">
        <v>556</v>
      </c>
      <c r="F49" s="527" t="s">
        <v>545</v>
      </c>
      <c r="G49" s="527" t="s">
        <v>677</v>
      </c>
      <c r="H49" s="527" t="s">
        <v>431</v>
      </c>
      <c r="I49" s="527" t="s">
        <v>681</v>
      </c>
      <c r="J49" s="527" t="s">
        <v>682</v>
      </c>
      <c r="K49" s="527" t="s">
        <v>683</v>
      </c>
      <c r="L49" s="530">
        <v>60.9</v>
      </c>
      <c r="M49" s="530">
        <v>243.6</v>
      </c>
      <c r="N49" s="527">
        <v>4</v>
      </c>
      <c r="O49" s="531">
        <v>2</v>
      </c>
      <c r="P49" s="530">
        <v>182.7</v>
      </c>
      <c r="Q49" s="532">
        <v>0.75</v>
      </c>
      <c r="R49" s="527">
        <v>3</v>
      </c>
      <c r="S49" s="532">
        <v>0.75</v>
      </c>
      <c r="T49" s="531">
        <v>1.5</v>
      </c>
      <c r="U49" s="533">
        <v>0.75</v>
      </c>
    </row>
    <row r="50" spans="1:21" ht="14.4" customHeight="1" x14ac:dyDescent="0.3">
      <c r="A50" s="526">
        <v>29</v>
      </c>
      <c r="B50" s="527" t="s">
        <v>430</v>
      </c>
      <c r="C50" s="527" t="s">
        <v>548</v>
      </c>
      <c r="D50" s="528" t="s">
        <v>871</v>
      </c>
      <c r="E50" s="529" t="s">
        <v>556</v>
      </c>
      <c r="F50" s="527" t="s">
        <v>545</v>
      </c>
      <c r="G50" s="527" t="s">
        <v>622</v>
      </c>
      <c r="H50" s="527" t="s">
        <v>431</v>
      </c>
      <c r="I50" s="527" t="s">
        <v>684</v>
      </c>
      <c r="J50" s="527" t="s">
        <v>624</v>
      </c>
      <c r="K50" s="527" t="s">
        <v>685</v>
      </c>
      <c r="L50" s="530">
        <v>0</v>
      </c>
      <c r="M50" s="530">
        <v>0</v>
      </c>
      <c r="N50" s="527">
        <v>2</v>
      </c>
      <c r="O50" s="531">
        <v>1</v>
      </c>
      <c r="P50" s="530">
        <v>0</v>
      </c>
      <c r="Q50" s="532"/>
      <c r="R50" s="527">
        <v>1</v>
      </c>
      <c r="S50" s="532">
        <v>0.5</v>
      </c>
      <c r="T50" s="531">
        <v>0.5</v>
      </c>
      <c r="U50" s="533">
        <v>0.5</v>
      </c>
    </row>
    <row r="51" spans="1:21" ht="14.4" customHeight="1" x14ac:dyDescent="0.3">
      <c r="A51" s="526">
        <v>29</v>
      </c>
      <c r="B51" s="527" t="s">
        <v>430</v>
      </c>
      <c r="C51" s="527" t="s">
        <v>548</v>
      </c>
      <c r="D51" s="528" t="s">
        <v>871</v>
      </c>
      <c r="E51" s="529" t="s">
        <v>556</v>
      </c>
      <c r="F51" s="527" t="s">
        <v>545</v>
      </c>
      <c r="G51" s="527" t="s">
        <v>622</v>
      </c>
      <c r="H51" s="527" t="s">
        <v>431</v>
      </c>
      <c r="I51" s="527" t="s">
        <v>623</v>
      </c>
      <c r="J51" s="527" t="s">
        <v>624</v>
      </c>
      <c r="K51" s="527" t="s">
        <v>625</v>
      </c>
      <c r="L51" s="530">
        <v>0</v>
      </c>
      <c r="M51" s="530">
        <v>0</v>
      </c>
      <c r="N51" s="527">
        <v>1</v>
      </c>
      <c r="O51" s="531">
        <v>0.5</v>
      </c>
      <c r="P51" s="530"/>
      <c r="Q51" s="532"/>
      <c r="R51" s="527"/>
      <c r="S51" s="532">
        <v>0</v>
      </c>
      <c r="T51" s="531"/>
      <c r="U51" s="533">
        <v>0</v>
      </c>
    </row>
    <row r="52" spans="1:21" ht="14.4" customHeight="1" x14ac:dyDescent="0.3">
      <c r="A52" s="526">
        <v>29</v>
      </c>
      <c r="B52" s="527" t="s">
        <v>430</v>
      </c>
      <c r="C52" s="527" t="s">
        <v>548</v>
      </c>
      <c r="D52" s="528" t="s">
        <v>871</v>
      </c>
      <c r="E52" s="529" t="s">
        <v>556</v>
      </c>
      <c r="F52" s="527" t="s">
        <v>545</v>
      </c>
      <c r="G52" s="527" t="s">
        <v>578</v>
      </c>
      <c r="H52" s="527" t="s">
        <v>872</v>
      </c>
      <c r="I52" s="527" t="s">
        <v>579</v>
      </c>
      <c r="J52" s="527" t="s">
        <v>580</v>
      </c>
      <c r="K52" s="527" t="s">
        <v>581</v>
      </c>
      <c r="L52" s="530">
        <v>543.39</v>
      </c>
      <c r="M52" s="530">
        <v>543.39</v>
      </c>
      <c r="N52" s="527">
        <v>1</v>
      </c>
      <c r="O52" s="531">
        <v>0.5</v>
      </c>
      <c r="P52" s="530"/>
      <c r="Q52" s="532">
        <v>0</v>
      </c>
      <c r="R52" s="527"/>
      <c r="S52" s="532">
        <v>0</v>
      </c>
      <c r="T52" s="531"/>
      <c r="U52" s="533">
        <v>0</v>
      </c>
    </row>
    <row r="53" spans="1:21" ht="14.4" customHeight="1" x14ac:dyDescent="0.3">
      <c r="A53" s="526">
        <v>29</v>
      </c>
      <c r="B53" s="527" t="s">
        <v>430</v>
      </c>
      <c r="C53" s="527" t="s">
        <v>548</v>
      </c>
      <c r="D53" s="528" t="s">
        <v>871</v>
      </c>
      <c r="E53" s="529" t="s">
        <v>556</v>
      </c>
      <c r="F53" s="527" t="s">
        <v>545</v>
      </c>
      <c r="G53" s="527" t="s">
        <v>639</v>
      </c>
      <c r="H53" s="527" t="s">
        <v>872</v>
      </c>
      <c r="I53" s="527" t="s">
        <v>686</v>
      </c>
      <c r="J53" s="527" t="s">
        <v>641</v>
      </c>
      <c r="K53" s="527" t="s">
        <v>687</v>
      </c>
      <c r="L53" s="530">
        <v>36.54</v>
      </c>
      <c r="M53" s="530">
        <v>36.54</v>
      </c>
      <c r="N53" s="527">
        <v>1</v>
      </c>
      <c r="O53" s="531">
        <v>0.5</v>
      </c>
      <c r="P53" s="530"/>
      <c r="Q53" s="532">
        <v>0</v>
      </c>
      <c r="R53" s="527"/>
      <c r="S53" s="532">
        <v>0</v>
      </c>
      <c r="T53" s="531"/>
      <c r="U53" s="533">
        <v>0</v>
      </c>
    </row>
    <row r="54" spans="1:21" ht="14.4" customHeight="1" x14ac:dyDescent="0.3">
      <c r="A54" s="526">
        <v>29</v>
      </c>
      <c r="B54" s="527" t="s">
        <v>430</v>
      </c>
      <c r="C54" s="527" t="s">
        <v>548</v>
      </c>
      <c r="D54" s="528" t="s">
        <v>871</v>
      </c>
      <c r="E54" s="529" t="s">
        <v>556</v>
      </c>
      <c r="F54" s="527" t="s">
        <v>545</v>
      </c>
      <c r="G54" s="527" t="s">
        <v>639</v>
      </c>
      <c r="H54" s="527" t="s">
        <v>431</v>
      </c>
      <c r="I54" s="527" t="s">
        <v>688</v>
      </c>
      <c r="J54" s="527" t="s">
        <v>689</v>
      </c>
      <c r="K54" s="527" t="s">
        <v>690</v>
      </c>
      <c r="L54" s="530">
        <v>0</v>
      </c>
      <c r="M54" s="530">
        <v>0</v>
      </c>
      <c r="N54" s="527">
        <v>1</v>
      </c>
      <c r="O54" s="531">
        <v>1</v>
      </c>
      <c r="P54" s="530"/>
      <c r="Q54" s="532"/>
      <c r="R54" s="527"/>
      <c r="S54" s="532">
        <v>0</v>
      </c>
      <c r="T54" s="531"/>
      <c r="U54" s="533">
        <v>0</v>
      </c>
    </row>
    <row r="55" spans="1:21" ht="14.4" customHeight="1" x14ac:dyDescent="0.3">
      <c r="A55" s="526">
        <v>29</v>
      </c>
      <c r="B55" s="527" t="s">
        <v>430</v>
      </c>
      <c r="C55" s="527" t="s">
        <v>548</v>
      </c>
      <c r="D55" s="528" t="s">
        <v>871</v>
      </c>
      <c r="E55" s="529" t="s">
        <v>556</v>
      </c>
      <c r="F55" s="527" t="s">
        <v>545</v>
      </c>
      <c r="G55" s="527" t="s">
        <v>639</v>
      </c>
      <c r="H55" s="527" t="s">
        <v>431</v>
      </c>
      <c r="I55" s="527" t="s">
        <v>691</v>
      </c>
      <c r="J55" s="527" t="s">
        <v>689</v>
      </c>
      <c r="K55" s="527" t="s">
        <v>692</v>
      </c>
      <c r="L55" s="530">
        <v>0</v>
      </c>
      <c r="M55" s="530">
        <v>0</v>
      </c>
      <c r="N55" s="527">
        <v>1</v>
      </c>
      <c r="O55" s="531">
        <v>0.5</v>
      </c>
      <c r="P55" s="530"/>
      <c r="Q55" s="532"/>
      <c r="R55" s="527"/>
      <c r="S55" s="532">
        <v>0</v>
      </c>
      <c r="T55" s="531"/>
      <c r="U55" s="533">
        <v>0</v>
      </c>
    </row>
    <row r="56" spans="1:21" ht="14.4" customHeight="1" x14ac:dyDescent="0.3">
      <c r="A56" s="526">
        <v>29</v>
      </c>
      <c r="B56" s="527" t="s">
        <v>430</v>
      </c>
      <c r="C56" s="527" t="s">
        <v>548</v>
      </c>
      <c r="D56" s="528" t="s">
        <v>871</v>
      </c>
      <c r="E56" s="529" t="s">
        <v>556</v>
      </c>
      <c r="F56" s="527" t="s">
        <v>545</v>
      </c>
      <c r="G56" s="527" t="s">
        <v>693</v>
      </c>
      <c r="H56" s="527" t="s">
        <v>431</v>
      </c>
      <c r="I56" s="527" t="s">
        <v>694</v>
      </c>
      <c r="J56" s="527" t="s">
        <v>695</v>
      </c>
      <c r="K56" s="527" t="s">
        <v>696</v>
      </c>
      <c r="L56" s="530">
        <v>173.31</v>
      </c>
      <c r="M56" s="530">
        <v>173.31</v>
      </c>
      <c r="N56" s="527">
        <v>1</v>
      </c>
      <c r="O56" s="531">
        <v>1</v>
      </c>
      <c r="P56" s="530">
        <v>173.31</v>
      </c>
      <c r="Q56" s="532">
        <v>1</v>
      </c>
      <c r="R56" s="527">
        <v>1</v>
      </c>
      <c r="S56" s="532">
        <v>1</v>
      </c>
      <c r="T56" s="531">
        <v>1</v>
      </c>
      <c r="U56" s="533">
        <v>1</v>
      </c>
    </row>
    <row r="57" spans="1:21" ht="14.4" customHeight="1" x14ac:dyDescent="0.3">
      <c r="A57" s="526">
        <v>29</v>
      </c>
      <c r="B57" s="527" t="s">
        <v>430</v>
      </c>
      <c r="C57" s="527" t="s">
        <v>548</v>
      </c>
      <c r="D57" s="528" t="s">
        <v>871</v>
      </c>
      <c r="E57" s="529" t="s">
        <v>556</v>
      </c>
      <c r="F57" s="527" t="s">
        <v>545</v>
      </c>
      <c r="G57" s="527" t="s">
        <v>693</v>
      </c>
      <c r="H57" s="527" t="s">
        <v>431</v>
      </c>
      <c r="I57" s="527" t="s">
        <v>697</v>
      </c>
      <c r="J57" s="527" t="s">
        <v>695</v>
      </c>
      <c r="K57" s="527" t="s">
        <v>698</v>
      </c>
      <c r="L57" s="530">
        <v>34.659999999999997</v>
      </c>
      <c r="M57" s="530">
        <v>34.659999999999997</v>
      </c>
      <c r="N57" s="527">
        <v>1</v>
      </c>
      <c r="O57" s="531">
        <v>1</v>
      </c>
      <c r="P57" s="530"/>
      <c r="Q57" s="532">
        <v>0</v>
      </c>
      <c r="R57" s="527"/>
      <c r="S57" s="532">
        <v>0</v>
      </c>
      <c r="T57" s="531"/>
      <c r="U57" s="533">
        <v>0</v>
      </c>
    </row>
    <row r="58" spans="1:21" ht="14.4" customHeight="1" x14ac:dyDescent="0.3">
      <c r="A58" s="526">
        <v>29</v>
      </c>
      <c r="B58" s="527" t="s">
        <v>430</v>
      </c>
      <c r="C58" s="527" t="s">
        <v>548</v>
      </c>
      <c r="D58" s="528" t="s">
        <v>871</v>
      </c>
      <c r="E58" s="529" t="s">
        <v>556</v>
      </c>
      <c r="F58" s="527" t="s">
        <v>545</v>
      </c>
      <c r="G58" s="527" t="s">
        <v>699</v>
      </c>
      <c r="H58" s="527" t="s">
        <v>431</v>
      </c>
      <c r="I58" s="527" t="s">
        <v>700</v>
      </c>
      <c r="J58" s="527" t="s">
        <v>701</v>
      </c>
      <c r="K58" s="527" t="s">
        <v>702</v>
      </c>
      <c r="L58" s="530">
        <v>0</v>
      </c>
      <c r="M58" s="530">
        <v>0</v>
      </c>
      <c r="N58" s="527">
        <v>2</v>
      </c>
      <c r="O58" s="531">
        <v>0.5</v>
      </c>
      <c r="P58" s="530"/>
      <c r="Q58" s="532"/>
      <c r="R58" s="527"/>
      <c r="S58" s="532">
        <v>0</v>
      </c>
      <c r="T58" s="531"/>
      <c r="U58" s="533">
        <v>0</v>
      </c>
    </row>
    <row r="59" spans="1:21" ht="14.4" customHeight="1" x14ac:dyDescent="0.3">
      <c r="A59" s="526">
        <v>29</v>
      </c>
      <c r="B59" s="527" t="s">
        <v>430</v>
      </c>
      <c r="C59" s="527" t="s">
        <v>548</v>
      </c>
      <c r="D59" s="528" t="s">
        <v>871</v>
      </c>
      <c r="E59" s="529" t="s">
        <v>556</v>
      </c>
      <c r="F59" s="527" t="s">
        <v>545</v>
      </c>
      <c r="G59" s="527" t="s">
        <v>703</v>
      </c>
      <c r="H59" s="527" t="s">
        <v>431</v>
      </c>
      <c r="I59" s="527" t="s">
        <v>704</v>
      </c>
      <c r="J59" s="527" t="s">
        <v>705</v>
      </c>
      <c r="K59" s="527" t="s">
        <v>706</v>
      </c>
      <c r="L59" s="530">
        <v>83.68</v>
      </c>
      <c r="M59" s="530">
        <v>167.36</v>
      </c>
      <c r="N59" s="527">
        <v>2</v>
      </c>
      <c r="O59" s="531">
        <v>1.5</v>
      </c>
      <c r="P59" s="530"/>
      <c r="Q59" s="532">
        <v>0</v>
      </c>
      <c r="R59" s="527"/>
      <c r="S59" s="532">
        <v>0</v>
      </c>
      <c r="T59" s="531"/>
      <c r="U59" s="533">
        <v>0</v>
      </c>
    </row>
    <row r="60" spans="1:21" ht="14.4" customHeight="1" x14ac:dyDescent="0.3">
      <c r="A60" s="526">
        <v>29</v>
      </c>
      <c r="B60" s="527" t="s">
        <v>430</v>
      </c>
      <c r="C60" s="527" t="s">
        <v>548</v>
      </c>
      <c r="D60" s="528" t="s">
        <v>871</v>
      </c>
      <c r="E60" s="529" t="s">
        <v>556</v>
      </c>
      <c r="F60" s="527" t="s">
        <v>545</v>
      </c>
      <c r="G60" s="527" t="s">
        <v>647</v>
      </c>
      <c r="H60" s="527" t="s">
        <v>431</v>
      </c>
      <c r="I60" s="527" t="s">
        <v>648</v>
      </c>
      <c r="J60" s="527" t="s">
        <v>649</v>
      </c>
      <c r="K60" s="527" t="s">
        <v>650</v>
      </c>
      <c r="L60" s="530">
        <v>0</v>
      </c>
      <c r="M60" s="530">
        <v>0</v>
      </c>
      <c r="N60" s="527">
        <v>14</v>
      </c>
      <c r="O60" s="531">
        <v>11</v>
      </c>
      <c r="P60" s="530">
        <v>0</v>
      </c>
      <c r="Q60" s="532"/>
      <c r="R60" s="527">
        <v>9</v>
      </c>
      <c r="S60" s="532">
        <v>0.6428571428571429</v>
      </c>
      <c r="T60" s="531">
        <v>7</v>
      </c>
      <c r="U60" s="533">
        <v>0.63636363636363635</v>
      </c>
    </row>
    <row r="61" spans="1:21" ht="14.4" customHeight="1" x14ac:dyDescent="0.3">
      <c r="A61" s="526">
        <v>29</v>
      </c>
      <c r="B61" s="527" t="s">
        <v>430</v>
      </c>
      <c r="C61" s="527" t="s">
        <v>548</v>
      </c>
      <c r="D61" s="528" t="s">
        <v>871</v>
      </c>
      <c r="E61" s="529" t="s">
        <v>556</v>
      </c>
      <c r="F61" s="527" t="s">
        <v>545</v>
      </c>
      <c r="G61" s="527" t="s">
        <v>610</v>
      </c>
      <c r="H61" s="527" t="s">
        <v>431</v>
      </c>
      <c r="I61" s="527" t="s">
        <v>707</v>
      </c>
      <c r="J61" s="527" t="s">
        <v>612</v>
      </c>
      <c r="K61" s="527" t="s">
        <v>708</v>
      </c>
      <c r="L61" s="530">
        <v>50.32</v>
      </c>
      <c r="M61" s="530">
        <v>50.32</v>
      </c>
      <c r="N61" s="527">
        <v>1</v>
      </c>
      <c r="O61" s="531">
        <v>0.5</v>
      </c>
      <c r="P61" s="530"/>
      <c r="Q61" s="532">
        <v>0</v>
      </c>
      <c r="R61" s="527"/>
      <c r="S61" s="532">
        <v>0</v>
      </c>
      <c r="T61" s="531"/>
      <c r="U61" s="533">
        <v>0</v>
      </c>
    </row>
    <row r="62" spans="1:21" ht="14.4" customHeight="1" x14ac:dyDescent="0.3">
      <c r="A62" s="526">
        <v>29</v>
      </c>
      <c r="B62" s="527" t="s">
        <v>430</v>
      </c>
      <c r="C62" s="527" t="s">
        <v>548</v>
      </c>
      <c r="D62" s="528" t="s">
        <v>871</v>
      </c>
      <c r="E62" s="529" t="s">
        <v>556</v>
      </c>
      <c r="F62" s="527" t="s">
        <v>545</v>
      </c>
      <c r="G62" s="527" t="s">
        <v>610</v>
      </c>
      <c r="H62" s="527" t="s">
        <v>431</v>
      </c>
      <c r="I62" s="527" t="s">
        <v>709</v>
      </c>
      <c r="J62" s="527" t="s">
        <v>612</v>
      </c>
      <c r="K62" s="527" t="s">
        <v>710</v>
      </c>
      <c r="L62" s="530">
        <v>100.62</v>
      </c>
      <c r="M62" s="530">
        <v>100.62</v>
      </c>
      <c r="N62" s="527">
        <v>1</v>
      </c>
      <c r="O62" s="531">
        <v>0.5</v>
      </c>
      <c r="P62" s="530">
        <v>100.62</v>
      </c>
      <c r="Q62" s="532">
        <v>1</v>
      </c>
      <c r="R62" s="527">
        <v>1</v>
      </c>
      <c r="S62" s="532">
        <v>1</v>
      </c>
      <c r="T62" s="531">
        <v>0.5</v>
      </c>
      <c r="U62" s="533">
        <v>1</v>
      </c>
    </row>
    <row r="63" spans="1:21" ht="14.4" customHeight="1" x14ac:dyDescent="0.3">
      <c r="A63" s="526">
        <v>29</v>
      </c>
      <c r="B63" s="527" t="s">
        <v>430</v>
      </c>
      <c r="C63" s="527" t="s">
        <v>548</v>
      </c>
      <c r="D63" s="528" t="s">
        <v>871</v>
      </c>
      <c r="E63" s="529" t="s">
        <v>556</v>
      </c>
      <c r="F63" s="527" t="s">
        <v>547</v>
      </c>
      <c r="G63" s="527" t="s">
        <v>597</v>
      </c>
      <c r="H63" s="527" t="s">
        <v>431</v>
      </c>
      <c r="I63" s="527" t="s">
        <v>601</v>
      </c>
      <c r="J63" s="527" t="s">
        <v>599</v>
      </c>
      <c r="K63" s="527" t="s">
        <v>602</v>
      </c>
      <c r="L63" s="530">
        <v>100</v>
      </c>
      <c r="M63" s="530">
        <v>200</v>
      </c>
      <c r="N63" s="527">
        <v>2</v>
      </c>
      <c r="O63" s="531">
        <v>1</v>
      </c>
      <c r="P63" s="530">
        <v>200</v>
      </c>
      <c r="Q63" s="532">
        <v>1</v>
      </c>
      <c r="R63" s="527">
        <v>2</v>
      </c>
      <c r="S63" s="532">
        <v>1</v>
      </c>
      <c r="T63" s="531">
        <v>1</v>
      </c>
      <c r="U63" s="533">
        <v>1</v>
      </c>
    </row>
    <row r="64" spans="1:21" ht="14.4" customHeight="1" x14ac:dyDescent="0.3">
      <c r="A64" s="526">
        <v>29</v>
      </c>
      <c r="B64" s="527" t="s">
        <v>430</v>
      </c>
      <c r="C64" s="527" t="s">
        <v>548</v>
      </c>
      <c r="D64" s="528" t="s">
        <v>871</v>
      </c>
      <c r="E64" s="529" t="s">
        <v>556</v>
      </c>
      <c r="F64" s="527" t="s">
        <v>547</v>
      </c>
      <c r="G64" s="527" t="s">
        <v>654</v>
      </c>
      <c r="H64" s="527" t="s">
        <v>431</v>
      </c>
      <c r="I64" s="527" t="s">
        <v>711</v>
      </c>
      <c r="J64" s="527" t="s">
        <v>712</v>
      </c>
      <c r="K64" s="527" t="s">
        <v>713</v>
      </c>
      <c r="L64" s="530">
        <v>410</v>
      </c>
      <c r="M64" s="530">
        <v>3280</v>
      </c>
      <c r="N64" s="527">
        <v>8</v>
      </c>
      <c r="O64" s="531">
        <v>4</v>
      </c>
      <c r="P64" s="530">
        <v>2460</v>
      </c>
      <c r="Q64" s="532">
        <v>0.75</v>
      </c>
      <c r="R64" s="527">
        <v>6</v>
      </c>
      <c r="S64" s="532">
        <v>0.75</v>
      </c>
      <c r="T64" s="531">
        <v>3</v>
      </c>
      <c r="U64" s="533">
        <v>0.75</v>
      </c>
    </row>
    <row r="65" spans="1:21" ht="14.4" customHeight="1" x14ac:dyDescent="0.3">
      <c r="A65" s="526">
        <v>29</v>
      </c>
      <c r="B65" s="527" t="s">
        <v>430</v>
      </c>
      <c r="C65" s="527" t="s">
        <v>548</v>
      </c>
      <c r="D65" s="528" t="s">
        <v>871</v>
      </c>
      <c r="E65" s="529" t="s">
        <v>556</v>
      </c>
      <c r="F65" s="527" t="s">
        <v>547</v>
      </c>
      <c r="G65" s="527" t="s">
        <v>603</v>
      </c>
      <c r="H65" s="527" t="s">
        <v>431</v>
      </c>
      <c r="I65" s="527" t="s">
        <v>714</v>
      </c>
      <c r="J65" s="527" t="s">
        <v>715</v>
      </c>
      <c r="K65" s="527" t="s">
        <v>716</v>
      </c>
      <c r="L65" s="530">
        <v>409.87</v>
      </c>
      <c r="M65" s="530">
        <v>409.87</v>
      </c>
      <c r="N65" s="527">
        <v>1</v>
      </c>
      <c r="O65" s="531">
        <v>1</v>
      </c>
      <c r="P65" s="530">
        <v>409.87</v>
      </c>
      <c r="Q65" s="532">
        <v>1</v>
      </c>
      <c r="R65" s="527">
        <v>1</v>
      </c>
      <c r="S65" s="532">
        <v>1</v>
      </c>
      <c r="T65" s="531">
        <v>1</v>
      </c>
      <c r="U65" s="533">
        <v>1</v>
      </c>
    </row>
    <row r="66" spans="1:21" ht="14.4" customHeight="1" x14ac:dyDescent="0.3">
      <c r="A66" s="526">
        <v>29</v>
      </c>
      <c r="B66" s="527" t="s">
        <v>430</v>
      </c>
      <c r="C66" s="527" t="s">
        <v>548</v>
      </c>
      <c r="D66" s="528" t="s">
        <v>871</v>
      </c>
      <c r="E66" s="529" t="s">
        <v>556</v>
      </c>
      <c r="F66" s="527" t="s">
        <v>547</v>
      </c>
      <c r="G66" s="527" t="s">
        <v>603</v>
      </c>
      <c r="H66" s="527" t="s">
        <v>431</v>
      </c>
      <c r="I66" s="527" t="s">
        <v>717</v>
      </c>
      <c r="J66" s="527" t="s">
        <v>718</v>
      </c>
      <c r="K66" s="527" t="s">
        <v>719</v>
      </c>
      <c r="L66" s="530">
        <v>345.18</v>
      </c>
      <c r="M66" s="530">
        <v>345.18</v>
      </c>
      <c r="N66" s="527">
        <v>1</v>
      </c>
      <c r="O66" s="531">
        <v>1</v>
      </c>
      <c r="P66" s="530">
        <v>345.18</v>
      </c>
      <c r="Q66" s="532">
        <v>1</v>
      </c>
      <c r="R66" s="527">
        <v>1</v>
      </c>
      <c r="S66" s="532">
        <v>1</v>
      </c>
      <c r="T66" s="531">
        <v>1</v>
      </c>
      <c r="U66" s="533">
        <v>1</v>
      </c>
    </row>
    <row r="67" spans="1:21" ht="14.4" customHeight="1" x14ac:dyDescent="0.3">
      <c r="A67" s="526">
        <v>29</v>
      </c>
      <c r="B67" s="527" t="s">
        <v>430</v>
      </c>
      <c r="C67" s="527" t="s">
        <v>548</v>
      </c>
      <c r="D67" s="528" t="s">
        <v>871</v>
      </c>
      <c r="E67" s="529" t="s">
        <v>556</v>
      </c>
      <c r="F67" s="527" t="s">
        <v>547</v>
      </c>
      <c r="G67" s="527" t="s">
        <v>603</v>
      </c>
      <c r="H67" s="527" t="s">
        <v>431</v>
      </c>
      <c r="I67" s="527" t="s">
        <v>720</v>
      </c>
      <c r="J67" s="527" t="s">
        <v>721</v>
      </c>
      <c r="K67" s="527" t="s">
        <v>722</v>
      </c>
      <c r="L67" s="530">
        <v>246.48</v>
      </c>
      <c r="M67" s="530">
        <v>246.48</v>
      </c>
      <c r="N67" s="527">
        <v>1</v>
      </c>
      <c r="O67" s="531">
        <v>1</v>
      </c>
      <c r="P67" s="530">
        <v>246.48</v>
      </c>
      <c r="Q67" s="532">
        <v>1</v>
      </c>
      <c r="R67" s="527">
        <v>1</v>
      </c>
      <c r="S67" s="532">
        <v>1</v>
      </c>
      <c r="T67" s="531">
        <v>1</v>
      </c>
      <c r="U67" s="533">
        <v>1</v>
      </c>
    </row>
    <row r="68" spans="1:21" ht="14.4" customHeight="1" x14ac:dyDescent="0.3">
      <c r="A68" s="526">
        <v>29</v>
      </c>
      <c r="B68" s="527" t="s">
        <v>430</v>
      </c>
      <c r="C68" s="527" t="s">
        <v>548</v>
      </c>
      <c r="D68" s="528" t="s">
        <v>871</v>
      </c>
      <c r="E68" s="529" t="s">
        <v>557</v>
      </c>
      <c r="F68" s="527" t="s">
        <v>545</v>
      </c>
      <c r="G68" s="527" t="s">
        <v>561</v>
      </c>
      <c r="H68" s="527" t="s">
        <v>431</v>
      </c>
      <c r="I68" s="527" t="s">
        <v>723</v>
      </c>
      <c r="J68" s="527" t="s">
        <v>724</v>
      </c>
      <c r="K68" s="527" t="s">
        <v>725</v>
      </c>
      <c r="L68" s="530">
        <v>154.36000000000001</v>
      </c>
      <c r="M68" s="530">
        <v>308.72000000000003</v>
      </c>
      <c r="N68" s="527">
        <v>2</v>
      </c>
      <c r="O68" s="531">
        <v>1</v>
      </c>
      <c r="P68" s="530"/>
      <c r="Q68" s="532">
        <v>0</v>
      </c>
      <c r="R68" s="527"/>
      <c r="S68" s="532">
        <v>0</v>
      </c>
      <c r="T68" s="531"/>
      <c r="U68" s="533">
        <v>0</v>
      </c>
    </row>
    <row r="69" spans="1:21" ht="14.4" customHeight="1" x14ac:dyDescent="0.3">
      <c r="A69" s="526">
        <v>29</v>
      </c>
      <c r="B69" s="527" t="s">
        <v>430</v>
      </c>
      <c r="C69" s="527" t="s">
        <v>548</v>
      </c>
      <c r="D69" s="528" t="s">
        <v>871</v>
      </c>
      <c r="E69" s="529" t="s">
        <v>557</v>
      </c>
      <c r="F69" s="527" t="s">
        <v>545</v>
      </c>
      <c r="G69" s="527" t="s">
        <v>561</v>
      </c>
      <c r="H69" s="527" t="s">
        <v>431</v>
      </c>
      <c r="I69" s="527" t="s">
        <v>726</v>
      </c>
      <c r="J69" s="527" t="s">
        <v>724</v>
      </c>
      <c r="K69" s="527" t="s">
        <v>564</v>
      </c>
      <c r="L69" s="530">
        <v>0</v>
      </c>
      <c r="M69" s="530">
        <v>0</v>
      </c>
      <c r="N69" s="527">
        <v>2</v>
      </c>
      <c r="O69" s="531">
        <v>1</v>
      </c>
      <c r="P69" s="530"/>
      <c r="Q69" s="532"/>
      <c r="R69" s="527"/>
      <c r="S69" s="532">
        <v>0</v>
      </c>
      <c r="T69" s="531"/>
      <c r="U69" s="533">
        <v>0</v>
      </c>
    </row>
    <row r="70" spans="1:21" ht="14.4" customHeight="1" x14ac:dyDescent="0.3">
      <c r="A70" s="526">
        <v>29</v>
      </c>
      <c r="B70" s="527" t="s">
        <v>430</v>
      </c>
      <c r="C70" s="527" t="s">
        <v>548</v>
      </c>
      <c r="D70" s="528" t="s">
        <v>871</v>
      </c>
      <c r="E70" s="529" t="s">
        <v>557</v>
      </c>
      <c r="F70" s="527" t="s">
        <v>545</v>
      </c>
      <c r="G70" s="527" t="s">
        <v>727</v>
      </c>
      <c r="H70" s="527" t="s">
        <v>431</v>
      </c>
      <c r="I70" s="527" t="s">
        <v>728</v>
      </c>
      <c r="J70" s="527" t="s">
        <v>729</v>
      </c>
      <c r="K70" s="527" t="s">
        <v>730</v>
      </c>
      <c r="L70" s="530">
        <v>0</v>
      </c>
      <c r="M70" s="530">
        <v>0</v>
      </c>
      <c r="N70" s="527">
        <v>1</v>
      </c>
      <c r="O70" s="531">
        <v>1</v>
      </c>
      <c r="P70" s="530"/>
      <c r="Q70" s="532"/>
      <c r="R70" s="527"/>
      <c r="S70" s="532">
        <v>0</v>
      </c>
      <c r="T70" s="531"/>
      <c r="U70" s="533">
        <v>0</v>
      </c>
    </row>
    <row r="71" spans="1:21" ht="14.4" customHeight="1" x14ac:dyDescent="0.3">
      <c r="A71" s="526">
        <v>29</v>
      </c>
      <c r="B71" s="527" t="s">
        <v>430</v>
      </c>
      <c r="C71" s="527" t="s">
        <v>548</v>
      </c>
      <c r="D71" s="528" t="s">
        <v>871</v>
      </c>
      <c r="E71" s="529" t="s">
        <v>557</v>
      </c>
      <c r="F71" s="527" t="s">
        <v>545</v>
      </c>
      <c r="G71" s="527" t="s">
        <v>731</v>
      </c>
      <c r="H71" s="527" t="s">
        <v>431</v>
      </c>
      <c r="I71" s="527" t="s">
        <v>732</v>
      </c>
      <c r="J71" s="527" t="s">
        <v>733</v>
      </c>
      <c r="K71" s="527" t="s">
        <v>617</v>
      </c>
      <c r="L71" s="530">
        <v>78.33</v>
      </c>
      <c r="M71" s="530">
        <v>156.66</v>
      </c>
      <c r="N71" s="527">
        <v>2</v>
      </c>
      <c r="O71" s="531">
        <v>0.5</v>
      </c>
      <c r="P71" s="530">
        <v>156.66</v>
      </c>
      <c r="Q71" s="532">
        <v>1</v>
      </c>
      <c r="R71" s="527">
        <v>2</v>
      </c>
      <c r="S71" s="532">
        <v>1</v>
      </c>
      <c r="T71" s="531">
        <v>0.5</v>
      </c>
      <c r="U71" s="533">
        <v>1</v>
      </c>
    </row>
    <row r="72" spans="1:21" ht="14.4" customHeight="1" x14ac:dyDescent="0.3">
      <c r="A72" s="526">
        <v>29</v>
      </c>
      <c r="B72" s="527" t="s">
        <v>430</v>
      </c>
      <c r="C72" s="527" t="s">
        <v>548</v>
      </c>
      <c r="D72" s="528" t="s">
        <v>871</v>
      </c>
      <c r="E72" s="529" t="s">
        <v>557</v>
      </c>
      <c r="F72" s="527" t="s">
        <v>545</v>
      </c>
      <c r="G72" s="527" t="s">
        <v>731</v>
      </c>
      <c r="H72" s="527" t="s">
        <v>431</v>
      </c>
      <c r="I72" s="527" t="s">
        <v>734</v>
      </c>
      <c r="J72" s="527" t="s">
        <v>735</v>
      </c>
      <c r="K72" s="527" t="s">
        <v>736</v>
      </c>
      <c r="L72" s="530">
        <v>39.17</v>
      </c>
      <c r="M72" s="530">
        <v>78.34</v>
      </c>
      <c r="N72" s="527">
        <v>2</v>
      </c>
      <c r="O72" s="531">
        <v>0.5</v>
      </c>
      <c r="P72" s="530">
        <v>78.34</v>
      </c>
      <c r="Q72" s="532">
        <v>1</v>
      </c>
      <c r="R72" s="527">
        <v>2</v>
      </c>
      <c r="S72" s="532">
        <v>1</v>
      </c>
      <c r="T72" s="531">
        <v>0.5</v>
      </c>
      <c r="U72" s="533">
        <v>1</v>
      </c>
    </row>
    <row r="73" spans="1:21" ht="14.4" customHeight="1" x14ac:dyDescent="0.3">
      <c r="A73" s="526">
        <v>29</v>
      </c>
      <c r="B73" s="527" t="s">
        <v>430</v>
      </c>
      <c r="C73" s="527" t="s">
        <v>548</v>
      </c>
      <c r="D73" s="528" t="s">
        <v>871</v>
      </c>
      <c r="E73" s="529" t="s">
        <v>557</v>
      </c>
      <c r="F73" s="527" t="s">
        <v>545</v>
      </c>
      <c r="G73" s="527" t="s">
        <v>737</v>
      </c>
      <c r="H73" s="527" t="s">
        <v>431</v>
      </c>
      <c r="I73" s="527" t="s">
        <v>738</v>
      </c>
      <c r="J73" s="527" t="s">
        <v>739</v>
      </c>
      <c r="K73" s="527" t="s">
        <v>740</v>
      </c>
      <c r="L73" s="530">
        <v>37.68</v>
      </c>
      <c r="M73" s="530">
        <v>37.68</v>
      </c>
      <c r="N73" s="527">
        <v>1</v>
      </c>
      <c r="O73" s="531">
        <v>1</v>
      </c>
      <c r="P73" s="530"/>
      <c r="Q73" s="532">
        <v>0</v>
      </c>
      <c r="R73" s="527"/>
      <c r="S73" s="532">
        <v>0</v>
      </c>
      <c r="T73" s="531"/>
      <c r="U73" s="533">
        <v>0</v>
      </c>
    </row>
    <row r="74" spans="1:21" ht="14.4" customHeight="1" x14ac:dyDescent="0.3">
      <c r="A74" s="526">
        <v>29</v>
      </c>
      <c r="B74" s="527" t="s">
        <v>430</v>
      </c>
      <c r="C74" s="527" t="s">
        <v>548</v>
      </c>
      <c r="D74" s="528" t="s">
        <v>871</v>
      </c>
      <c r="E74" s="529" t="s">
        <v>557</v>
      </c>
      <c r="F74" s="527" t="s">
        <v>545</v>
      </c>
      <c r="G74" s="527" t="s">
        <v>677</v>
      </c>
      <c r="H74" s="527" t="s">
        <v>431</v>
      </c>
      <c r="I74" s="527" t="s">
        <v>681</v>
      </c>
      <c r="J74" s="527" t="s">
        <v>682</v>
      </c>
      <c r="K74" s="527" t="s">
        <v>683</v>
      </c>
      <c r="L74" s="530">
        <v>60.9</v>
      </c>
      <c r="M74" s="530">
        <v>121.8</v>
      </c>
      <c r="N74" s="527">
        <v>2</v>
      </c>
      <c r="O74" s="531">
        <v>1</v>
      </c>
      <c r="P74" s="530">
        <v>121.8</v>
      </c>
      <c r="Q74" s="532">
        <v>1</v>
      </c>
      <c r="R74" s="527">
        <v>2</v>
      </c>
      <c r="S74" s="532">
        <v>1</v>
      </c>
      <c r="T74" s="531">
        <v>1</v>
      </c>
      <c r="U74" s="533">
        <v>1</v>
      </c>
    </row>
    <row r="75" spans="1:21" ht="14.4" customHeight="1" x14ac:dyDescent="0.3">
      <c r="A75" s="526">
        <v>29</v>
      </c>
      <c r="B75" s="527" t="s">
        <v>430</v>
      </c>
      <c r="C75" s="527" t="s">
        <v>548</v>
      </c>
      <c r="D75" s="528" t="s">
        <v>871</v>
      </c>
      <c r="E75" s="529" t="s">
        <v>557</v>
      </c>
      <c r="F75" s="527" t="s">
        <v>545</v>
      </c>
      <c r="G75" s="527" t="s">
        <v>632</v>
      </c>
      <c r="H75" s="527" t="s">
        <v>872</v>
      </c>
      <c r="I75" s="527" t="s">
        <v>633</v>
      </c>
      <c r="J75" s="527" t="s">
        <v>634</v>
      </c>
      <c r="K75" s="527" t="s">
        <v>568</v>
      </c>
      <c r="L75" s="530">
        <v>21.13</v>
      </c>
      <c r="M75" s="530">
        <v>21.13</v>
      </c>
      <c r="N75" s="527">
        <v>1</v>
      </c>
      <c r="O75" s="531">
        <v>1</v>
      </c>
      <c r="P75" s="530">
        <v>21.13</v>
      </c>
      <c r="Q75" s="532">
        <v>1</v>
      </c>
      <c r="R75" s="527">
        <v>1</v>
      </c>
      <c r="S75" s="532">
        <v>1</v>
      </c>
      <c r="T75" s="531">
        <v>1</v>
      </c>
      <c r="U75" s="533">
        <v>1</v>
      </c>
    </row>
    <row r="76" spans="1:21" ht="14.4" customHeight="1" x14ac:dyDescent="0.3">
      <c r="A76" s="526">
        <v>29</v>
      </c>
      <c r="B76" s="527" t="s">
        <v>430</v>
      </c>
      <c r="C76" s="527" t="s">
        <v>548</v>
      </c>
      <c r="D76" s="528" t="s">
        <v>871</v>
      </c>
      <c r="E76" s="529" t="s">
        <v>557</v>
      </c>
      <c r="F76" s="527" t="s">
        <v>545</v>
      </c>
      <c r="G76" s="527" t="s">
        <v>639</v>
      </c>
      <c r="H76" s="527" t="s">
        <v>431</v>
      </c>
      <c r="I76" s="527" t="s">
        <v>688</v>
      </c>
      <c r="J76" s="527" t="s">
        <v>689</v>
      </c>
      <c r="K76" s="527" t="s">
        <v>690</v>
      </c>
      <c r="L76" s="530">
        <v>0</v>
      </c>
      <c r="M76" s="530">
        <v>0</v>
      </c>
      <c r="N76" s="527">
        <v>1</v>
      </c>
      <c r="O76" s="531">
        <v>1</v>
      </c>
      <c r="P76" s="530">
        <v>0</v>
      </c>
      <c r="Q76" s="532"/>
      <c r="R76" s="527">
        <v>1</v>
      </c>
      <c r="S76" s="532">
        <v>1</v>
      </c>
      <c r="T76" s="531">
        <v>1</v>
      </c>
      <c r="U76" s="533">
        <v>1</v>
      </c>
    </row>
    <row r="77" spans="1:21" ht="14.4" customHeight="1" x14ac:dyDescent="0.3">
      <c r="A77" s="526">
        <v>29</v>
      </c>
      <c r="B77" s="527" t="s">
        <v>430</v>
      </c>
      <c r="C77" s="527" t="s">
        <v>548</v>
      </c>
      <c r="D77" s="528" t="s">
        <v>871</v>
      </c>
      <c r="E77" s="529" t="s">
        <v>557</v>
      </c>
      <c r="F77" s="527" t="s">
        <v>545</v>
      </c>
      <c r="G77" s="527" t="s">
        <v>639</v>
      </c>
      <c r="H77" s="527" t="s">
        <v>431</v>
      </c>
      <c r="I77" s="527" t="s">
        <v>741</v>
      </c>
      <c r="J77" s="527" t="s">
        <v>641</v>
      </c>
      <c r="K77" s="527" t="s">
        <v>742</v>
      </c>
      <c r="L77" s="530">
        <v>36.54</v>
      </c>
      <c r="M77" s="530">
        <v>36.54</v>
      </c>
      <c r="N77" s="527">
        <v>1</v>
      </c>
      <c r="O77" s="531">
        <v>1</v>
      </c>
      <c r="P77" s="530"/>
      <c r="Q77" s="532">
        <v>0</v>
      </c>
      <c r="R77" s="527"/>
      <c r="S77" s="532">
        <v>0</v>
      </c>
      <c r="T77" s="531"/>
      <c r="U77" s="533">
        <v>0</v>
      </c>
    </row>
    <row r="78" spans="1:21" ht="14.4" customHeight="1" x14ac:dyDescent="0.3">
      <c r="A78" s="526">
        <v>29</v>
      </c>
      <c r="B78" s="527" t="s">
        <v>430</v>
      </c>
      <c r="C78" s="527" t="s">
        <v>548</v>
      </c>
      <c r="D78" s="528" t="s">
        <v>871</v>
      </c>
      <c r="E78" s="529" t="s">
        <v>557</v>
      </c>
      <c r="F78" s="527" t="s">
        <v>545</v>
      </c>
      <c r="G78" s="527" t="s">
        <v>639</v>
      </c>
      <c r="H78" s="527" t="s">
        <v>431</v>
      </c>
      <c r="I78" s="527" t="s">
        <v>743</v>
      </c>
      <c r="J78" s="527" t="s">
        <v>689</v>
      </c>
      <c r="K78" s="527" t="s">
        <v>744</v>
      </c>
      <c r="L78" s="530">
        <v>0</v>
      </c>
      <c r="M78" s="530">
        <v>0</v>
      </c>
      <c r="N78" s="527">
        <v>1</v>
      </c>
      <c r="O78" s="531">
        <v>1</v>
      </c>
      <c r="P78" s="530"/>
      <c r="Q78" s="532"/>
      <c r="R78" s="527"/>
      <c r="S78" s="532">
        <v>0</v>
      </c>
      <c r="T78" s="531"/>
      <c r="U78" s="533">
        <v>0</v>
      </c>
    </row>
    <row r="79" spans="1:21" ht="14.4" customHeight="1" x14ac:dyDescent="0.3">
      <c r="A79" s="526">
        <v>29</v>
      </c>
      <c r="B79" s="527" t="s">
        <v>430</v>
      </c>
      <c r="C79" s="527" t="s">
        <v>548</v>
      </c>
      <c r="D79" s="528" t="s">
        <v>871</v>
      </c>
      <c r="E79" s="529" t="s">
        <v>557</v>
      </c>
      <c r="F79" s="527" t="s">
        <v>545</v>
      </c>
      <c r="G79" s="527" t="s">
        <v>590</v>
      </c>
      <c r="H79" s="527" t="s">
        <v>431</v>
      </c>
      <c r="I79" s="527" t="s">
        <v>475</v>
      </c>
      <c r="J79" s="527" t="s">
        <v>476</v>
      </c>
      <c r="K79" s="527" t="s">
        <v>592</v>
      </c>
      <c r="L79" s="530">
        <v>289.27</v>
      </c>
      <c r="M79" s="530">
        <v>1157.08</v>
      </c>
      <c r="N79" s="527">
        <v>4</v>
      </c>
      <c r="O79" s="531">
        <v>3</v>
      </c>
      <c r="P79" s="530">
        <v>289.27</v>
      </c>
      <c r="Q79" s="532">
        <v>0.25</v>
      </c>
      <c r="R79" s="527">
        <v>1</v>
      </c>
      <c r="S79" s="532">
        <v>0.25</v>
      </c>
      <c r="T79" s="531">
        <v>1</v>
      </c>
      <c r="U79" s="533">
        <v>0.33333333333333331</v>
      </c>
    </row>
    <row r="80" spans="1:21" ht="14.4" customHeight="1" x14ac:dyDescent="0.3">
      <c r="A80" s="526">
        <v>29</v>
      </c>
      <c r="B80" s="527" t="s">
        <v>430</v>
      </c>
      <c r="C80" s="527" t="s">
        <v>548</v>
      </c>
      <c r="D80" s="528" t="s">
        <v>871</v>
      </c>
      <c r="E80" s="529" t="s">
        <v>557</v>
      </c>
      <c r="F80" s="527" t="s">
        <v>545</v>
      </c>
      <c r="G80" s="527" t="s">
        <v>590</v>
      </c>
      <c r="H80" s="527" t="s">
        <v>431</v>
      </c>
      <c r="I80" s="527" t="s">
        <v>745</v>
      </c>
      <c r="J80" s="527" t="s">
        <v>476</v>
      </c>
      <c r="K80" s="527" t="s">
        <v>746</v>
      </c>
      <c r="L80" s="530">
        <v>96.42</v>
      </c>
      <c r="M80" s="530">
        <v>96.42</v>
      </c>
      <c r="N80" s="527">
        <v>1</v>
      </c>
      <c r="O80" s="531">
        <v>1</v>
      </c>
      <c r="P80" s="530"/>
      <c r="Q80" s="532">
        <v>0</v>
      </c>
      <c r="R80" s="527"/>
      <c r="S80" s="532">
        <v>0</v>
      </c>
      <c r="T80" s="531"/>
      <c r="U80" s="533">
        <v>0</v>
      </c>
    </row>
    <row r="81" spans="1:21" ht="14.4" customHeight="1" x14ac:dyDescent="0.3">
      <c r="A81" s="526">
        <v>29</v>
      </c>
      <c r="B81" s="527" t="s">
        <v>430</v>
      </c>
      <c r="C81" s="527" t="s">
        <v>548</v>
      </c>
      <c r="D81" s="528" t="s">
        <v>871</v>
      </c>
      <c r="E81" s="529" t="s">
        <v>557</v>
      </c>
      <c r="F81" s="527" t="s">
        <v>545</v>
      </c>
      <c r="G81" s="527" t="s">
        <v>610</v>
      </c>
      <c r="H81" s="527" t="s">
        <v>431</v>
      </c>
      <c r="I81" s="527" t="s">
        <v>611</v>
      </c>
      <c r="J81" s="527" t="s">
        <v>612</v>
      </c>
      <c r="K81" s="527" t="s">
        <v>613</v>
      </c>
      <c r="L81" s="530">
        <v>16.77</v>
      </c>
      <c r="M81" s="530">
        <v>16.77</v>
      </c>
      <c r="N81" s="527">
        <v>1</v>
      </c>
      <c r="O81" s="531">
        <v>1</v>
      </c>
      <c r="P81" s="530">
        <v>16.77</v>
      </c>
      <c r="Q81" s="532">
        <v>1</v>
      </c>
      <c r="R81" s="527">
        <v>1</v>
      </c>
      <c r="S81" s="532">
        <v>1</v>
      </c>
      <c r="T81" s="531">
        <v>1</v>
      </c>
      <c r="U81" s="533">
        <v>1</v>
      </c>
    </row>
    <row r="82" spans="1:21" ht="14.4" customHeight="1" x14ac:dyDescent="0.3">
      <c r="A82" s="526">
        <v>29</v>
      </c>
      <c r="B82" s="527" t="s">
        <v>430</v>
      </c>
      <c r="C82" s="527" t="s">
        <v>548</v>
      </c>
      <c r="D82" s="528" t="s">
        <v>871</v>
      </c>
      <c r="E82" s="529" t="s">
        <v>557</v>
      </c>
      <c r="F82" s="527" t="s">
        <v>545</v>
      </c>
      <c r="G82" s="527" t="s">
        <v>610</v>
      </c>
      <c r="H82" s="527" t="s">
        <v>431</v>
      </c>
      <c r="I82" s="527" t="s">
        <v>707</v>
      </c>
      <c r="J82" s="527" t="s">
        <v>612</v>
      </c>
      <c r="K82" s="527" t="s">
        <v>708</v>
      </c>
      <c r="L82" s="530">
        <v>50.32</v>
      </c>
      <c r="M82" s="530">
        <v>50.32</v>
      </c>
      <c r="N82" s="527">
        <v>1</v>
      </c>
      <c r="O82" s="531">
        <v>1</v>
      </c>
      <c r="P82" s="530">
        <v>50.32</v>
      </c>
      <c r="Q82" s="532">
        <v>1</v>
      </c>
      <c r="R82" s="527">
        <v>1</v>
      </c>
      <c r="S82" s="532">
        <v>1</v>
      </c>
      <c r="T82" s="531">
        <v>1</v>
      </c>
      <c r="U82" s="533">
        <v>1</v>
      </c>
    </row>
    <row r="83" spans="1:21" ht="14.4" customHeight="1" x14ac:dyDescent="0.3">
      <c r="A83" s="526">
        <v>29</v>
      </c>
      <c r="B83" s="527" t="s">
        <v>430</v>
      </c>
      <c r="C83" s="527" t="s">
        <v>548</v>
      </c>
      <c r="D83" s="528" t="s">
        <v>871</v>
      </c>
      <c r="E83" s="529" t="s">
        <v>557</v>
      </c>
      <c r="F83" s="527" t="s">
        <v>547</v>
      </c>
      <c r="G83" s="527" t="s">
        <v>597</v>
      </c>
      <c r="H83" s="527" t="s">
        <v>431</v>
      </c>
      <c r="I83" s="527" t="s">
        <v>601</v>
      </c>
      <c r="J83" s="527" t="s">
        <v>599</v>
      </c>
      <c r="K83" s="527" t="s">
        <v>602</v>
      </c>
      <c r="L83" s="530">
        <v>100</v>
      </c>
      <c r="M83" s="530">
        <v>700</v>
      </c>
      <c r="N83" s="527">
        <v>7</v>
      </c>
      <c r="O83" s="531">
        <v>3</v>
      </c>
      <c r="P83" s="530">
        <v>700</v>
      </c>
      <c r="Q83" s="532">
        <v>1</v>
      </c>
      <c r="R83" s="527">
        <v>7</v>
      </c>
      <c r="S83" s="532">
        <v>1</v>
      </c>
      <c r="T83" s="531">
        <v>3</v>
      </c>
      <c r="U83" s="533">
        <v>1</v>
      </c>
    </row>
    <row r="84" spans="1:21" ht="14.4" customHeight="1" x14ac:dyDescent="0.3">
      <c r="A84" s="526">
        <v>29</v>
      </c>
      <c r="B84" s="527" t="s">
        <v>430</v>
      </c>
      <c r="C84" s="527" t="s">
        <v>548</v>
      </c>
      <c r="D84" s="528" t="s">
        <v>871</v>
      </c>
      <c r="E84" s="529" t="s">
        <v>557</v>
      </c>
      <c r="F84" s="527" t="s">
        <v>547</v>
      </c>
      <c r="G84" s="527" t="s">
        <v>597</v>
      </c>
      <c r="H84" s="527" t="s">
        <v>431</v>
      </c>
      <c r="I84" s="527" t="s">
        <v>651</v>
      </c>
      <c r="J84" s="527" t="s">
        <v>652</v>
      </c>
      <c r="K84" s="527" t="s">
        <v>653</v>
      </c>
      <c r="L84" s="530">
        <v>156</v>
      </c>
      <c r="M84" s="530">
        <v>156</v>
      </c>
      <c r="N84" s="527">
        <v>1</v>
      </c>
      <c r="O84" s="531">
        <v>1</v>
      </c>
      <c r="P84" s="530">
        <v>156</v>
      </c>
      <c r="Q84" s="532">
        <v>1</v>
      </c>
      <c r="R84" s="527">
        <v>1</v>
      </c>
      <c r="S84" s="532">
        <v>1</v>
      </c>
      <c r="T84" s="531">
        <v>1</v>
      </c>
      <c r="U84" s="533">
        <v>1</v>
      </c>
    </row>
    <row r="85" spans="1:21" ht="14.4" customHeight="1" x14ac:dyDescent="0.3">
      <c r="A85" s="526">
        <v>29</v>
      </c>
      <c r="B85" s="527" t="s">
        <v>430</v>
      </c>
      <c r="C85" s="527" t="s">
        <v>548</v>
      </c>
      <c r="D85" s="528" t="s">
        <v>871</v>
      </c>
      <c r="E85" s="529" t="s">
        <v>557</v>
      </c>
      <c r="F85" s="527" t="s">
        <v>547</v>
      </c>
      <c r="G85" s="527" t="s">
        <v>654</v>
      </c>
      <c r="H85" s="527" t="s">
        <v>431</v>
      </c>
      <c r="I85" s="527" t="s">
        <v>711</v>
      </c>
      <c r="J85" s="527" t="s">
        <v>712</v>
      </c>
      <c r="K85" s="527" t="s">
        <v>713</v>
      </c>
      <c r="L85" s="530">
        <v>410</v>
      </c>
      <c r="M85" s="530">
        <v>5740</v>
      </c>
      <c r="N85" s="527">
        <v>14</v>
      </c>
      <c r="O85" s="531">
        <v>7</v>
      </c>
      <c r="P85" s="530">
        <v>4920</v>
      </c>
      <c r="Q85" s="532">
        <v>0.8571428571428571</v>
      </c>
      <c r="R85" s="527">
        <v>12</v>
      </c>
      <c r="S85" s="532">
        <v>0.8571428571428571</v>
      </c>
      <c r="T85" s="531">
        <v>6</v>
      </c>
      <c r="U85" s="533">
        <v>0.8571428571428571</v>
      </c>
    </row>
    <row r="86" spans="1:21" ht="14.4" customHeight="1" x14ac:dyDescent="0.3">
      <c r="A86" s="526">
        <v>29</v>
      </c>
      <c r="B86" s="527" t="s">
        <v>430</v>
      </c>
      <c r="C86" s="527" t="s">
        <v>548</v>
      </c>
      <c r="D86" s="528" t="s">
        <v>871</v>
      </c>
      <c r="E86" s="529" t="s">
        <v>557</v>
      </c>
      <c r="F86" s="527" t="s">
        <v>547</v>
      </c>
      <c r="G86" s="527" t="s">
        <v>664</v>
      </c>
      <c r="H86" s="527" t="s">
        <v>431</v>
      </c>
      <c r="I86" s="527" t="s">
        <v>665</v>
      </c>
      <c r="J86" s="527" t="s">
        <v>666</v>
      </c>
      <c r="K86" s="527"/>
      <c r="L86" s="530">
        <v>0</v>
      </c>
      <c r="M86" s="530">
        <v>0</v>
      </c>
      <c r="N86" s="527">
        <v>1</v>
      </c>
      <c r="O86" s="531">
        <v>1</v>
      </c>
      <c r="P86" s="530"/>
      <c r="Q86" s="532"/>
      <c r="R86" s="527"/>
      <c r="S86" s="532">
        <v>0</v>
      </c>
      <c r="T86" s="531"/>
      <c r="U86" s="533">
        <v>0</v>
      </c>
    </row>
    <row r="87" spans="1:21" ht="14.4" customHeight="1" x14ac:dyDescent="0.3">
      <c r="A87" s="526">
        <v>29</v>
      </c>
      <c r="B87" s="527" t="s">
        <v>430</v>
      </c>
      <c r="C87" s="527" t="s">
        <v>548</v>
      </c>
      <c r="D87" s="528" t="s">
        <v>871</v>
      </c>
      <c r="E87" s="529" t="s">
        <v>558</v>
      </c>
      <c r="F87" s="527" t="s">
        <v>545</v>
      </c>
      <c r="G87" s="527" t="s">
        <v>561</v>
      </c>
      <c r="H87" s="527" t="s">
        <v>872</v>
      </c>
      <c r="I87" s="527" t="s">
        <v>747</v>
      </c>
      <c r="J87" s="527" t="s">
        <v>748</v>
      </c>
      <c r="K87" s="527" t="s">
        <v>749</v>
      </c>
      <c r="L87" s="530">
        <v>149.52000000000001</v>
      </c>
      <c r="M87" s="530">
        <v>149.52000000000001</v>
      </c>
      <c r="N87" s="527">
        <v>1</v>
      </c>
      <c r="O87" s="531">
        <v>1</v>
      </c>
      <c r="P87" s="530">
        <v>149.52000000000001</v>
      </c>
      <c r="Q87" s="532">
        <v>1</v>
      </c>
      <c r="R87" s="527">
        <v>1</v>
      </c>
      <c r="S87" s="532">
        <v>1</v>
      </c>
      <c r="T87" s="531">
        <v>1</v>
      </c>
      <c r="U87" s="533">
        <v>1</v>
      </c>
    </row>
    <row r="88" spans="1:21" ht="14.4" customHeight="1" x14ac:dyDescent="0.3">
      <c r="A88" s="526">
        <v>29</v>
      </c>
      <c r="B88" s="527" t="s">
        <v>430</v>
      </c>
      <c r="C88" s="527" t="s">
        <v>548</v>
      </c>
      <c r="D88" s="528" t="s">
        <v>871</v>
      </c>
      <c r="E88" s="529" t="s">
        <v>558</v>
      </c>
      <c r="F88" s="527" t="s">
        <v>545</v>
      </c>
      <c r="G88" s="527" t="s">
        <v>565</v>
      </c>
      <c r="H88" s="527" t="s">
        <v>431</v>
      </c>
      <c r="I88" s="527" t="s">
        <v>566</v>
      </c>
      <c r="J88" s="527" t="s">
        <v>567</v>
      </c>
      <c r="K88" s="527" t="s">
        <v>568</v>
      </c>
      <c r="L88" s="530">
        <v>0</v>
      </c>
      <c r="M88" s="530">
        <v>0</v>
      </c>
      <c r="N88" s="527">
        <v>2</v>
      </c>
      <c r="O88" s="531">
        <v>2</v>
      </c>
      <c r="P88" s="530">
        <v>0</v>
      </c>
      <c r="Q88" s="532"/>
      <c r="R88" s="527">
        <v>2</v>
      </c>
      <c r="S88" s="532">
        <v>1</v>
      </c>
      <c r="T88" s="531">
        <v>2</v>
      </c>
      <c r="U88" s="533">
        <v>1</v>
      </c>
    </row>
    <row r="89" spans="1:21" ht="14.4" customHeight="1" x14ac:dyDescent="0.3">
      <c r="A89" s="526">
        <v>29</v>
      </c>
      <c r="B89" s="527" t="s">
        <v>430</v>
      </c>
      <c r="C89" s="527" t="s">
        <v>548</v>
      </c>
      <c r="D89" s="528" t="s">
        <v>871</v>
      </c>
      <c r="E89" s="529" t="s">
        <v>558</v>
      </c>
      <c r="F89" s="527" t="s">
        <v>545</v>
      </c>
      <c r="G89" s="527" t="s">
        <v>575</v>
      </c>
      <c r="H89" s="527" t="s">
        <v>431</v>
      </c>
      <c r="I89" s="527" t="s">
        <v>451</v>
      </c>
      <c r="J89" s="527" t="s">
        <v>452</v>
      </c>
      <c r="K89" s="527" t="s">
        <v>453</v>
      </c>
      <c r="L89" s="530">
        <v>285.01</v>
      </c>
      <c r="M89" s="530">
        <v>285.01</v>
      </c>
      <c r="N89" s="527">
        <v>1</v>
      </c>
      <c r="O89" s="531">
        <v>1</v>
      </c>
      <c r="P89" s="530"/>
      <c r="Q89" s="532">
        <v>0</v>
      </c>
      <c r="R89" s="527"/>
      <c r="S89" s="532">
        <v>0</v>
      </c>
      <c r="T89" s="531"/>
      <c r="U89" s="533">
        <v>0</v>
      </c>
    </row>
    <row r="90" spans="1:21" ht="14.4" customHeight="1" x14ac:dyDescent="0.3">
      <c r="A90" s="526">
        <v>29</v>
      </c>
      <c r="B90" s="527" t="s">
        <v>430</v>
      </c>
      <c r="C90" s="527" t="s">
        <v>548</v>
      </c>
      <c r="D90" s="528" t="s">
        <v>871</v>
      </c>
      <c r="E90" s="529" t="s">
        <v>558</v>
      </c>
      <c r="F90" s="527" t="s">
        <v>545</v>
      </c>
      <c r="G90" s="527" t="s">
        <v>750</v>
      </c>
      <c r="H90" s="527" t="s">
        <v>872</v>
      </c>
      <c r="I90" s="527" t="s">
        <v>751</v>
      </c>
      <c r="J90" s="527" t="s">
        <v>752</v>
      </c>
      <c r="K90" s="527" t="s">
        <v>753</v>
      </c>
      <c r="L90" s="530">
        <v>291.82</v>
      </c>
      <c r="M90" s="530">
        <v>291.82</v>
      </c>
      <c r="N90" s="527">
        <v>1</v>
      </c>
      <c r="O90" s="531">
        <v>1</v>
      </c>
      <c r="P90" s="530">
        <v>291.82</v>
      </c>
      <c r="Q90" s="532">
        <v>1</v>
      </c>
      <c r="R90" s="527">
        <v>1</v>
      </c>
      <c r="S90" s="532">
        <v>1</v>
      </c>
      <c r="T90" s="531">
        <v>1</v>
      </c>
      <c r="U90" s="533">
        <v>1</v>
      </c>
    </row>
    <row r="91" spans="1:21" ht="14.4" customHeight="1" x14ac:dyDescent="0.3">
      <c r="A91" s="526">
        <v>29</v>
      </c>
      <c r="B91" s="527" t="s">
        <v>430</v>
      </c>
      <c r="C91" s="527" t="s">
        <v>548</v>
      </c>
      <c r="D91" s="528" t="s">
        <v>871</v>
      </c>
      <c r="E91" s="529" t="s">
        <v>558</v>
      </c>
      <c r="F91" s="527" t="s">
        <v>545</v>
      </c>
      <c r="G91" s="527" t="s">
        <v>754</v>
      </c>
      <c r="H91" s="527" t="s">
        <v>431</v>
      </c>
      <c r="I91" s="527" t="s">
        <v>755</v>
      </c>
      <c r="J91" s="527" t="s">
        <v>756</v>
      </c>
      <c r="K91" s="527" t="s">
        <v>757</v>
      </c>
      <c r="L91" s="530">
        <v>54.23</v>
      </c>
      <c r="M91" s="530">
        <v>54.23</v>
      </c>
      <c r="N91" s="527">
        <v>1</v>
      </c>
      <c r="O91" s="531">
        <v>1</v>
      </c>
      <c r="P91" s="530"/>
      <c r="Q91" s="532">
        <v>0</v>
      </c>
      <c r="R91" s="527"/>
      <c r="S91" s="532">
        <v>0</v>
      </c>
      <c r="T91" s="531"/>
      <c r="U91" s="533">
        <v>0</v>
      </c>
    </row>
    <row r="92" spans="1:21" ht="14.4" customHeight="1" x14ac:dyDescent="0.3">
      <c r="A92" s="526">
        <v>29</v>
      </c>
      <c r="B92" s="527" t="s">
        <v>430</v>
      </c>
      <c r="C92" s="527" t="s">
        <v>548</v>
      </c>
      <c r="D92" s="528" t="s">
        <v>871</v>
      </c>
      <c r="E92" s="529" t="s">
        <v>558</v>
      </c>
      <c r="F92" s="527" t="s">
        <v>547</v>
      </c>
      <c r="G92" s="527" t="s">
        <v>597</v>
      </c>
      <c r="H92" s="527" t="s">
        <v>431</v>
      </c>
      <c r="I92" s="527" t="s">
        <v>758</v>
      </c>
      <c r="J92" s="527" t="s">
        <v>759</v>
      </c>
      <c r="K92" s="527" t="s">
        <v>760</v>
      </c>
      <c r="L92" s="530">
        <v>128</v>
      </c>
      <c r="M92" s="530">
        <v>256</v>
      </c>
      <c r="N92" s="527">
        <v>2</v>
      </c>
      <c r="O92" s="531">
        <v>1</v>
      </c>
      <c r="P92" s="530">
        <v>256</v>
      </c>
      <c r="Q92" s="532">
        <v>1</v>
      </c>
      <c r="R92" s="527">
        <v>2</v>
      </c>
      <c r="S92" s="532">
        <v>1</v>
      </c>
      <c r="T92" s="531">
        <v>1</v>
      </c>
      <c r="U92" s="533">
        <v>1</v>
      </c>
    </row>
    <row r="93" spans="1:21" ht="14.4" customHeight="1" x14ac:dyDescent="0.3">
      <c r="A93" s="526">
        <v>29</v>
      </c>
      <c r="B93" s="527" t="s">
        <v>430</v>
      </c>
      <c r="C93" s="527" t="s">
        <v>548</v>
      </c>
      <c r="D93" s="528" t="s">
        <v>871</v>
      </c>
      <c r="E93" s="529" t="s">
        <v>558</v>
      </c>
      <c r="F93" s="527" t="s">
        <v>547</v>
      </c>
      <c r="G93" s="527" t="s">
        <v>597</v>
      </c>
      <c r="H93" s="527" t="s">
        <v>431</v>
      </c>
      <c r="I93" s="527" t="s">
        <v>761</v>
      </c>
      <c r="J93" s="527" t="s">
        <v>762</v>
      </c>
      <c r="K93" s="527" t="s">
        <v>763</v>
      </c>
      <c r="L93" s="530">
        <v>2.25</v>
      </c>
      <c r="M93" s="530">
        <v>4.5</v>
      </c>
      <c r="N93" s="527">
        <v>2</v>
      </c>
      <c r="O93" s="531">
        <v>1</v>
      </c>
      <c r="P93" s="530">
        <v>4.5</v>
      </c>
      <c r="Q93" s="532">
        <v>1</v>
      </c>
      <c r="R93" s="527">
        <v>2</v>
      </c>
      <c r="S93" s="532">
        <v>1</v>
      </c>
      <c r="T93" s="531">
        <v>1</v>
      </c>
      <c r="U93" s="533">
        <v>1</v>
      </c>
    </row>
    <row r="94" spans="1:21" ht="14.4" customHeight="1" x14ac:dyDescent="0.3">
      <c r="A94" s="526">
        <v>29</v>
      </c>
      <c r="B94" s="527" t="s">
        <v>430</v>
      </c>
      <c r="C94" s="527" t="s">
        <v>548</v>
      </c>
      <c r="D94" s="528" t="s">
        <v>871</v>
      </c>
      <c r="E94" s="529" t="s">
        <v>559</v>
      </c>
      <c r="F94" s="527" t="s">
        <v>545</v>
      </c>
      <c r="G94" s="527" t="s">
        <v>561</v>
      </c>
      <c r="H94" s="527" t="s">
        <v>872</v>
      </c>
      <c r="I94" s="527" t="s">
        <v>562</v>
      </c>
      <c r="J94" s="527" t="s">
        <v>563</v>
      </c>
      <c r="K94" s="527" t="s">
        <v>564</v>
      </c>
      <c r="L94" s="530">
        <v>154.36000000000001</v>
      </c>
      <c r="M94" s="530">
        <v>463.08000000000004</v>
      </c>
      <c r="N94" s="527">
        <v>3</v>
      </c>
      <c r="O94" s="531">
        <v>1.5</v>
      </c>
      <c r="P94" s="530">
        <v>308.72000000000003</v>
      </c>
      <c r="Q94" s="532">
        <v>0.66666666666666663</v>
      </c>
      <c r="R94" s="527">
        <v>2</v>
      </c>
      <c r="S94" s="532">
        <v>0.66666666666666663</v>
      </c>
      <c r="T94" s="531">
        <v>0.5</v>
      </c>
      <c r="U94" s="533">
        <v>0.33333333333333331</v>
      </c>
    </row>
    <row r="95" spans="1:21" ht="14.4" customHeight="1" x14ac:dyDescent="0.3">
      <c r="A95" s="526">
        <v>29</v>
      </c>
      <c r="B95" s="527" t="s">
        <v>430</v>
      </c>
      <c r="C95" s="527" t="s">
        <v>548</v>
      </c>
      <c r="D95" s="528" t="s">
        <v>871</v>
      </c>
      <c r="E95" s="529" t="s">
        <v>559</v>
      </c>
      <c r="F95" s="527" t="s">
        <v>545</v>
      </c>
      <c r="G95" s="527" t="s">
        <v>561</v>
      </c>
      <c r="H95" s="527" t="s">
        <v>872</v>
      </c>
      <c r="I95" s="527" t="s">
        <v>764</v>
      </c>
      <c r="J95" s="527" t="s">
        <v>563</v>
      </c>
      <c r="K95" s="527" t="s">
        <v>749</v>
      </c>
      <c r="L95" s="530">
        <v>225.06</v>
      </c>
      <c r="M95" s="530">
        <v>225.06</v>
      </c>
      <c r="N95" s="527">
        <v>1</v>
      </c>
      <c r="O95" s="531">
        <v>0.5</v>
      </c>
      <c r="P95" s="530"/>
      <c r="Q95" s="532">
        <v>0</v>
      </c>
      <c r="R95" s="527"/>
      <c r="S95" s="532">
        <v>0</v>
      </c>
      <c r="T95" s="531"/>
      <c r="U95" s="533">
        <v>0</v>
      </c>
    </row>
    <row r="96" spans="1:21" ht="14.4" customHeight="1" x14ac:dyDescent="0.3">
      <c r="A96" s="526">
        <v>29</v>
      </c>
      <c r="B96" s="527" t="s">
        <v>430</v>
      </c>
      <c r="C96" s="527" t="s">
        <v>548</v>
      </c>
      <c r="D96" s="528" t="s">
        <v>871</v>
      </c>
      <c r="E96" s="529" t="s">
        <v>559</v>
      </c>
      <c r="F96" s="527" t="s">
        <v>545</v>
      </c>
      <c r="G96" s="527" t="s">
        <v>565</v>
      </c>
      <c r="H96" s="527" t="s">
        <v>431</v>
      </c>
      <c r="I96" s="527" t="s">
        <v>566</v>
      </c>
      <c r="J96" s="527" t="s">
        <v>567</v>
      </c>
      <c r="K96" s="527" t="s">
        <v>568</v>
      </c>
      <c r="L96" s="530">
        <v>0</v>
      </c>
      <c r="M96" s="530">
        <v>0</v>
      </c>
      <c r="N96" s="527">
        <v>1</v>
      </c>
      <c r="O96" s="531">
        <v>1</v>
      </c>
      <c r="P96" s="530">
        <v>0</v>
      </c>
      <c r="Q96" s="532"/>
      <c r="R96" s="527">
        <v>1</v>
      </c>
      <c r="S96" s="532">
        <v>1</v>
      </c>
      <c r="T96" s="531">
        <v>1</v>
      </c>
      <c r="U96" s="533">
        <v>1</v>
      </c>
    </row>
    <row r="97" spans="1:21" ht="14.4" customHeight="1" x14ac:dyDescent="0.3">
      <c r="A97" s="526">
        <v>29</v>
      </c>
      <c r="B97" s="527" t="s">
        <v>430</v>
      </c>
      <c r="C97" s="527" t="s">
        <v>548</v>
      </c>
      <c r="D97" s="528" t="s">
        <v>871</v>
      </c>
      <c r="E97" s="529" t="s">
        <v>559</v>
      </c>
      <c r="F97" s="527" t="s">
        <v>545</v>
      </c>
      <c r="G97" s="527" t="s">
        <v>672</v>
      </c>
      <c r="H97" s="527" t="s">
        <v>431</v>
      </c>
      <c r="I97" s="527" t="s">
        <v>673</v>
      </c>
      <c r="J97" s="527" t="s">
        <v>674</v>
      </c>
      <c r="K97" s="527" t="s">
        <v>675</v>
      </c>
      <c r="L97" s="530">
        <v>107.27</v>
      </c>
      <c r="M97" s="530">
        <v>214.54</v>
      </c>
      <c r="N97" s="527">
        <v>2</v>
      </c>
      <c r="O97" s="531">
        <v>1</v>
      </c>
      <c r="P97" s="530"/>
      <c r="Q97" s="532">
        <v>0</v>
      </c>
      <c r="R97" s="527"/>
      <c r="S97" s="532">
        <v>0</v>
      </c>
      <c r="T97" s="531"/>
      <c r="U97" s="533">
        <v>0</v>
      </c>
    </row>
    <row r="98" spans="1:21" ht="14.4" customHeight="1" x14ac:dyDescent="0.3">
      <c r="A98" s="526">
        <v>29</v>
      </c>
      <c r="B98" s="527" t="s">
        <v>430</v>
      </c>
      <c r="C98" s="527" t="s">
        <v>548</v>
      </c>
      <c r="D98" s="528" t="s">
        <v>871</v>
      </c>
      <c r="E98" s="529" t="s">
        <v>559</v>
      </c>
      <c r="F98" s="527" t="s">
        <v>545</v>
      </c>
      <c r="G98" s="527" t="s">
        <v>765</v>
      </c>
      <c r="H98" s="527" t="s">
        <v>431</v>
      </c>
      <c r="I98" s="527" t="s">
        <v>766</v>
      </c>
      <c r="J98" s="527" t="s">
        <v>767</v>
      </c>
      <c r="K98" s="527" t="s">
        <v>757</v>
      </c>
      <c r="L98" s="530">
        <v>0</v>
      </c>
      <c r="M98" s="530">
        <v>0</v>
      </c>
      <c r="N98" s="527">
        <v>1</v>
      </c>
      <c r="O98" s="531">
        <v>1</v>
      </c>
      <c r="P98" s="530"/>
      <c r="Q98" s="532"/>
      <c r="R98" s="527"/>
      <c r="S98" s="532">
        <v>0</v>
      </c>
      <c r="T98" s="531"/>
      <c r="U98" s="533">
        <v>0</v>
      </c>
    </row>
    <row r="99" spans="1:21" ht="14.4" customHeight="1" x14ac:dyDescent="0.3">
      <c r="A99" s="526">
        <v>29</v>
      </c>
      <c r="B99" s="527" t="s">
        <v>430</v>
      </c>
      <c r="C99" s="527" t="s">
        <v>548</v>
      </c>
      <c r="D99" s="528" t="s">
        <v>871</v>
      </c>
      <c r="E99" s="529" t="s">
        <v>559</v>
      </c>
      <c r="F99" s="527" t="s">
        <v>545</v>
      </c>
      <c r="G99" s="527" t="s">
        <v>571</v>
      </c>
      <c r="H99" s="527" t="s">
        <v>431</v>
      </c>
      <c r="I99" s="527" t="s">
        <v>572</v>
      </c>
      <c r="J99" s="527" t="s">
        <v>573</v>
      </c>
      <c r="K99" s="527" t="s">
        <v>574</v>
      </c>
      <c r="L99" s="530">
        <v>0</v>
      </c>
      <c r="M99" s="530">
        <v>0</v>
      </c>
      <c r="N99" s="527">
        <v>2</v>
      </c>
      <c r="O99" s="531">
        <v>2</v>
      </c>
      <c r="P99" s="530">
        <v>0</v>
      </c>
      <c r="Q99" s="532"/>
      <c r="R99" s="527">
        <v>1</v>
      </c>
      <c r="S99" s="532">
        <v>0.5</v>
      </c>
      <c r="T99" s="531">
        <v>1</v>
      </c>
      <c r="U99" s="533">
        <v>0.5</v>
      </c>
    </row>
    <row r="100" spans="1:21" ht="14.4" customHeight="1" x14ac:dyDescent="0.3">
      <c r="A100" s="526">
        <v>29</v>
      </c>
      <c r="B100" s="527" t="s">
        <v>430</v>
      </c>
      <c r="C100" s="527" t="s">
        <v>548</v>
      </c>
      <c r="D100" s="528" t="s">
        <v>871</v>
      </c>
      <c r="E100" s="529" t="s">
        <v>559</v>
      </c>
      <c r="F100" s="527" t="s">
        <v>545</v>
      </c>
      <c r="G100" s="527" t="s">
        <v>768</v>
      </c>
      <c r="H100" s="527" t="s">
        <v>431</v>
      </c>
      <c r="I100" s="527" t="s">
        <v>769</v>
      </c>
      <c r="J100" s="527" t="s">
        <v>770</v>
      </c>
      <c r="K100" s="527" t="s">
        <v>771</v>
      </c>
      <c r="L100" s="530">
        <v>132.97999999999999</v>
      </c>
      <c r="M100" s="530">
        <v>265.95999999999998</v>
      </c>
      <c r="N100" s="527">
        <v>2</v>
      </c>
      <c r="O100" s="531">
        <v>1</v>
      </c>
      <c r="P100" s="530">
        <v>265.95999999999998</v>
      </c>
      <c r="Q100" s="532">
        <v>1</v>
      </c>
      <c r="R100" s="527">
        <v>2</v>
      </c>
      <c r="S100" s="532">
        <v>1</v>
      </c>
      <c r="T100" s="531">
        <v>1</v>
      </c>
      <c r="U100" s="533">
        <v>1</v>
      </c>
    </row>
    <row r="101" spans="1:21" ht="14.4" customHeight="1" x14ac:dyDescent="0.3">
      <c r="A101" s="526">
        <v>29</v>
      </c>
      <c r="B101" s="527" t="s">
        <v>430</v>
      </c>
      <c r="C101" s="527" t="s">
        <v>548</v>
      </c>
      <c r="D101" s="528" t="s">
        <v>871</v>
      </c>
      <c r="E101" s="529" t="s">
        <v>559</v>
      </c>
      <c r="F101" s="527" t="s">
        <v>545</v>
      </c>
      <c r="G101" s="527" t="s">
        <v>768</v>
      </c>
      <c r="H101" s="527" t="s">
        <v>431</v>
      </c>
      <c r="I101" s="527" t="s">
        <v>772</v>
      </c>
      <c r="J101" s="527" t="s">
        <v>773</v>
      </c>
      <c r="K101" s="527" t="s">
        <v>774</v>
      </c>
      <c r="L101" s="530">
        <v>0</v>
      </c>
      <c r="M101" s="530">
        <v>0</v>
      </c>
      <c r="N101" s="527">
        <v>1</v>
      </c>
      <c r="O101" s="531">
        <v>1</v>
      </c>
      <c r="P101" s="530">
        <v>0</v>
      </c>
      <c r="Q101" s="532"/>
      <c r="R101" s="527">
        <v>1</v>
      </c>
      <c r="S101" s="532">
        <v>1</v>
      </c>
      <c r="T101" s="531">
        <v>1</v>
      </c>
      <c r="U101" s="533">
        <v>1</v>
      </c>
    </row>
    <row r="102" spans="1:21" ht="14.4" customHeight="1" x14ac:dyDescent="0.3">
      <c r="A102" s="526">
        <v>29</v>
      </c>
      <c r="B102" s="527" t="s">
        <v>430</v>
      </c>
      <c r="C102" s="527" t="s">
        <v>548</v>
      </c>
      <c r="D102" s="528" t="s">
        <v>871</v>
      </c>
      <c r="E102" s="529" t="s">
        <v>559</v>
      </c>
      <c r="F102" s="527" t="s">
        <v>545</v>
      </c>
      <c r="G102" s="527" t="s">
        <v>632</v>
      </c>
      <c r="H102" s="527" t="s">
        <v>872</v>
      </c>
      <c r="I102" s="527" t="s">
        <v>633</v>
      </c>
      <c r="J102" s="527" t="s">
        <v>634</v>
      </c>
      <c r="K102" s="527" t="s">
        <v>568</v>
      </c>
      <c r="L102" s="530">
        <v>21.13</v>
      </c>
      <c r="M102" s="530">
        <v>21.13</v>
      </c>
      <c r="N102" s="527">
        <v>1</v>
      </c>
      <c r="O102" s="531">
        <v>1</v>
      </c>
      <c r="P102" s="530">
        <v>21.13</v>
      </c>
      <c r="Q102" s="532">
        <v>1</v>
      </c>
      <c r="R102" s="527">
        <v>1</v>
      </c>
      <c r="S102" s="532">
        <v>1</v>
      </c>
      <c r="T102" s="531">
        <v>1</v>
      </c>
      <c r="U102" s="533">
        <v>1</v>
      </c>
    </row>
    <row r="103" spans="1:21" ht="14.4" customHeight="1" x14ac:dyDescent="0.3">
      <c r="A103" s="526">
        <v>29</v>
      </c>
      <c r="B103" s="527" t="s">
        <v>430</v>
      </c>
      <c r="C103" s="527" t="s">
        <v>548</v>
      </c>
      <c r="D103" s="528" t="s">
        <v>871</v>
      </c>
      <c r="E103" s="529" t="s">
        <v>559</v>
      </c>
      <c r="F103" s="527" t="s">
        <v>545</v>
      </c>
      <c r="G103" s="527" t="s">
        <v>590</v>
      </c>
      <c r="H103" s="527" t="s">
        <v>431</v>
      </c>
      <c r="I103" s="527" t="s">
        <v>475</v>
      </c>
      <c r="J103" s="527" t="s">
        <v>476</v>
      </c>
      <c r="K103" s="527" t="s">
        <v>592</v>
      </c>
      <c r="L103" s="530">
        <v>289.27</v>
      </c>
      <c r="M103" s="530">
        <v>4917.59</v>
      </c>
      <c r="N103" s="527">
        <v>17</v>
      </c>
      <c r="O103" s="531">
        <v>11</v>
      </c>
      <c r="P103" s="530">
        <v>2892.7</v>
      </c>
      <c r="Q103" s="532">
        <v>0.58823529411764697</v>
      </c>
      <c r="R103" s="527">
        <v>10</v>
      </c>
      <c r="S103" s="532">
        <v>0.58823529411764708</v>
      </c>
      <c r="T103" s="531">
        <v>7</v>
      </c>
      <c r="U103" s="533">
        <v>0.63636363636363635</v>
      </c>
    </row>
    <row r="104" spans="1:21" ht="14.4" customHeight="1" x14ac:dyDescent="0.3">
      <c r="A104" s="526">
        <v>29</v>
      </c>
      <c r="B104" s="527" t="s">
        <v>430</v>
      </c>
      <c r="C104" s="527" t="s">
        <v>548</v>
      </c>
      <c r="D104" s="528" t="s">
        <v>871</v>
      </c>
      <c r="E104" s="529" t="s">
        <v>559</v>
      </c>
      <c r="F104" s="527" t="s">
        <v>545</v>
      </c>
      <c r="G104" s="527" t="s">
        <v>610</v>
      </c>
      <c r="H104" s="527" t="s">
        <v>431</v>
      </c>
      <c r="I104" s="527" t="s">
        <v>611</v>
      </c>
      <c r="J104" s="527" t="s">
        <v>612</v>
      </c>
      <c r="K104" s="527" t="s">
        <v>613</v>
      </c>
      <c r="L104" s="530">
        <v>16.77</v>
      </c>
      <c r="M104" s="530">
        <v>33.54</v>
      </c>
      <c r="N104" s="527">
        <v>2</v>
      </c>
      <c r="O104" s="531">
        <v>1.5</v>
      </c>
      <c r="P104" s="530">
        <v>33.54</v>
      </c>
      <c r="Q104" s="532">
        <v>1</v>
      </c>
      <c r="R104" s="527">
        <v>2</v>
      </c>
      <c r="S104" s="532">
        <v>1</v>
      </c>
      <c r="T104" s="531">
        <v>1.5</v>
      </c>
      <c r="U104" s="533">
        <v>1</v>
      </c>
    </row>
    <row r="105" spans="1:21" ht="14.4" customHeight="1" x14ac:dyDescent="0.3">
      <c r="A105" s="526">
        <v>29</v>
      </c>
      <c r="B105" s="527" t="s">
        <v>430</v>
      </c>
      <c r="C105" s="527" t="s">
        <v>548</v>
      </c>
      <c r="D105" s="528" t="s">
        <v>871</v>
      </c>
      <c r="E105" s="529" t="s">
        <v>559</v>
      </c>
      <c r="F105" s="527" t="s">
        <v>545</v>
      </c>
      <c r="G105" s="527" t="s">
        <v>610</v>
      </c>
      <c r="H105" s="527" t="s">
        <v>431</v>
      </c>
      <c r="I105" s="527" t="s">
        <v>775</v>
      </c>
      <c r="J105" s="527" t="s">
        <v>612</v>
      </c>
      <c r="K105" s="527" t="s">
        <v>776</v>
      </c>
      <c r="L105" s="530">
        <v>33.549999999999997</v>
      </c>
      <c r="M105" s="530">
        <v>67.099999999999994</v>
      </c>
      <c r="N105" s="527">
        <v>2</v>
      </c>
      <c r="O105" s="531">
        <v>2</v>
      </c>
      <c r="P105" s="530">
        <v>33.549999999999997</v>
      </c>
      <c r="Q105" s="532">
        <v>0.5</v>
      </c>
      <c r="R105" s="527">
        <v>1</v>
      </c>
      <c r="S105" s="532">
        <v>0.5</v>
      </c>
      <c r="T105" s="531">
        <v>1</v>
      </c>
      <c r="U105" s="533">
        <v>0.5</v>
      </c>
    </row>
    <row r="106" spans="1:21" ht="14.4" customHeight="1" x14ac:dyDescent="0.3">
      <c r="A106" s="526">
        <v>29</v>
      </c>
      <c r="B106" s="527" t="s">
        <v>430</v>
      </c>
      <c r="C106" s="527" t="s">
        <v>548</v>
      </c>
      <c r="D106" s="528" t="s">
        <v>871</v>
      </c>
      <c r="E106" s="529" t="s">
        <v>559</v>
      </c>
      <c r="F106" s="527" t="s">
        <v>545</v>
      </c>
      <c r="G106" s="527" t="s">
        <v>610</v>
      </c>
      <c r="H106" s="527" t="s">
        <v>431</v>
      </c>
      <c r="I106" s="527" t="s">
        <v>777</v>
      </c>
      <c r="J106" s="527" t="s">
        <v>612</v>
      </c>
      <c r="K106" s="527" t="s">
        <v>778</v>
      </c>
      <c r="L106" s="530">
        <v>0</v>
      </c>
      <c r="M106" s="530">
        <v>0</v>
      </c>
      <c r="N106" s="527">
        <v>1</v>
      </c>
      <c r="O106" s="531">
        <v>0.5</v>
      </c>
      <c r="P106" s="530"/>
      <c r="Q106" s="532"/>
      <c r="R106" s="527"/>
      <c r="S106" s="532">
        <v>0</v>
      </c>
      <c r="T106" s="531"/>
      <c r="U106" s="533">
        <v>0</v>
      </c>
    </row>
    <row r="107" spans="1:21" ht="14.4" customHeight="1" x14ac:dyDescent="0.3">
      <c r="A107" s="526">
        <v>29</v>
      </c>
      <c r="B107" s="527" t="s">
        <v>430</v>
      </c>
      <c r="C107" s="527" t="s">
        <v>548</v>
      </c>
      <c r="D107" s="528" t="s">
        <v>871</v>
      </c>
      <c r="E107" s="529" t="s">
        <v>559</v>
      </c>
      <c r="F107" s="527" t="s">
        <v>546</v>
      </c>
      <c r="G107" s="527" t="s">
        <v>779</v>
      </c>
      <c r="H107" s="527" t="s">
        <v>431</v>
      </c>
      <c r="I107" s="527" t="s">
        <v>780</v>
      </c>
      <c r="J107" s="527" t="s">
        <v>554</v>
      </c>
      <c r="K107" s="527"/>
      <c r="L107" s="530">
        <v>0</v>
      </c>
      <c r="M107" s="530">
        <v>0</v>
      </c>
      <c r="N107" s="527">
        <v>4</v>
      </c>
      <c r="O107" s="531">
        <v>4</v>
      </c>
      <c r="P107" s="530">
        <v>0</v>
      </c>
      <c r="Q107" s="532"/>
      <c r="R107" s="527">
        <v>3</v>
      </c>
      <c r="S107" s="532">
        <v>0.75</v>
      </c>
      <c r="T107" s="531">
        <v>3</v>
      </c>
      <c r="U107" s="533">
        <v>0.75</v>
      </c>
    </row>
    <row r="108" spans="1:21" ht="14.4" customHeight="1" x14ac:dyDescent="0.3">
      <c r="A108" s="526">
        <v>29</v>
      </c>
      <c r="B108" s="527" t="s">
        <v>430</v>
      </c>
      <c r="C108" s="527" t="s">
        <v>548</v>
      </c>
      <c r="D108" s="528" t="s">
        <v>871</v>
      </c>
      <c r="E108" s="529" t="s">
        <v>559</v>
      </c>
      <c r="F108" s="527" t="s">
        <v>546</v>
      </c>
      <c r="G108" s="527" t="s">
        <v>779</v>
      </c>
      <c r="H108" s="527" t="s">
        <v>431</v>
      </c>
      <c r="I108" s="527" t="s">
        <v>781</v>
      </c>
      <c r="J108" s="527" t="s">
        <v>554</v>
      </c>
      <c r="K108" s="527"/>
      <c r="L108" s="530">
        <v>0</v>
      </c>
      <c r="M108" s="530">
        <v>0</v>
      </c>
      <c r="N108" s="527">
        <v>1</v>
      </c>
      <c r="O108" s="531">
        <v>1</v>
      </c>
      <c r="P108" s="530">
        <v>0</v>
      </c>
      <c r="Q108" s="532"/>
      <c r="R108" s="527">
        <v>1</v>
      </c>
      <c r="S108" s="532">
        <v>1</v>
      </c>
      <c r="T108" s="531">
        <v>1</v>
      </c>
      <c r="U108" s="533">
        <v>1</v>
      </c>
    </row>
    <row r="109" spans="1:21" ht="14.4" customHeight="1" x14ac:dyDescent="0.3">
      <c r="A109" s="526">
        <v>29</v>
      </c>
      <c r="B109" s="527" t="s">
        <v>430</v>
      </c>
      <c r="C109" s="527" t="s">
        <v>548</v>
      </c>
      <c r="D109" s="528" t="s">
        <v>871</v>
      </c>
      <c r="E109" s="529" t="s">
        <v>559</v>
      </c>
      <c r="F109" s="527" t="s">
        <v>547</v>
      </c>
      <c r="G109" s="527" t="s">
        <v>597</v>
      </c>
      <c r="H109" s="527" t="s">
        <v>431</v>
      </c>
      <c r="I109" s="527" t="s">
        <v>601</v>
      </c>
      <c r="J109" s="527" t="s">
        <v>599</v>
      </c>
      <c r="K109" s="527" t="s">
        <v>602</v>
      </c>
      <c r="L109" s="530">
        <v>100</v>
      </c>
      <c r="M109" s="530">
        <v>2200</v>
      </c>
      <c r="N109" s="527">
        <v>22</v>
      </c>
      <c r="O109" s="531">
        <v>13</v>
      </c>
      <c r="P109" s="530">
        <v>1500</v>
      </c>
      <c r="Q109" s="532">
        <v>0.68181818181818177</v>
      </c>
      <c r="R109" s="527">
        <v>15</v>
      </c>
      <c r="S109" s="532">
        <v>0.68181818181818177</v>
      </c>
      <c r="T109" s="531">
        <v>9</v>
      </c>
      <c r="U109" s="533">
        <v>0.69230769230769229</v>
      </c>
    </row>
    <row r="110" spans="1:21" ht="14.4" customHeight="1" x14ac:dyDescent="0.3">
      <c r="A110" s="526">
        <v>29</v>
      </c>
      <c r="B110" s="527" t="s">
        <v>430</v>
      </c>
      <c r="C110" s="527" t="s">
        <v>548</v>
      </c>
      <c r="D110" s="528" t="s">
        <v>871</v>
      </c>
      <c r="E110" s="529" t="s">
        <v>559</v>
      </c>
      <c r="F110" s="527" t="s">
        <v>547</v>
      </c>
      <c r="G110" s="527" t="s">
        <v>597</v>
      </c>
      <c r="H110" s="527" t="s">
        <v>431</v>
      </c>
      <c r="I110" s="527" t="s">
        <v>651</v>
      </c>
      <c r="J110" s="527" t="s">
        <v>652</v>
      </c>
      <c r="K110" s="527" t="s">
        <v>653</v>
      </c>
      <c r="L110" s="530">
        <v>156</v>
      </c>
      <c r="M110" s="530">
        <v>156</v>
      </c>
      <c r="N110" s="527">
        <v>1</v>
      </c>
      <c r="O110" s="531">
        <v>1</v>
      </c>
      <c r="P110" s="530">
        <v>156</v>
      </c>
      <c r="Q110" s="532">
        <v>1</v>
      </c>
      <c r="R110" s="527">
        <v>1</v>
      </c>
      <c r="S110" s="532">
        <v>1</v>
      </c>
      <c r="T110" s="531">
        <v>1</v>
      </c>
      <c r="U110" s="533">
        <v>1</v>
      </c>
    </row>
    <row r="111" spans="1:21" ht="14.4" customHeight="1" x14ac:dyDescent="0.3">
      <c r="A111" s="526">
        <v>29</v>
      </c>
      <c r="B111" s="527" t="s">
        <v>430</v>
      </c>
      <c r="C111" s="527" t="s">
        <v>548</v>
      </c>
      <c r="D111" s="528" t="s">
        <v>871</v>
      </c>
      <c r="E111" s="529" t="s">
        <v>559</v>
      </c>
      <c r="F111" s="527" t="s">
        <v>547</v>
      </c>
      <c r="G111" s="527" t="s">
        <v>597</v>
      </c>
      <c r="H111" s="527" t="s">
        <v>431</v>
      </c>
      <c r="I111" s="527" t="s">
        <v>782</v>
      </c>
      <c r="J111" s="527" t="s">
        <v>783</v>
      </c>
      <c r="K111" s="527" t="s">
        <v>784</v>
      </c>
      <c r="L111" s="530">
        <v>1512.58</v>
      </c>
      <c r="M111" s="530">
        <v>4537.74</v>
      </c>
      <c r="N111" s="527">
        <v>3</v>
      </c>
      <c r="O111" s="531">
        <v>1</v>
      </c>
      <c r="P111" s="530">
        <v>4537.74</v>
      </c>
      <c r="Q111" s="532">
        <v>1</v>
      </c>
      <c r="R111" s="527">
        <v>3</v>
      </c>
      <c r="S111" s="532">
        <v>1</v>
      </c>
      <c r="T111" s="531">
        <v>1</v>
      </c>
      <c r="U111" s="533">
        <v>1</v>
      </c>
    </row>
    <row r="112" spans="1:21" ht="14.4" customHeight="1" x14ac:dyDescent="0.3">
      <c r="A112" s="526">
        <v>29</v>
      </c>
      <c r="B112" s="527" t="s">
        <v>430</v>
      </c>
      <c r="C112" s="527" t="s">
        <v>548</v>
      </c>
      <c r="D112" s="528" t="s">
        <v>871</v>
      </c>
      <c r="E112" s="529" t="s">
        <v>559</v>
      </c>
      <c r="F112" s="527" t="s">
        <v>547</v>
      </c>
      <c r="G112" s="527" t="s">
        <v>597</v>
      </c>
      <c r="H112" s="527" t="s">
        <v>431</v>
      </c>
      <c r="I112" s="527" t="s">
        <v>785</v>
      </c>
      <c r="J112" s="527" t="s">
        <v>786</v>
      </c>
      <c r="K112" s="527" t="s">
        <v>787</v>
      </c>
      <c r="L112" s="530">
        <v>886.16</v>
      </c>
      <c r="M112" s="530">
        <v>2658.48</v>
      </c>
      <c r="N112" s="527">
        <v>3</v>
      </c>
      <c r="O112" s="531">
        <v>1</v>
      </c>
      <c r="P112" s="530"/>
      <c r="Q112" s="532">
        <v>0</v>
      </c>
      <c r="R112" s="527"/>
      <c r="S112" s="532">
        <v>0</v>
      </c>
      <c r="T112" s="531"/>
      <c r="U112" s="533">
        <v>0</v>
      </c>
    </row>
    <row r="113" spans="1:21" ht="14.4" customHeight="1" x14ac:dyDescent="0.3">
      <c r="A113" s="526">
        <v>29</v>
      </c>
      <c r="B113" s="527" t="s">
        <v>430</v>
      </c>
      <c r="C113" s="527" t="s">
        <v>548</v>
      </c>
      <c r="D113" s="528" t="s">
        <v>871</v>
      </c>
      <c r="E113" s="529" t="s">
        <v>559</v>
      </c>
      <c r="F113" s="527" t="s">
        <v>547</v>
      </c>
      <c r="G113" s="527" t="s">
        <v>597</v>
      </c>
      <c r="H113" s="527" t="s">
        <v>431</v>
      </c>
      <c r="I113" s="527" t="s">
        <v>758</v>
      </c>
      <c r="J113" s="527" t="s">
        <v>759</v>
      </c>
      <c r="K113" s="527" t="s">
        <v>760</v>
      </c>
      <c r="L113" s="530">
        <v>128</v>
      </c>
      <c r="M113" s="530">
        <v>384</v>
      </c>
      <c r="N113" s="527">
        <v>3</v>
      </c>
      <c r="O113" s="531">
        <v>3</v>
      </c>
      <c r="P113" s="530">
        <v>256</v>
      </c>
      <c r="Q113" s="532">
        <v>0.66666666666666663</v>
      </c>
      <c r="R113" s="527">
        <v>2</v>
      </c>
      <c r="S113" s="532">
        <v>0.66666666666666663</v>
      </c>
      <c r="T113" s="531">
        <v>2</v>
      </c>
      <c r="U113" s="533">
        <v>0.66666666666666663</v>
      </c>
    </row>
    <row r="114" spans="1:21" ht="14.4" customHeight="1" x14ac:dyDescent="0.3">
      <c r="A114" s="526">
        <v>29</v>
      </c>
      <c r="B114" s="527" t="s">
        <v>430</v>
      </c>
      <c r="C114" s="527" t="s">
        <v>548</v>
      </c>
      <c r="D114" s="528" t="s">
        <v>871</v>
      </c>
      <c r="E114" s="529" t="s">
        <v>559</v>
      </c>
      <c r="F114" s="527" t="s">
        <v>547</v>
      </c>
      <c r="G114" s="527" t="s">
        <v>654</v>
      </c>
      <c r="H114" s="527" t="s">
        <v>431</v>
      </c>
      <c r="I114" s="527" t="s">
        <v>711</v>
      </c>
      <c r="J114" s="527" t="s">
        <v>712</v>
      </c>
      <c r="K114" s="527" t="s">
        <v>713</v>
      </c>
      <c r="L114" s="530">
        <v>410</v>
      </c>
      <c r="M114" s="530">
        <v>18450</v>
      </c>
      <c r="N114" s="527">
        <v>45</v>
      </c>
      <c r="O114" s="531">
        <v>24</v>
      </c>
      <c r="P114" s="530">
        <v>16810</v>
      </c>
      <c r="Q114" s="532">
        <v>0.91111111111111109</v>
      </c>
      <c r="R114" s="527">
        <v>41</v>
      </c>
      <c r="S114" s="532">
        <v>0.91111111111111109</v>
      </c>
      <c r="T114" s="531">
        <v>22</v>
      </c>
      <c r="U114" s="533">
        <v>0.91666666666666663</v>
      </c>
    </row>
    <row r="115" spans="1:21" ht="14.4" customHeight="1" x14ac:dyDescent="0.3">
      <c r="A115" s="526">
        <v>29</v>
      </c>
      <c r="B115" s="527" t="s">
        <v>430</v>
      </c>
      <c r="C115" s="527" t="s">
        <v>548</v>
      </c>
      <c r="D115" s="528" t="s">
        <v>871</v>
      </c>
      <c r="E115" s="529" t="s">
        <v>559</v>
      </c>
      <c r="F115" s="527" t="s">
        <v>547</v>
      </c>
      <c r="G115" s="527" t="s">
        <v>654</v>
      </c>
      <c r="H115" s="527" t="s">
        <v>431</v>
      </c>
      <c r="I115" s="527" t="s">
        <v>655</v>
      </c>
      <c r="J115" s="527" t="s">
        <v>656</v>
      </c>
      <c r="K115" s="527" t="s">
        <v>657</v>
      </c>
      <c r="L115" s="530">
        <v>566</v>
      </c>
      <c r="M115" s="530">
        <v>1132</v>
      </c>
      <c r="N115" s="527">
        <v>2</v>
      </c>
      <c r="O115" s="531">
        <v>1</v>
      </c>
      <c r="P115" s="530">
        <v>1132</v>
      </c>
      <c r="Q115" s="532">
        <v>1</v>
      </c>
      <c r="R115" s="527">
        <v>2</v>
      </c>
      <c r="S115" s="532">
        <v>1</v>
      </c>
      <c r="T115" s="531">
        <v>1</v>
      </c>
      <c r="U115" s="533">
        <v>1</v>
      </c>
    </row>
    <row r="116" spans="1:21" ht="14.4" customHeight="1" x14ac:dyDescent="0.3">
      <c r="A116" s="526">
        <v>29</v>
      </c>
      <c r="B116" s="527" t="s">
        <v>430</v>
      </c>
      <c r="C116" s="527" t="s">
        <v>548</v>
      </c>
      <c r="D116" s="528" t="s">
        <v>871</v>
      </c>
      <c r="E116" s="529" t="s">
        <v>559</v>
      </c>
      <c r="F116" s="527" t="s">
        <v>547</v>
      </c>
      <c r="G116" s="527" t="s">
        <v>654</v>
      </c>
      <c r="H116" s="527" t="s">
        <v>431</v>
      </c>
      <c r="I116" s="527" t="s">
        <v>788</v>
      </c>
      <c r="J116" s="527" t="s">
        <v>656</v>
      </c>
      <c r="K116" s="527" t="s">
        <v>789</v>
      </c>
      <c r="L116" s="530">
        <v>600</v>
      </c>
      <c r="M116" s="530">
        <v>600</v>
      </c>
      <c r="N116" s="527">
        <v>1</v>
      </c>
      <c r="O116" s="531">
        <v>1</v>
      </c>
      <c r="P116" s="530">
        <v>600</v>
      </c>
      <c r="Q116" s="532">
        <v>1</v>
      </c>
      <c r="R116" s="527">
        <v>1</v>
      </c>
      <c r="S116" s="532">
        <v>1</v>
      </c>
      <c r="T116" s="531">
        <v>1</v>
      </c>
      <c r="U116" s="533">
        <v>1</v>
      </c>
    </row>
    <row r="117" spans="1:21" ht="14.4" customHeight="1" x14ac:dyDescent="0.3">
      <c r="A117" s="526">
        <v>29</v>
      </c>
      <c r="B117" s="527" t="s">
        <v>430</v>
      </c>
      <c r="C117" s="527" t="s">
        <v>548</v>
      </c>
      <c r="D117" s="528" t="s">
        <v>871</v>
      </c>
      <c r="E117" s="529" t="s">
        <v>559</v>
      </c>
      <c r="F117" s="527" t="s">
        <v>547</v>
      </c>
      <c r="G117" s="527" t="s">
        <v>603</v>
      </c>
      <c r="H117" s="527" t="s">
        <v>431</v>
      </c>
      <c r="I117" s="527" t="s">
        <v>790</v>
      </c>
      <c r="J117" s="527" t="s">
        <v>791</v>
      </c>
      <c r="K117" s="527" t="s">
        <v>792</v>
      </c>
      <c r="L117" s="530">
        <v>378.48</v>
      </c>
      <c r="M117" s="530">
        <v>378.48</v>
      </c>
      <c r="N117" s="527">
        <v>1</v>
      </c>
      <c r="O117" s="531">
        <v>1</v>
      </c>
      <c r="P117" s="530">
        <v>378.48</v>
      </c>
      <c r="Q117" s="532">
        <v>1</v>
      </c>
      <c r="R117" s="527">
        <v>1</v>
      </c>
      <c r="S117" s="532">
        <v>1</v>
      </c>
      <c r="T117" s="531">
        <v>1</v>
      </c>
      <c r="U117" s="533">
        <v>1</v>
      </c>
    </row>
    <row r="118" spans="1:21" ht="14.4" customHeight="1" x14ac:dyDescent="0.3">
      <c r="A118" s="526">
        <v>29</v>
      </c>
      <c r="B118" s="527" t="s">
        <v>430</v>
      </c>
      <c r="C118" s="527" t="s">
        <v>548</v>
      </c>
      <c r="D118" s="528" t="s">
        <v>871</v>
      </c>
      <c r="E118" s="529" t="s">
        <v>559</v>
      </c>
      <c r="F118" s="527" t="s">
        <v>547</v>
      </c>
      <c r="G118" s="527" t="s">
        <v>603</v>
      </c>
      <c r="H118" s="527" t="s">
        <v>431</v>
      </c>
      <c r="I118" s="527" t="s">
        <v>793</v>
      </c>
      <c r="J118" s="527" t="s">
        <v>794</v>
      </c>
      <c r="K118" s="527" t="s">
        <v>795</v>
      </c>
      <c r="L118" s="530">
        <v>378.48</v>
      </c>
      <c r="M118" s="530">
        <v>378.48</v>
      </c>
      <c r="N118" s="527">
        <v>1</v>
      </c>
      <c r="O118" s="531">
        <v>1</v>
      </c>
      <c r="P118" s="530">
        <v>378.48</v>
      </c>
      <c r="Q118" s="532">
        <v>1</v>
      </c>
      <c r="R118" s="527">
        <v>1</v>
      </c>
      <c r="S118" s="532">
        <v>1</v>
      </c>
      <c r="T118" s="531">
        <v>1</v>
      </c>
      <c r="U118" s="533">
        <v>1</v>
      </c>
    </row>
    <row r="119" spans="1:21" ht="14.4" customHeight="1" x14ac:dyDescent="0.3">
      <c r="A119" s="526">
        <v>29</v>
      </c>
      <c r="B119" s="527" t="s">
        <v>430</v>
      </c>
      <c r="C119" s="527" t="s">
        <v>548</v>
      </c>
      <c r="D119" s="528" t="s">
        <v>871</v>
      </c>
      <c r="E119" s="529" t="s">
        <v>559</v>
      </c>
      <c r="F119" s="527" t="s">
        <v>547</v>
      </c>
      <c r="G119" s="527" t="s">
        <v>603</v>
      </c>
      <c r="H119" s="527" t="s">
        <v>431</v>
      </c>
      <c r="I119" s="527" t="s">
        <v>658</v>
      </c>
      <c r="J119" s="527" t="s">
        <v>659</v>
      </c>
      <c r="K119" s="527" t="s">
        <v>660</v>
      </c>
      <c r="L119" s="530">
        <v>58.5</v>
      </c>
      <c r="M119" s="530">
        <v>58.5</v>
      </c>
      <c r="N119" s="527">
        <v>1</v>
      </c>
      <c r="O119" s="531">
        <v>1</v>
      </c>
      <c r="P119" s="530">
        <v>58.5</v>
      </c>
      <c r="Q119" s="532">
        <v>1</v>
      </c>
      <c r="R119" s="527">
        <v>1</v>
      </c>
      <c r="S119" s="532">
        <v>1</v>
      </c>
      <c r="T119" s="531">
        <v>1</v>
      </c>
      <c r="U119" s="533">
        <v>1</v>
      </c>
    </row>
    <row r="120" spans="1:21" ht="14.4" customHeight="1" x14ac:dyDescent="0.3">
      <c r="A120" s="526">
        <v>29</v>
      </c>
      <c r="B120" s="527" t="s">
        <v>430</v>
      </c>
      <c r="C120" s="527" t="s">
        <v>548</v>
      </c>
      <c r="D120" s="528" t="s">
        <v>871</v>
      </c>
      <c r="E120" s="529" t="s">
        <v>559</v>
      </c>
      <c r="F120" s="527" t="s">
        <v>547</v>
      </c>
      <c r="G120" s="527" t="s">
        <v>603</v>
      </c>
      <c r="H120" s="527" t="s">
        <v>431</v>
      </c>
      <c r="I120" s="527" t="s">
        <v>796</v>
      </c>
      <c r="J120" s="527" t="s">
        <v>797</v>
      </c>
      <c r="K120" s="527"/>
      <c r="L120" s="530">
        <v>269</v>
      </c>
      <c r="M120" s="530">
        <v>269</v>
      </c>
      <c r="N120" s="527">
        <v>1</v>
      </c>
      <c r="O120" s="531">
        <v>1</v>
      </c>
      <c r="P120" s="530"/>
      <c r="Q120" s="532">
        <v>0</v>
      </c>
      <c r="R120" s="527"/>
      <c r="S120" s="532">
        <v>0</v>
      </c>
      <c r="T120" s="531"/>
      <c r="U120" s="533">
        <v>0</v>
      </c>
    </row>
    <row r="121" spans="1:21" ht="14.4" customHeight="1" x14ac:dyDescent="0.3">
      <c r="A121" s="526">
        <v>29</v>
      </c>
      <c r="B121" s="527" t="s">
        <v>430</v>
      </c>
      <c r="C121" s="527" t="s">
        <v>548</v>
      </c>
      <c r="D121" s="528" t="s">
        <v>871</v>
      </c>
      <c r="E121" s="529" t="s">
        <v>559</v>
      </c>
      <c r="F121" s="527" t="s">
        <v>547</v>
      </c>
      <c r="G121" s="527" t="s">
        <v>798</v>
      </c>
      <c r="H121" s="527" t="s">
        <v>431</v>
      </c>
      <c r="I121" s="527" t="s">
        <v>799</v>
      </c>
      <c r="J121" s="527" t="s">
        <v>800</v>
      </c>
      <c r="K121" s="527" t="s">
        <v>801</v>
      </c>
      <c r="L121" s="530">
        <v>200</v>
      </c>
      <c r="M121" s="530">
        <v>400</v>
      </c>
      <c r="N121" s="527">
        <v>2</v>
      </c>
      <c r="O121" s="531">
        <v>1</v>
      </c>
      <c r="P121" s="530">
        <v>400</v>
      </c>
      <c r="Q121" s="532">
        <v>1</v>
      </c>
      <c r="R121" s="527">
        <v>2</v>
      </c>
      <c r="S121" s="532">
        <v>1</v>
      </c>
      <c r="T121" s="531">
        <v>1</v>
      </c>
      <c r="U121" s="533">
        <v>1</v>
      </c>
    </row>
    <row r="122" spans="1:21" ht="14.4" customHeight="1" x14ac:dyDescent="0.3">
      <c r="A122" s="526">
        <v>29</v>
      </c>
      <c r="B122" s="527" t="s">
        <v>430</v>
      </c>
      <c r="C122" s="527" t="s">
        <v>548</v>
      </c>
      <c r="D122" s="528" t="s">
        <v>871</v>
      </c>
      <c r="E122" s="529" t="s">
        <v>560</v>
      </c>
      <c r="F122" s="527" t="s">
        <v>545</v>
      </c>
      <c r="G122" s="527" t="s">
        <v>802</v>
      </c>
      <c r="H122" s="527" t="s">
        <v>431</v>
      </c>
      <c r="I122" s="527" t="s">
        <v>803</v>
      </c>
      <c r="J122" s="527" t="s">
        <v>804</v>
      </c>
      <c r="K122" s="527" t="s">
        <v>805</v>
      </c>
      <c r="L122" s="530">
        <v>73.069999999999993</v>
      </c>
      <c r="M122" s="530">
        <v>73.069999999999993</v>
      </c>
      <c r="N122" s="527">
        <v>1</v>
      </c>
      <c r="O122" s="531">
        <v>0.5</v>
      </c>
      <c r="P122" s="530"/>
      <c r="Q122" s="532">
        <v>0</v>
      </c>
      <c r="R122" s="527"/>
      <c r="S122" s="532">
        <v>0</v>
      </c>
      <c r="T122" s="531"/>
      <c r="U122" s="533">
        <v>0</v>
      </c>
    </row>
    <row r="123" spans="1:21" ht="14.4" customHeight="1" x14ac:dyDescent="0.3">
      <c r="A123" s="526">
        <v>29</v>
      </c>
      <c r="B123" s="527" t="s">
        <v>430</v>
      </c>
      <c r="C123" s="527" t="s">
        <v>548</v>
      </c>
      <c r="D123" s="528" t="s">
        <v>871</v>
      </c>
      <c r="E123" s="529" t="s">
        <v>560</v>
      </c>
      <c r="F123" s="527" t="s">
        <v>545</v>
      </c>
      <c r="G123" s="527" t="s">
        <v>561</v>
      </c>
      <c r="H123" s="527" t="s">
        <v>872</v>
      </c>
      <c r="I123" s="527" t="s">
        <v>562</v>
      </c>
      <c r="J123" s="527" t="s">
        <v>563</v>
      </c>
      <c r="K123" s="527" t="s">
        <v>564</v>
      </c>
      <c r="L123" s="530">
        <v>154.36000000000001</v>
      </c>
      <c r="M123" s="530">
        <v>617.44000000000005</v>
      </c>
      <c r="N123" s="527">
        <v>4</v>
      </c>
      <c r="O123" s="531">
        <v>3.5</v>
      </c>
      <c r="P123" s="530">
        <v>463.08000000000004</v>
      </c>
      <c r="Q123" s="532">
        <v>0.75</v>
      </c>
      <c r="R123" s="527">
        <v>3</v>
      </c>
      <c r="S123" s="532">
        <v>0.75</v>
      </c>
      <c r="T123" s="531">
        <v>3</v>
      </c>
      <c r="U123" s="533">
        <v>0.8571428571428571</v>
      </c>
    </row>
    <row r="124" spans="1:21" ht="14.4" customHeight="1" x14ac:dyDescent="0.3">
      <c r="A124" s="526">
        <v>29</v>
      </c>
      <c r="B124" s="527" t="s">
        <v>430</v>
      </c>
      <c r="C124" s="527" t="s">
        <v>548</v>
      </c>
      <c r="D124" s="528" t="s">
        <v>871</v>
      </c>
      <c r="E124" s="529" t="s">
        <v>560</v>
      </c>
      <c r="F124" s="527" t="s">
        <v>545</v>
      </c>
      <c r="G124" s="527" t="s">
        <v>561</v>
      </c>
      <c r="H124" s="527" t="s">
        <v>872</v>
      </c>
      <c r="I124" s="527" t="s">
        <v>747</v>
      </c>
      <c r="J124" s="527" t="s">
        <v>748</v>
      </c>
      <c r="K124" s="527" t="s">
        <v>749</v>
      </c>
      <c r="L124" s="530">
        <v>149.52000000000001</v>
      </c>
      <c r="M124" s="530">
        <v>149.52000000000001</v>
      </c>
      <c r="N124" s="527">
        <v>1</v>
      </c>
      <c r="O124" s="531">
        <v>1</v>
      </c>
      <c r="P124" s="530">
        <v>149.52000000000001</v>
      </c>
      <c r="Q124" s="532">
        <v>1</v>
      </c>
      <c r="R124" s="527">
        <v>1</v>
      </c>
      <c r="S124" s="532">
        <v>1</v>
      </c>
      <c r="T124" s="531">
        <v>1</v>
      </c>
      <c r="U124" s="533">
        <v>1</v>
      </c>
    </row>
    <row r="125" spans="1:21" ht="14.4" customHeight="1" x14ac:dyDescent="0.3">
      <c r="A125" s="526">
        <v>29</v>
      </c>
      <c r="B125" s="527" t="s">
        <v>430</v>
      </c>
      <c r="C125" s="527" t="s">
        <v>548</v>
      </c>
      <c r="D125" s="528" t="s">
        <v>871</v>
      </c>
      <c r="E125" s="529" t="s">
        <v>560</v>
      </c>
      <c r="F125" s="527" t="s">
        <v>545</v>
      </c>
      <c r="G125" s="527" t="s">
        <v>561</v>
      </c>
      <c r="H125" s="527" t="s">
        <v>431</v>
      </c>
      <c r="I125" s="527" t="s">
        <v>726</v>
      </c>
      <c r="J125" s="527" t="s">
        <v>724</v>
      </c>
      <c r="K125" s="527" t="s">
        <v>564</v>
      </c>
      <c r="L125" s="530">
        <v>0</v>
      </c>
      <c r="M125" s="530">
        <v>0</v>
      </c>
      <c r="N125" s="527">
        <v>1</v>
      </c>
      <c r="O125" s="531">
        <v>1</v>
      </c>
      <c r="P125" s="530">
        <v>0</v>
      </c>
      <c r="Q125" s="532"/>
      <c r="R125" s="527">
        <v>1</v>
      </c>
      <c r="S125" s="532">
        <v>1</v>
      </c>
      <c r="T125" s="531">
        <v>1</v>
      </c>
      <c r="U125" s="533">
        <v>1</v>
      </c>
    </row>
    <row r="126" spans="1:21" ht="14.4" customHeight="1" x14ac:dyDescent="0.3">
      <c r="A126" s="526">
        <v>29</v>
      </c>
      <c r="B126" s="527" t="s">
        <v>430</v>
      </c>
      <c r="C126" s="527" t="s">
        <v>548</v>
      </c>
      <c r="D126" s="528" t="s">
        <v>871</v>
      </c>
      <c r="E126" s="529" t="s">
        <v>560</v>
      </c>
      <c r="F126" s="527" t="s">
        <v>545</v>
      </c>
      <c r="G126" s="527" t="s">
        <v>806</v>
      </c>
      <c r="H126" s="527" t="s">
        <v>431</v>
      </c>
      <c r="I126" s="527" t="s">
        <v>807</v>
      </c>
      <c r="J126" s="527" t="s">
        <v>808</v>
      </c>
      <c r="K126" s="527" t="s">
        <v>809</v>
      </c>
      <c r="L126" s="530">
        <v>815.1</v>
      </c>
      <c r="M126" s="530">
        <v>815.1</v>
      </c>
      <c r="N126" s="527">
        <v>1</v>
      </c>
      <c r="O126" s="531">
        <v>1</v>
      </c>
      <c r="P126" s="530">
        <v>815.1</v>
      </c>
      <c r="Q126" s="532">
        <v>1</v>
      </c>
      <c r="R126" s="527">
        <v>1</v>
      </c>
      <c r="S126" s="532">
        <v>1</v>
      </c>
      <c r="T126" s="531">
        <v>1</v>
      </c>
      <c r="U126" s="533">
        <v>1</v>
      </c>
    </row>
    <row r="127" spans="1:21" ht="14.4" customHeight="1" x14ac:dyDescent="0.3">
      <c r="A127" s="526">
        <v>29</v>
      </c>
      <c r="B127" s="527" t="s">
        <v>430</v>
      </c>
      <c r="C127" s="527" t="s">
        <v>548</v>
      </c>
      <c r="D127" s="528" t="s">
        <v>871</v>
      </c>
      <c r="E127" s="529" t="s">
        <v>560</v>
      </c>
      <c r="F127" s="527" t="s">
        <v>545</v>
      </c>
      <c r="G127" s="527" t="s">
        <v>614</v>
      </c>
      <c r="H127" s="527" t="s">
        <v>431</v>
      </c>
      <c r="I127" s="527" t="s">
        <v>615</v>
      </c>
      <c r="J127" s="527" t="s">
        <v>616</v>
      </c>
      <c r="K127" s="527" t="s">
        <v>617</v>
      </c>
      <c r="L127" s="530">
        <v>170.52</v>
      </c>
      <c r="M127" s="530">
        <v>170.52</v>
      </c>
      <c r="N127" s="527">
        <v>1</v>
      </c>
      <c r="O127" s="531">
        <v>1</v>
      </c>
      <c r="P127" s="530">
        <v>170.52</v>
      </c>
      <c r="Q127" s="532">
        <v>1</v>
      </c>
      <c r="R127" s="527">
        <v>1</v>
      </c>
      <c r="S127" s="532">
        <v>1</v>
      </c>
      <c r="T127" s="531">
        <v>1</v>
      </c>
      <c r="U127" s="533">
        <v>1</v>
      </c>
    </row>
    <row r="128" spans="1:21" ht="14.4" customHeight="1" x14ac:dyDescent="0.3">
      <c r="A128" s="526">
        <v>29</v>
      </c>
      <c r="B128" s="527" t="s">
        <v>430</v>
      </c>
      <c r="C128" s="527" t="s">
        <v>548</v>
      </c>
      <c r="D128" s="528" t="s">
        <v>871</v>
      </c>
      <c r="E128" s="529" t="s">
        <v>560</v>
      </c>
      <c r="F128" s="527" t="s">
        <v>545</v>
      </c>
      <c r="G128" s="527" t="s">
        <v>614</v>
      </c>
      <c r="H128" s="527" t="s">
        <v>431</v>
      </c>
      <c r="I128" s="527" t="s">
        <v>810</v>
      </c>
      <c r="J128" s="527" t="s">
        <v>616</v>
      </c>
      <c r="K128" s="527" t="s">
        <v>617</v>
      </c>
      <c r="L128" s="530">
        <v>170.52</v>
      </c>
      <c r="M128" s="530">
        <v>1023.12</v>
      </c>
      <c r="N128" s="527">
        <v>6</v>
      </c>
      <c r="O128" s="531">
        <v>5.5</v>
      </c>
      <c r="P128" s="530">
        <v>852.6</v>
      </c>
      <c r="Q128" s="532">
        <v>0.83333333333333337</v>
      </c>
      <c r="R128" s="527">
        <v>5</v>
      </c>
      <c r="S128" s="532">
        <v>0.83333333333333337</v>
      </c>
      <c r="T128" s="531">
        <v>4.5</v>
      </c>
      <c r="U128" s="533">
        <v>0.81818181818181823</v>
      </c>
    </row>
    <row r="129" spans="1:21" ht="14.4" customHeight="1" x14ac:dyDescent="0.3">
      <c r="A129" s="526">
        <v>29</v>
      </c>
      <c r="B129" s="527" t="s">
        <v>430</v>
      </c>
      <c r="C129" s="527" t="s">
        <v>548</v>
      </c>
      <c r="D129" s="528" t="s">
        <v>871</v>
      </c>
      <c r="E129" s="529" t="s">
        <v>560</v>
      </c>
      <c r="F129" s="527" t="s">
        <v>545</v>
      </c>
      <c r="G129" s="527" t="s">
        <v>614</v>
      </c>
      <c r="H129" s="527" t="s">
        <v>431</v>
      </c>
      <c r="I129" s="527" t="s">
        <v>811</v>
      </c>
      <c r="J129" s="527" t="s">
        <v>616</v>
      </c>
      <c r="K129" s="527" t="s">
        <v>812</v>
      </c>
      <c r="L129" s="530">
        <v>0</v>
      </c>
      <c r="M129" s="530">
        <v>0</v>
      </c>
      <c r="N129" s="527">
        <v>1</v>
      </c>
      <c r="O129" s="531">
        <v>1</v>
      </c>
      <c r="P129" s="530">
        <v>0</v>
      </c>
      <c r="Q129" s="532"/>
      <c r="R129" s="527">
        <v>1</v>
      </c>
      <c r="S129" s="532">
        <v>1</v>
      </c>
      <c r="T129" s="531">
        <v>1</v>
      </c>
      <c r="U129" s="533">
        <v>1</v>
      </c>
    </row>
    <row r="130" spans="1:21" ht="14.4" customHeight="1" x14ac:dyDescent="0.3">
      <c r="A130" s="526">
        <v>29</v>
      </c>
      <c r="B130" s="527" t="s">
        <v>430</v>
      </c>
      <c r="C130" s="527" t="s">
        <v>548</v>
      </c>
      <c r="D130" s="528" t="s">
        <v>871</v>
      </c>
      <c r="E130" s="529" t="s">
        <v>560</v>
      </c>
      <c r="F130" s="527" t="s">
        <v>545</v>
      </c>
      <c r="G130" s="527" t="s">
        <v>614</v>
      </c>
      <c r="H130" s="527" t="s">
        <v>431</v>
      </c>
      <c r="I130" s="527" t="s">
        <v>813</v>
      </c>
      <c r="J130" s="527" t="s">
        <v>616</v>
      </c>
      <c r="K130" s="527" t="s">
        <v>617</v>
      </c>
      <c r="L130" s="530">
        <v>0</v>
      </c>
      <c r="M130" s="530">
        <v>0</v>
      </c>
      <c r="N130" s="527">
        <v>1</v>
      </c>
      <c r="O130" s="531">
        <v>1</v>
      </c>
      <c r="P130" s="530"/>
      <c r="Q130" s="532"/>
      <c r="R130" s="527"/>
      <c r="S130" s="532">
        <v>0</v>
      </c>
      <c r="T130" s="531"/>
      <c r="U130" s="533">
        <v>0</v>
      </c>
    </row>
    <row r="131" spans="1:21" ht="14.4" customHeight="1" x14ac:dyDescent="0.3">
      <c r="A131" s="526">
        <v>29</v>
      </c>
      <c r="B131" s="527" t="s">
        <v>430</v>
      </c>
      <c r="C131" s="527" t="s">
        <v>548</v>
      </c>
      <c r="D131" s="528" t="s">
        <v>871</v>
      </c>
      <c r="E131" s="529" t="s">
        <v>560</v>
      </c>
      <c r="F131" s="527" t="s">
        <v>545</v>
      </c>
      <c r="G131" s="527" t="s">
        <v>731</v>
      </c>
      <c r="H131" s="527" t="s">
        <v>431</v>
      </c>
      <c r="I131" s="527" t="s">
        <v>814</v>
      </c>
      <c r="J131" s="527" t="s">
        <v>815</v>
      </c>
      <c r="K131" s="527" t="s">
        <v>617</v>
      </c>
      <c r="L131" s="530">
        <v>78.33</v>
      </c>
      <c r="M131" s="530">
        <v>78.33</v>
      </c>
      <c r="N131" s="527">
        <v>1</v>
      </c>
      <c r="O131" s="531">
        <v>0.5</v>
      </c>
      <c r="P131" s="530">
        <v>78.33</v>
      </c>
      <c r="Q131" s="532">
        <v>1</v>
      </c>
      <c r="R131" s="527">
        <v>1</v>
      </c>
      <c r="S131" s="532">
        <v>1</v>
      </c>
      <c r="T131" s="531">
        <v>0.5</v>
      </c>
      <c r="U131" s="533">
        <v>1</v>
      </c>
    </row>
    <row r="132" spans="1:21" ht="14.4" customHeight="1" x14ac:dyDescent="0.3">
      <c r="A132" s="526">
        <v>29</v>
      </c>
      <c r="B132" s="527" t="s">
        <v>430</v>
      </c>
      <c r="C132" s="527" t="s">
        <v>548</v>
      </c>
      <c r="D132" s="528" t="s">
        <v>871</v>
      </c>
      <c r="E132" s="529" t="s">
        <v>560</v>
      </c>
      <c r="F132" s="527" t="s">
        <v>545</v>
      </c>
      <c r="G132" s="527" t="s">
        <v>816</v>
      </c>
      <c r="H132" s="527" t="s">
        <v>431</v>
      </c>
      <c r="I132" s="527" t="s">
        <v>817</v>
      </c>
      <c r="J132" s="527" t="s">
        <v>818</v>
      </c>
      <c r="K132" s="527" t="s">
        <v>819</v>
      </c>
      <c r="L132" s="530">
        <v>73.069999999999993</v>
      </c>
      <c r="M132" s="530">
        <v>73.069999999999993</v>
      </c>
      <c r="N132" s="527">
        <v>1</v>
      </c>
      <c r="O132" s="531">
        <v>1</v>
      </c>
      <c r="P132" s="530">
        <v>73.069999999999993</v>
      </c>
      <c r="Q132" s="532">
        <v>1</v>
      </c>
      <c r="R132" s="527">
        <v>1</v>
      </c>
      <c r="S132" s="532">
        <v>1</v>
      </c>
      <c r="T132" s="531">
        <v>1</v>
      </c>
      <c r="U132" s="533">
        <v>1</v>
      </c>
    </row>
    <row r="133" spans="1:21" ht="14.4" customHeight="1" x14ac:dyDescent="0.3">
      <c r="A133" s="526">
        <v>29</v>
      </c>
      <c r="B133" s="527" t="s">
        <v>430</v>
      </c>
      <c r="C133" s="527" t="s">
        <v>548</v>
      </c>
      <c r="D133" s="528" t="s">
        <v>871</v>
      </c>
      <c r="E133" s="529" t="s">
        <v>560</v>
      </c>
      <c r="F133" s="527" t="s">
        <v>545</v>
      </c>
      <c r="G133" s="527" t="s">
        <v>820</v>
      </c>
      <c r="H133" s="527" t="s">
        <v>431</v>
      </c>
      <c r="I133" s="527" t="s">
        <v>821</v>
      </c>
      <c r="J133" s="527" t="s">
        <v>822</v>
      </c>
      <c r="K133" s="527" t="s">
        <v>823</v>
      </c>
      <c r="L133" s="530">
        <v>74.06</v>
      </c>
      <c r="M133" s="530">
        <v>74.06</v>
      </c>
      <c r="N133" s="527">
        <v>1</v>
      </c>
      <c r="O133" s="531">
        <v>1</v>
      </c>
      <c r="P133" s="530"/>
      <c r="Q133" s="532">
        <v>0</v>
      </c>
      <c r="R133" s="527"/>
      <c r="S133" s="532">
        <v>0</v>
      </c>
      <c r="T133" s="531"/>
      <c r="U133" s="533">
        <v>0</v>
      </c>
    </row>
    <row r="134" spans="1:21" ht="14.4" customHeight="1" x14ac:dyDescent="0.3">
      <c r="A134" s="526">
        <v>29</v>
      </c>
      <c r="B134" s="527" t="s">
        <v>430</v>
      </c>
      <c r="C134" s="527" t="s">
        <v>548</v>
      </c>
      <c r="D134" s="528" t="s">
        <v>871</v>
      </c>
      <c r="E134" s="529" t="s">
        <v>560</v>
      </c>
      <c r="F134" s="527" t="s">
        <v>545</v>
      </c>
      <c r="G134" s="527" t="s">
        <v>824</v>
      </c>
      <c r="H134" s="527" t="s">
        <v>431</v>
      </c>
      <c r="I134" s="527" t="s">
        <v>825</v>
      </c>
      <c r="J134" s="527" t="s">
        <v>826</v>
      </c>
      <c r="K134" s="527" t="s">
        <v>827</v>
      </c>
      <c r="L134" s="530">
        <v>0</v>
      </c>
      <c r="M134" s="530">
        <v>0</v>
      </c>
      <c r="N134" s="527">
        <v>1</v>
      </c>
      <c r="O134" s="531">
        <v>1</v>
      </c>
      <c r="P134" s="530">
        <v>0</v>
      </c>
      <c r="Q134" s="532"/>
      <c r="R134" s="527">
        <v>1</v>
      </c>
      <c r="S134" s="532">
        <v>1</v>
      </c>
      <c r="T134" s="531">
        <v>1</v>
      </c>
      <c r="U134" s="533">
        <v>1</v>
      </c>
    </row>
    <row r="135" spans="1:21" ht="14.4" customHeight="1" x14ac:dyDescent="0.3">
      <c r="A135" s="526">
        <v>29</v>
      </c>
      <c r="B135" s="527" t="s">
        <v>430</v>
      </c>
      <c r="C135" s="527" t="s">
        <v>548</v>
      </c>
      <c r="D135" s="528" t="s">
        <v>871</v>
      </c>
      <c r="E135" s="529" t="s">
        <v>560</v>
      </c>
      <c r="F135" s="527" t="s">
        <v>545</v>
      </c>
      <c r="G135" s="527" t="s">
        <v>672</v>
      </c>
      <c r="H135" s="527" t="s">
        <v>431</v>
      </c>
      <c r="I135" s="527" t="s">
        <v>673</v>
      </c>
      <c r="J135" s="527" t="s">
        <v>674</v>
      </c>
      <c r="K135" s="527" t="s">
        <v>675</v>
      </c>
      <c r="L135" s="530">
        <v>107.27</v>
      </c>
      <c r="M135" s="530">
        <v>107.27</v>
      </c>
      <c r="N135" s="527">
        <v>1</v>
      </c>
      <c r="O135" s="531">
        <v>1</v>
      </c>
      <c r="P135" s="530"/>
      <c r="Q135" s="532">
        <v>0</v>
      </c>
      <c r="R135" s="527"/>
      <c r="S135" s="532">
        <v>0</v>
      </c>
      <c r="T135" s="531"/>
      <c r="U135" s="533">
        <v>0</v>
      </c>
    </row>
    <row r="136" spans="1:21" ht="14.4" customHeight="1" x14ac:dyDescent="0.3">
      <c r="A136" s="526">
        <v>29</v>
      </c>
      <c r="B136" s="527" t="s">
        <v>430</v>
      </c>
      <c r="C136" s="527" t="s">
        <v>548</v>
      </c>
      <c r="D136" s="528" t="s">
        <v>871</v>
      </c>
      <c r="E136" s="529" t="s">
        <v>560</v>
      </c>
      <c r="F136" s="527" t="s">
        <v>545</v>
      </c>
      <c r="G136" s="527" t="s">
        <v>672</v>
      </c>
      <c r="H136" s="527" t="s">
        <v>431</v>
      </c>
      <c r="I136" s="527" t="s">
        <v>676</v>
      </c>
      <c r="J136" s="527" t="s">
        <v>674</v>
      </c>
      <c r="K136" s="527" t="s">
        <v>675</v>
      </c>
      <c r="L136" s="530">
        <v>107.27</v>
      </c>
      <c r="M136" s="530">
        <v>107.27</v>
      </c>
      <c r="N136" s="527">
        <v>1</v>
      </c>
      <c r="O136" s="531">
        <v>1</v>
      </c>
      <c r="P136" s="530">
        <v>107.27</v>
      </c>
      <c r="Q136" s="532">
        <v>1</v>
      </c>
      <c r="R136" s="527">
        <v>1</v>
      </c>
      <c r="S136" s="532">
        <v>1</v>
      </c>
      <c r="T136" s="531">
        <v>1</v>
      </c>
      <c r="U136" s="533">
        <v>1</v>
      </c>
    </row>
    <row r="137" spans="1:21" ht="14.4" customHeight="1" x14ac:dyDescent="0.3">
      <c r="A137" s="526">
        <v>29</v>
      </c>
      <c r="B137" s="527" t="s">
        <v>430</v>
      </c>
      <c r="C137" s="527" t="s">
        <v>548</v>
      </c>
      <c r="D137" s="528" t="s">
        <v>871</v>
      </c>
      <c r="E137" s="529" t="s">
        <v>560</v>
      </c>
      <c r="F137" s="527" t="s">
        <v>545</v>
      </c>
      <c r="G137" s="527" t="s">
        <v>571</v>
      </c>
      <c r="H137" s="527" t="s">
        <v>431</v>
      </c>
      <c r="I137" s="527" t="s">
        <v>572</v>
      </c>
      <c r="J137" s="527" t="s">
        <v>573</v>
      </c>
      <c r="K137" s="527" t="s">
        <v>574</v>
      </c>
      <c r="L137" s="530">
        <v>0</v>
      </c>
      <c r="M137" s="530">
        <v>0</v>
      </c>
      <c r="N137" s="527">
        <v>1</v>
      </c>
      <c r="O137" s="531">
        <v>1</v>
      </c>
      <c r="P137" s="530">
        <v>0</v>
      </c>
      <c r="Q137" s="532"/>
      <c r="R137" s="527">
        <v>1</v>
      </c>
      <c r="S137" s="532">
        <v>1</v>
      </c>
      <c r="T137" s="531">
        <v>1</v>
      </c>
      <c r="U137" s="533">
        <v>1</v>
      </c>
    </row>
    <row r="138" spans="1:21" ht="14.4" customHeight="1" x14ac:dyDescent="0.3">
      <c r="A138" s="526">
        <v>29</v>
      </c>
      <c r="B138" s="527" t="s">
        <v>430</v>
      </c>
      <c r="C138" s="527" t="s">
        <v>548</v>
      </c>
      <c r="D138" s="528" t="s">
        <v>871</v>
      </c>
      <c r="E138" s="529" t="s">
        <v>560</v>
      </c>
      <c r="F138" s="527" t="s">
        <v>545</v>
      </c>
      <c r="G138" s="527" t="s">
        <v>622</v>
      </c>
      <c r="H138" s="527" t="s">
        <v>431</v>
      </c>
      <c r="I138" s="527" t="s">
        <v>828</v>
      </c>
      <c r="J138" s="527" t="s">
        <v>624</v>
      </c>
      <c r="K138" s="527" t="s">
        <v>829</v>
      </c>
      <c r="L138" s="530">
        <v>0</v>
      </c>
      <c r="M138" s="530">
        <v>0</v>
      </c>
      <c r="N138" s="527">
        <v>2</v>
      </c>
      <c r="O138" s="531">
        <v>1</v>
      </c>
      <c r="P138" s="530">
        <v>0</v>
      </c>
      <c r="Q138" s="532"/>
      <c r="R138" s="527">
        <v>1</v>
      </c>
      <c r="S138" s="532">
        <v>0.5</v>
      </c>
      <c r="T138" s="531">
        <v>0.5</v>
      </c>
      <c r="U138" s="533">
        <v>0.5</v>
      </c>
    </row>
    <row r="139" spans="1:21" ht="14.4" customHeight="1" x14ac:dyDescent="0.3">
      <c r="A139" s="526">
        <v>29</v>
      </c>
      <c r="B139" s="527" t="s">
        <v>430</v>
      </c>
      <c r="C139" s="527" t="s">
        <v>548</v>
      </c>
      <c r="D139" s="528" t="s">
        <v>871</v>
      </c>
      <c r="E139" s="529" t="s">
        <v>560</v>
      </c>
      <c r="F139" s="527" t="s">
        <v>545</v>
      </c>
      <c r="G139" s="527" t="s">
        <v>768</v>
      </c>
      <c r="H139" s="527" t="s">
        <v>431</v>
      </c>
      <c r="I139" s="527" t="s">
        <v>769</v>
      </c>
      <c r="J139" s="527" t="s">
        <v>770</v>
      </c>
      <c r="K139" s="527" t="s">
        <v>771</v>
      </c>
      <c r="L139" s="530">
        <v>132.97999999999999</v>
      </c>
      <c r="M139" s="530">
        <v>132.97999999999999</v>
      </c>
      <c r="N139" s="527">
        <v>1</v>
      </c>
      <c r="O139" s="531">
        <v>1</v>
      </c>
      <c r="P139" s="530"/>
      <c r="Q139" s="532">
        <v>0</v>
      </c>
      <c r="R139" s="527"/>
      <c r="S139" s="532">
        <v>0</v>
      </c>
      <c r="T139" s="531"/>
      <c r="U139" s="533">
        <v>0</v>
      </c>
    </row>
    <row r="140" spans="1:21" ht="14.4" customHeight="1" x14ac:dyDescent="0.3">
      <c r="A140" s="526">
        <v>29</v>
      </c>
      <c r="B140" s="527" t="s">
        <v>430</v>
      </c>
      <c r="C140" s="527" t="s">
        <v>548</v>
      </c>
      <c r="D140" s="528" t="s">
        <v>871</v>
      </c>
      <c r="E140" s="529" t="s">
        <v>560</v>
      </c>
      <c r="F140" s="527" t="s">
        <v>545</v>
      </c>
      <c r="G140" s="527" t="s">
        <v>830</v>
      </c>
      <c r="H140" s="527" t="s">
        <v>431</v>
      </c>
      <c r="I140" s="527" t="s">
        <v>831</v>
      </c>
      <c r="J140" s="527" t="s">
        <v>832</v>
      </c>
      <c r="K140" s="527" t="s">
        <v>833</v>
      </c>
      <c r="L140" s="530">
        <v>52.75</v>
      </c>
      <c r="M140" s="530">
        <v>52.75</v>
      </c>
      <c r="N140" s="527">
        <v>1</v>
      </c>
      <c r="O140" s="531">
        <v>0.5</v>
      </c>
      <c r="P140" s="530"/>
      <c r="Q140" s="532">
        <v>0</v>
      </c>
      <c r="R140" s="527"/>
      <c r="S140" s="532">
        <v>0</v>
      </c>
      <c r="T140" s="531"/>
      <c r="U140" s="533">
        <v>0</v>
      </c>
    </row>
    <row r="141" spans="1:21" ht="14.4" customHeight="1" x14ac:dyDescent="0.3">
      <c r="A141" s="526">
        <v>29</v>
      </c>
      <c r="B141" s="527" t="s">
        <v>430</v>
      </c>
      <c r="C141" s="527" t="s">
        <v>548</v>
      </c>
      <c r="D141" s="528" t="s">
        <v>871</v>
      </c>
      <c r="E141" s="529" t="s">
        <v>560</v>
      </c>
      <c r="F141" s="527" t="s">
        <v>545</v>
      </c>
      <c r="G141" s="527" t="s">
        <v>834</v>
      </c>
      <c r="H141" s="527" t="s">
        <v>872</v>
      </c>
      <c r="I141" s="527" t="s">
        <v>835</v>
      </c>
      <c r="J141" s="527" t="s">
        <v>836</v>
      </c>
      <c r="K141" s="527" t="s">
        <v>837</v>
      </c>
      <c r="L141" s="530">
        <v>164.94</v>
      </c>
      <c r="M141" s="530">
        <v>164.94</v>
      </c>
      <c r="N141" s="527">
        <v>1</v>
      </c>
      <c r="O141" s="531">
        <v>0.5</v>
      </c>
      <c r="P141" s="530"/>
      <c r="Q141" s="532">
        <v>0</v>
      </c>
      <c r="R141" s="527"/>
      <c r="S141" s="532">
        <v>0</v>
      </c>
      <c r="T141" s="531"/>
      <c r="U141" s="533">
        <v>0</v>
      </c>
    </row>
    <row r="142" spans="1:21" ht="14.4" customHeight="1" x14ac:dyDescent="0.3">
      <c r="A142" s="526">
        <v>29</v>
      </c>
      <c r="B142" s="527" t="s">
        <v>430</v>
      </c>
      <c r="C142" s="527" t="s">
        <v>548</v>
      </c>
      <c r="D142" s="528" t="s">
        <v>871</v>
      </c>
      <c r="E142" s="529" t="s">
        <v>560</v>
      </c>
      <c r="F142" s="527" t="s">
        <v>545</v>
      </c>
      <c r="G142" s="527" t="s">
        <v>632</v>
      </c>
      <c r="H142" s="527" t="s">
        <v>872</v>
      </c>
      <c r="I142" s="527" t="s">
        <v>633</v>
      </c>
      <c r="J142" s="527" t="s">
        <v>634</v>
      </c>
      <c r="K142" s="527" t="s">
        <v>568</v>
      </c>
      <c r="L142" s="530">
        <v>21.13</v>
      </c>
      <c r="M142" s="530">
        <v>42.26</v>
      </c>
      <c r="N142" s="527">
        <v>2</v>
      </c>
      <c r="O142" s="531">
        <v>2</v>
      </c>
      <c r="P142" s="530">
        <v>42.26</v>
      </c>
      <c r="Q142" s="532">
        <v>1</v>
      </c>
      <c r="R142" s="527">
        <v>2</v>
      </c>
      <c r="S142" s="532">
        <v>1</v>
      </c>
      <c r="T142" s="531">
        <v>2</v>
      </c>
      <c r="U142" s="533">
        <v>1</v>
      </c>
    </row>
    <row r="143" spans="1:21" ht="14.4" customHeight="1" x14ac:dyDescent="0.3">
      <c r="A143" s="526">
        <v>29</v>
      </c>
      <c r="B143" s="527" t="s">
        <v>430</v>
      </c>
      <c r="C143" s="527" t="s">
        <v>548</v>
      </c>
      <c r="D143" s="528" t="s">
        <v>871</v>
      </c>
      <c r="E143" s="529" t="s">
        <v>560</v>
      </c>
      <c r="F143" s="527" t="s">
        <v>545</v>
      </c>
      <c r="G143" s="527" t="s">
        <v>632</v>
      </c>
      <c r="H143" s="527" t="s">
        <v>872</v>
      </c>
      <c r="I143" s="527" t="s">
        <v>838</v>
      </c>
      <c r="J143" s="527" t="s">
        <v>634</v>
      </c>
      <c r="K143" s="527" t="s">
        <v>839</v>
      </c>
      <c r="L143" s="530">
        <v>105.64</v>
      </c>
      <c r="M143" s="530">
        <v>105.64</v>
      </c>
      <c r="N143" s="527">
        <v>1</v>
      </c>
      <c r="O143" s="531">
        <v>1</v>
      </c>
      <c r="P143" s="530">
        <v>105.64</v>
      </c>
      <c r="Q143" s="532">
        <v>1</v>
      </c>
      <c r="R143" s="527">
        <v>1</v>
      </c>
      <c r="S143" s="532">
        <v>1</v>
      </c>
      <c r="T143" s="531">
        <v>1</v>
      </c>
      <c r="U143" s="533">
        <v>1</v>
      </c>
    </row>
    <row r="144" spans="1:21" ht="14.4" customHeight="1" x14ac:dyDescent="0.3">
      <c r="A144" s="526">
        <v>29</v>
      </c>
      <c r="B144" s="527" t="s">
        <v>430</v>
      </c>
      <c r="C144" s="527" t="s">
        <v>548</v>
      </c>
      <c r="D144" s="528" t="s">
        <v>871</v>
      </c>
      <c r="E144" s="529" t="s">
        <v>560</v>
      </c>
      <c r="F144" s="527" t="s">
        <v>545</v>
      </c>
      <c r="G144" s="527" t="s">
        <v>578</v>
      </c>
      <c r="H144" s="527" t="s">
        <v>872</v>
      </c>
      <c r="I144" s="527" t="s">
        <v>579</v>
      </c>
      <c r="J144" s="527" t="s">
        <v>580</v>
      </c>
      <c r="K144" s="527" t="s">
        <v>581</v>
      </c>
      <c r="L144" s="530">
        <v>543.39</v>
      </c>
      <c r="M144" s="530">
        <v>543.39</v>
      </c>
      <c r="N144" s="527">
        <v>1</v>
      </c>
      <c r="O144" s="531">
        <v>1</v>
      </c>
      <c r="P144" s="530">
        <v>543.39</v>
      </c>
      <c r="Q144" s="532">
        <v>1</v>
      </c>
      <c r="R144" s="527">
        <v>1</v>
      </c>
      <c r="S144" s="532">
        <v>1</v>
      </c>
      <c r="T144" s="531">
        <v>1</v>
      </c>
      <c r="U144" s="533">
        <v>1</v>
      </c>
    </row>
    <row r="145" spans="1:21" ht="14.4" customHeight="1" x14ac:dyDescent="0.3">
      <c r="A145" s="526">
        <v>29</v>
      </c>
      <c r="B145" s="527" t="s">
        <v>430</v>
      </c>
      <c r="C145" s="527" t="s">
        <v>548</v>
      </c>
      <c r="D145" s="528" t="s">
        <v>871</v>
      </c>
      <c r="E145" s="529" t="s">
        <v>560</v>
      </c>
      <c r="F145" s="527" t="s">
        <v>545</v>
      </c>
      <c r="G145" s="527" t="s">
        <v>578</v>
      </c>
      <c r="H145" s="527" t="s">
        <v>872</v>
      </c>
      <c r="I145" s="527" t="s">
        <v>840</v>
      </c>
      <c r="J145" s="527" t="s">
        <v>841</v>
      </c>
      <c r="K145" s="527" t="s">
        <v>842</v>
      </c>
      <c r="L145" s="530">
        <v>1385.62</v>
      </c>
      <c r="M145" s="530">
        <v>1385.62</v>
      </c>
      <c r="N145" s="527">
        <v>1</v>
      </c>
      <c r="O145" s="531">
        <v>1</v>
      </c>
      <c r="P145" s="530"/>
      <c r="Q145" s="532">
        <v>0</v>
      </c>
      <c r="R145" s="527"/>
      <c r="S145" s="532">
        <v>0</v>
      </c>
      <c r="T145" s="531"/>
      <c r="U145" s="533">
        <v>0</v>
      </c>
    </row>
    <row r="146" spans="1:21" ht="14.4" customHeight="1" x14ac:dyDescent="0.3">
      <c r="A146" s="526">
        <v>29</v>
      </c>
      <c r="B146" s="527" t="s">
        <v>430</v>
      </c>
      <c r="C146" s="527" t="s">
        <v>548</v>
      </c>
      <c r="D146" s="528" t="s">
        <v>871</v>
      </c>
      <c r="E146" s="529" t="s">
        <v>560</v>
      </c>
      <c r="F146" s="527" t="s">
        <v>545</v>
      </c>
      <c r="G146" s="527" t="s">
        <v>578</v>
      </c>
      <c r="H146" s="527" t="s">
        <v>872</v>
      </c>
      <c r="I146" s="527" t="s">
        <v>843</v>
      </c>
      <c r="J146" s="527" t="s">
        <v>841</v>
      </c>
      <c r="K146" s="527" t="s">
        <v>844</v>
      </c>
      <c r="L146" s="530">
        <v>1847.49</v>
      </c>
      <c r="M146" s="530">
        <v>1847.49</v>
      </c>
      <c r="N146" s="527">
        <v>1</v>
      </c>
      <c r="O146" s="531">
        <v>1</v>
      </c>
      <c r="P146" s="530">
        <v>1847.49</v>
      </c>
      <c r="Q146" s="532">
        <v>1</v>
      </c>
      <c r="R146" s="527">
        <v>1</v>
      </c>
      <c r="S146" s="532">
        <v>1</v>
      </c>
      <c r="T146" s="531">
        <v>1</v>
      </c>
      <c r="U146" s="533">
        <v>1</v>
      </c>
    </row>
    <row r="147" spans="1:21" ht="14.4" customHeight="1" x14ac:dyDescent="0.3">
      <c r="A147" s="526">
        <v>29</v>
      </c>
      <c r="B147" s="527" t="s">
        <v>430</v>
      </c>
      <c r="C147" s="527" t="s">
        <v>548</v>
      </c>
      <c r="D147" s="528" t="s">
        <v>871</v>
      </c>
      <c r="E147" s="529" t="s">
        <v>560</v>
      </c>
      <c r="F147" s="527" t="s">
        <v>545</v>
      </c>
      <c r="G147" s="527" t="s">
        <v>639</v>
      </c>
      <c r="H147" s="527" t="s">
        <v>872</v>
      </c>
      <c r="I147" s="527" t="s">
        <v>686</v>
      </c>
      <c r="J147" s="527" t="s">
        <v>641</v>
      </c>
      <c r="K147" s="527" t="s">
        <v>687</v>
      </c>
      <c r="L147" s="530">
        <v>36.54</v>
      </c>
      <c r="M147" s="530">
        <v>109.62</v>
      </c>
      <c r="N147" s="527">
        <v>3</v>
      </c>
      <c r="O147" s="531">
        <v>2.5</v>
      </c>
      <c r="P147" s="530">
        <v>73.08</v>
      </c>
      <c r="Q147" s="532">
        <v>0.66666666666666663</v>
      </c>
      <c r="R147" s="527">
        <v>2</v>
      </c>
      <c r="S147" s="532">
        <v>0.66666666666666663</v>
      </c>
      <c r="T147" s="531">
        <v>1.5</v>
      </c>
      <c r="U147" s="533">
        <v>0.6</v>
      </c>
    </row>
    <row r="148" spans="1:21" ht="14.4" customHeight="1" x14ac:dyDescent="0.3">
      <c r="A148" s="526">
        <v>29</v>
      </c>
      <c r="B148" s="527" t="s">
        <v>430</v>
      </c>
      <c r="C148" s="527" t="s">
        <v>548</v>
      </c>
      <c r="D148" s="528" t="s">
        <v>871</v>
      </c>
      <c r="E148" s="529" t="s">
        <v>560</v>
      </c>
      <c r="F148" s="527" t="s">
        <v>545</v>
      </c>
      <c r="G148" s="527" t="s">
        <v>693</v>
      </c>
      <c r="H148" s="527" t="s">
        <v>431</v>
      </c>
      <c r="I148" s="527" t="s">
        <v>694</v>
      </c>
      <c r="J148" s="527" t="s">
        <v>695</v>
      </c>
      <c r="K148" s="527" t="s">
        <v>696</v>
      </c>
      <c r="L148" s="530">
        <v>173.31</v>
      </c>
      <c r="M148" s="530">
        <v>173.31</v>
      </c>
      <c r="N148" s="527">
        <v>1</v>
      </c>
      <c r="O148" s="531">
        <v>1</v>
      </c>
      <c r="P148" s="530"/>
      <c r="Q148" s="532">
        <v>0</v>
      </c>
      <c r="R148" s="527"/>
      <c r="S148" s="532">
        <v>0</v>
      </c>
      <c r="T148" s="531"/>
      <c r="U148" s="533">
        <v>0</v>
      </c>
    </row>
    <row r="149" spans="1:21" ht="14.4" customHeight="1" x14ac:dyDescent="0.3">
      <c r="A149" s="526">
        <v>29</v>
      </c>
      <c r="B149" s="527" t="s">
        <v>430</v>
      </c>
      <c r="C149" s="527" t="s">
        <v>548</v>
      </c>
      <c r="D149" s="528" t="s">
        <v>871</v>
      </c>
      <c r="E149" s="529" t="s">
        <v>560</v>
      </c>
      <c r="F149" s="527" t="s">
        <v>545</v>
      </c>
      <c r="G149" s="527" t="s">
        <v>845</v>
      </c>
      <c r="H149" s="527" t="s">
        <v>431</v>
      </c>
      <c r="I149" s="527" t="s">
        <v>846</v>
      </c>
      <c r="J149" s="527" t="s">
        <v>847</v>
      </c>
      <c r="K149" s="527" t="s">
        <v>848</v>
      </c>
      <c r="L149" s="530">
        <v>54.55</v>
      </c>
      <c r="M149" s="530">
        <v>54.55</v>
      </c>
      <c r="N149" s="527">
        <v>1</v>
      </c>
      <c r="O149" s="531">
        <v>1</v>
      </c>
      <c r="P149" s="530"/>
      <c r="Q149" s="532">
        <v>0</v>
      </c>
      <c r="R149" s="527"/>
      <c r="S149" s="532">
        <v>0</v>
      </c>
      <c r="T149" s="531"/>
      <c r="U149" s="533">
        <v>0</v>
      </c>
    </row>
    <row r="150" spans="1:21" ht="14.4" customHeight="1" x14ac:dyDescent="0.3">
      <c r="A150" s="526">
        <v>29</v>
      </c>
      <c r="B150" s="527" t="s">
        <v>430</v>
      </c>
      <c r="C150" s="527" t="s">
        <v>548</v>
      </c>
      <c r="D150" s="528" t="s">
        <v>871</v>
      </c>
      <c r="E150" s="529" t="s">
        <v>560</v>
      </c>
      <c r="F150" s="527" t="s">
        <v>545</v>
      </c>
      <c r="G150" s="527" t="s">
        <v>849</v>
      </c>
      <c r="H150" s="527" t="s">
        <v>431</v>
      </c>
      <c r="I150" s="527" t="s">
        <v>850</v>
      </c>
      <c r="J150" s="527" t="s">
        <v>851</v>
      </c>
      <c r="K150" s="527" t="s">
        <v>852</v>
      </c>
      <c r="L150" s="530">
        <v>0</v>
      </c>
      <c r="M150" s="530">
        <v>0</v>
      </c>
      <c r="N150" s="527">
        <v>1</v>
      </c>
      <c r="O150" s="531">
        <v>0.5</v>
      </c>
      <c r="P150" s="530"/>
      <c r="Q150" s="532"/>
      <c r="R150" s="527"/>
      <c r="S150" s="532">
        <v>0</v>
      </c>
      <c r="T150" s="531"/>
      <c r="U150" s="533">
        <v>0</v>
      </c>
    </row>
    <row r="151" spans="1:21" ht="14.4" customHeight="1" x14ac:dyDescent="0.3">
      <c r="A151" s="526">
        <v>29</v>
      </c>
      <c r="B151" s="527" t="s">
        <v>430</v>
      </c>
      <c r="C151" s="527" t="s">
        <v>548</v>
      </c>
      <c r="D151" s="528" t="s">
        <v>871</v>
      </c>
      <c r="E151" s="529" t="s">
        <v>560</v>
      </c>
      <c r="F151" s="527" t="s">
        <v>545</v>
      </c>
      <c r="G151" s="527" t="s">
        <v>590</v>
      </c>
      <c r="H151" s="527" t="s">
        <v>431</v>
      </c>
      <c r="I151" s="527" t="s">
        <v>475</v>
      </c>
      <c r="J151" s="527" t="s">
        <v>476</v>
      </c>
      <c r="K151" s="527" t="s">
        <v>592</v>
      </c>
      <c r="L151" s="530">
        <v>289.27</v>
      </c>
      <c r="M151" s="530">
        <v>3471.24</v>
      </c>
      <c r="N151" s="527">
        <v>12</v>
      </c>
      <c r="O151" s="531">
        <v>8.5</v>
      </c>
      <c r="P151" s="530">
        <v>3181.97</v>
      </c>
      <c r="Q151" s="532">
        <v>0.91666666666666663</v>
      </c>
      <c r="R151" s="527">
        <v>11</v>
      </c>
      <c r="S151" s="532">
        <v>0.91666666666666663</v>
      </c>
      <c r="T151" s="531">
        <v>8</v>
      </c>
      <c r="U151" s="533">
        <v>0.94117647058823528</v>
      </c>
    </row>
    <row r="152" spans="1:21" ht="14.4" customHeight="1" x14ac:dyDescent="0.3">
      <c r="A152" s="526">
        <v>29</v>
      </c>
      <c r="B152" s="527" t="s">
        <v>430</v>
      </c>
      <c r="C152" s="527" t="s">
        <v>548</v>
      </c>
      <c r="D152" s="528" t="s">
        <v>871</v>
      </c>
      <c r="E152" s="529" t="s">
        <v>560</v>
      </c>
      <c r="F152" s="527" t="s">
        <v>545</v>
      </c>
      <c r="G152" s="527" t="s">
        <v>853</v>
      </c>
      <c r="H152" s="527" t="s">
        <v>431</v>
      </c>
      <c r="I152" s="527" t="s">
        <v>854</v>
      </c>
      <c r="J152" s="527" t="s">
        <v>855</v>
      </c>
      <c r="K152" s="527" t="s">
        <v>856</v>
      </c>
      <c r="L152" s="530">
        <v>0</v>
      </c>
      <c r="M152" s="530">
        <v>0</v>
      </c>
      <c r="N152" s="527">
        <v>1</v>
      </c>
      <c r="O152" s="531">
        <v>0.5</v>
      </c>
      <c r="P152" s="530"/>
      <c r="Q152" s="532"/>
      <c r="R152" s="527"/>
      <c r="S152" s="532">
        <v>0</v>
      </c>
      <c r="T152" s="531"/>
      <c r="U152" s="533">
        <v>0</v>
      </c>
    </row>
    <row r="153" spans="1:21" ht="14.4" customHeight="1" x14ac:dyDescent="0.3">
      <c r="A153" s="526">
        <v>29</v>
      </c>
      <c r="B153" s="527" t="s">
        <v>430</v>
      </c>
      <c r="C153" s="527" t="s">
        <v>548</v>
      </c>
      <c r="D153" s="528" t="s">
        <v>871</v>
      </c>
      <c r="E153" s="529" t="s">
        <v>560</v>
      </c>
      <c r="F153" s="527" t="s">
        <v>545</v>
      </c>
      <c r="G153" s="527" t="s">
        <v>857</v>
      </c>
      <c r="H153" s="527" t="s">
        <v>431</v>
      </c>
      <c r="I153" s="527" t="s">
        <v>858</v>
      </c>
      <c r="J153" s="527" t="s">
        <v>859</v>
      </c>
      <c r="K153" s="527" t="s">
        <v>860</v>
      </c>
      <c r="L153" s="530">
        <v>0</v>
      </c>
      <c r="M153" s="530">
        <v>0</v>
      </c>
      <c r="N153" s="527">
        <v>1</v>
      </c>
      <c r="O153" s="531">
        <v>1</v>
      </c>
      <c r="P153" s="530"/>
      <c r="Q153" s="532"/>
      <c r="R153" s="527"/>
      <c r="S153" s="532">
        <v>0</v>
      </c>
      <c r="T153" s="531"/>
      <c r="U153" s="533">
        <v>0</v>
      </c>
    </row>
    <row r="154" spans="1:21" ht="14.4" customHeight="1" x14ac:dyDescent="0.3">
      <c r="A154" s="526">
        <v>29</v>
      </c>
      <c r="B154" s="527" t="s">
        <v>430</v>
      </c>
      <c r="C154" s="527" t="s">
        <v>548</v>
      </c>
      <c r="D154" s="528" t="s">
        <v>871</v>
      </c>
      <c r="E154" s="529" t="s">
        <v>560</v>
      </c>
      <c r="F154" s="527" t="s">
        <v>547</v>
      </c>
      <c r="G154" s="527" t="s">
        <v>597</v>
      </c>
      <c r="H154" s="527" t="s">
        <v>431</v>
      </c>
      <c r="I154" s="527" t="s">
        <v>861</v>
      </c>
      <c r="J154" s="527" t="s">
        <v>599</v>
      </c>
      <c r="K154" s="527" t="s">
        <v>862</v>
      </c>
      <c r="L154" s="530">
        <v>56.25</v>
      </c>
      <c r="M154" s="530">
        <v>393.75</v>
      </c>
      <c r="N154" s="527">
        <v>7</v>
      </c>
      <c r="O154" s="531">
        <v>4</v>
      </c>
      <c r="P154" s="530">
        <v>281.25</v>
      </c>
      <c r="Q154" s="532">
        <v>0.7142857142857143</v>
      </c>
      <c r="R154" s="527">
        <v>5</v>
      </c>
      <c r="S154" s="532">
        <v>0.7142857142857143</v>
      </c>
      <c r="T154" s="531">
        <v>3</v>
      </c>
      <c r="U154" s="533">
        <v>0.75</v>
      </c>
    </row>
    <row r="155" spans="1:21" ht="14.4" customHeight="1" x14ac:dyDescent="0.3">
      <c r="A155" s="526">
        <v>29</v>
      </c>
      <c r="B155" s="527" t="s">
        <v>430</v>
      </c>
      <c r="C155" s="527" t="s">
        <v>548</v>
      </c>
      <c r="D155" s="528" t="s">
        <v>871</v>
      </c>
      <c r="E155" s="529" t="s">
        <v>560</v>
      </c>
      <c r="F155" s="527" t="s">
        <v>547</v>
      </c>
      <c r="G155" s="527" t="s">
        <v>597</v>
      </c>
      <c r="H155" s="527" t="s">
        <v>431</v>
      </c>
      <c r="I155" s="527" t="s">
        <v>601</v>
      </c>
      <c r="J155" s="527" t="s">
        <v>599</v>
      </c>
      <c r="K155" s="527" t="s">
        <v>602</v>
      </c>
      <c r="L155" s="530">
        <v>100</v>
      </c>
      <c r="M155" s="530">
        <v>400</v>
      </c>
      <c r="N155" s="527">
        <v>4</v>
      </c>
      <c r="O155" s="531">
        <v>2</v>
      </c>
      <c r="P155" s="530">
        <v>400</v>
      </c>
      <c r="Q155" s="532">
        <v>1</v>
      </c>
      <c r="R155" s="527">
        <v>4</v>
      </c>
      <c r="S155" s="532">
        <v>1</v>
      </c>
      <c r="T155" s="531">
        <v>2</v>
      </c>
      <c r="U155" s="533">
        <v>1</v>
      </c>
    </row>
    <row r="156" spans="1:21" ht="14.4" customHeight="1" x14ac:dyDescent="0.3">
      <c r="A156" s="526">
        <v>29</v>
      </c>
      <c r="B156" s="527" t="s">
        <v>430</v>
      </c>
      <c r="C156" s="527" t="s">
        <v>548</v>
      </c>
      <c r="D156" s="528" t="s">
        <v>871</v>
      </c>
      <c r="E156" s="529" t="s">
        <v>560</v>
      </c>
      <c r="F156" s="527" t="s">
        <v>547</v>
      </c>
      <c r="G156" s="527" t="s">
        <v>597</v>
      </c>
      <c r="H156" s="527" t="s">
        <v>431</v>
      </c>
      <c r="I156" s="527" t="s">
        <v>863</v>
      </c>
      <c r="J156" s="527" t="s">
        <v>864</v>
      </c>
      <c r="K156" s="527" t="s">
        <v>865</v>
      </c>
      <c r="L156" s="530">
        <v>280</v>
      </c>
      <c r="M156" s="530">
        <v>560</v>
      </c>
      <c r="N156" s="527">
        <v>2</v>
      </c>
      <c r="O156" s="531">
        <v>1</v>
      </c>
      <c r="P156" s="530"/>
      <c r="Q156" s="532">
        <v>0</v>
      </c>
      <c r="R156" s="527"/>
      <c r="S156" s="532">
        <v>0</v>
      </c>
      <c r="T156" s="531"/>
      <c r="U156" s="533">
        <v>0</v>
      </c>
    </row>
    <row r="157" spans="1:21" ht="14.4" customHeight="1" x14ac:dyDescent="0.3">
      <c r="A157" s="526">
        <v>29</v>
      </c>
      <c r="B157" s="527" t="s">
        <v>430</v>
      </c>
      <c r="C157" s="527" t="s">
        <v>548</v>
      </c>
      <c r="D157" s="528" t="s">
        <v>871</v>
      </c>
      <c r="E157" s="529" t="s">
        <v>560</v>
      </c>
      <c r="F157" s="527" t="s">
        <v>547</v>
      </c>
      <c r="G157" s="527" t="s">
        <v>597</v>
      </c>
      <c r="H157" s="527" t="s">
        <v>431</v>
      </c>
      <c r="I157" s="527" t="s">
        <v>866</v>
      </c>
      <c r="J157" s="527" t="s">
        <v>759</v>
      </c>
      <c r="K157" s="527" t="s">
        <v>867</v>
      </c>
      <c r="L157" s="530">
        <v>96</v>
      </c>
      <c r="M157" s="530">
        <v>96</v>
      </c>
      <c r="N157" s="527">
        <v>1</v>
      </c>
      <c r="O157" s="531">
        <v>1</v>
      </c>
      <c r="P157" s="530"/>
      <c r="Q157" s="532">
        <v>0</v>
      </c>
      <c r="R157" s="527"/>
      <c r="S157" s="532">
        <v>0</v>
      </c>
      <c r="T157" s="531"/>
      <c r="U157" s="533">
        <v>0</v>
      </c>
    </row>
    <row r="158" spans="1:21" ht="14.4" customHeight="1" x14ac:dyDescent="0.3">
      <c r="A158" s="526">
        <v>29</v>
      </c>
      <c r="B158" s="527" t="s">
        <v>430</v>
      </c>
      <c r="C158" s="527" t="s">
        <v>548</v>
      </c>
      <c r="D158" s="528" t="s">
        <v>871</v>
      </c>
      <c r="E158" s="529" t="s">
        <v>560</v>
      </c>
      <c r="F158" s="527" t="s">
        <v>547</v>
      </c>
      <c r="G158" s="527" t="s">
        <v>654</v>
      </c>
      <c r="H158" s="527" t="s">
        <v>431</v>
      </c>
      <c r="I158" s="527" t="s">
        <v>711</v>
      </c>
      <c r="J158" s="527" t="s">
        <v>712</v>
      </c>
      <c r="K158" s="527" t="s">
        <v>713</v>
      </c>
      <c r="L158" s="530">
        <v>410</v>
      </c>
      <c r="M158" s="530">
        <v>1640</v>
      </c>
      <c r="N158" s="527">
        <v>4</v>
      </c>
      <c r="O158" s="531">
        <v>2</v>
      </c>
      <c r="P158" s="530">
        <v>820</v>
      </c>
      <c r="Q158" s="532">
        <v>0.5</v>
      </c>
      <c r="R158" s="527">
        <v>2</v>
      </c>
      <c r="S158" s="532">
        <v>0.5</v>
      </c>
      <c r="T158" s="531">
        <v>1</v>
      </c>
      <c r="U158" s="533">
        <v>0.5</v>
      </c>
    </row>
    <row r="159" spans="1:21" ht="14.4" customHeight="1" x14ac:dyDescent="0.3">
      <c r="A159" s="526">
        <v>29</v>
      </c>
      <c r="B159" s="527" t="s">
        <v>430</v>
      </c>
      <c r="C159" s="527" t="s">
        <v>548</v>
      </c>
      <c r="D159" s="528" t="s">
        <v>871</v>
      </c>
      <c r="E159" s="529" t="s">
        <v>560</v>
      </c>
      <c r="F159" s="527" t="s">
        <v>547</v>
      </c>
      <c r="G159" s="527" t="s">
        <v>654</v>
      </c>
      <c r="H159" s="527" t="s">
        <v>431</v>
      </c>
      <c r="I159" s="527" t="s">
        <v>655</v>
      </c>
      <c r="J159" s="527" t="s">
        <v>656</v>
      </c>
      <c r="K159" s="527" t="s">
        <v>657</v>
      </c>
      <c r="L159" s="530">
        <v>566</v>
      </c>
      <c r="M159" s="530">
        <v>1132</v>
      </c>
      <c r="N159" s="527">
        <v>2</v>
      </c>
      <c r="O159" s="531">
        <v>1</v>
      </c>
      <c r="P159" s="530">
        <v>1132</v>
      </c>
      <c r="Q159" s="532">
        <v>1</v>
      </c>
      <c r="R159" s="527">
        <v>2</v>
      </c>
      <c r="S159" s="532">
        <v>1</v>
      </c>
      <c r="T159" s="531">
        <v>1</v>
      </c>
      <c r="U159" s="533">
        <v>1</v>
      </c>
    </row>
    <row r="160" spans="1:21" ht="14.4" customHeight="1" x14ac:dyDescent="0.3">
      <c r="A160" s="526">
        <v>29</v>
      </c>
      <c r="B160" s="527" t="s">
        <v>430</v>
      </c>
      <c r="C160" s="527" t="s">
        <v>548</v>
      </c>
      <c r="D160" s="528" t="s">
        <v>871</v>
      </c>
      <c r="E160" s="529" t="s">
        <v>560</v>
      </c>
      <c r="F160" s="527" t="s">
        <v>547</v>
      </c>
      <c r="G160" s="527" t="s">
        <v>603</v>
      </c>
      <c r="H160" s="527" t="s">
        <v>431</v>
      </c>
      <c r="I160" s="527" t="s">
        <v>658</v>
      </c>
      <c r="J160" s="527" t="s">
        <v>659</v>
      </c>
      <c r="K160" s="527" t="s">
        <v>660</v>
      </c>
      <c r="L160" s="530">
        <v>58.5</v>
      </c>
      <c r="M160" s="530">
        <v>58.5</v>
      </c>
      <c r="N160" s="527">
        <v>1</v>
      </c>
      <c r="O160" s="531">
        <v>1</v>
      </c>
      <c r="P160" s="530"/>
      <c r="Q160" s="532">
        <v>0</v>
      </c>
      <c r="R160" s="527"/>
      <c r="S160" s="532">
        <v>0</v>
      </c>
      <c r="T160" s="531"/>
      <c r="U160" s="533">
        <v>0</v>
      </c>
    </row>
    <row r="161" spans="1:21" ht="14.4" customHeight="1" x14ac:dyDescent="0.3">
      <c r="A161" s="526">
        <v>29</v>
      </c>
      <c r="B161" s="527" t="s">
        <v>430</v>
      </c>
      <c r="C161" s="527" t="s">
        <v>548</v>
      </c>
      <c r="D161" s="528" t="s">
        <v>871</v>
      </c>
      <c r="E161" s="529" t="s">
        <v>560</v>
      </c>
      <c r="F161" s="527" t="s">
        <v>547</v>
      </c>
      <c r="G161" s="527" t="s">
        <v>603</v>
      </c>
      <c r="H161" s="527" t="s">
        <v>431</v>
      </c>
      <c r="I161" s="527" t="s">
        <v>868</v>
      </c>
      <c r="J161" s="527" t="s">
        <v>869</v>
      </c>
      <c r="K161" s="527" t="s">
        <v>870</v>
      </c>
      <c r="L161" s="530">
        <v>331.32</v>
      </c>
      <c r="M161" s="530">
        <v>331.32</v>
      </c>
      <c r="N161" s="527">
        <v>1</v>
      </c>
      <c r="O161" s="531">
        <v>1</v>
      </c>
      <c r="P161" s="530">
        <v>331.32</v>
      </c>
      <c r="Q161" s="532">
        <v>1</v>
      </c>
      <c r="R161" s="527">
        <v>1</v>
      </c>
      <c r="S161" s="532">
        <v>1</v>
      </c>
      <c r="T161" s="531">
        <v>1</v>
      </c>
      <c r="U161" s="533">
        <v>1</v>
      </c>
    </row>
    <row r="162" spans="1:21" ht="14.4" customHeight="1" x14ac:dyDescent="0.3">
      <c r="A162" s="526">
        <v>29</v>
      </c>
      <c r="B162" s="527" t="s">
        <v>430</v>
      </c>
      <c r="C162" s="527" t="s">
        <v>548</v>
      </c>
      <c r="D162" s="528" t="s">
        <v>871</v>
      </c>
      <c r="E162" s="529" t="s">
        <v>560</v>
      </c>
      <c r="F162" s="527" t="s">
        <v>547</v>
      </c>
      <c r="G162" s="527" t="s">
        <v>603</v>
      </c>
      <c r="H162" s="527" t="s">
        <v>431</v>
      </c>
      <c r="I162" s="527" t="s">
        <v>720</v>
      </c>
      <c r="J162" s="527" t="s">
        <v>721</v>
      </c>
      <c r="K162" s="527" t="s">
        <v>722</v>
      </c>
      <c r="L162" s="530">
        <v>246.48</v>
      </c>
      <c r="M162" s="530">
        <v>246.48</v>
      </c>
      <c r="N162" s="527">
        <v>1</v>
      </c>
      <c r="O162" s="531">
        <v>1</v>
      </c>
      <c r="P162" s="530">
        <v>246.48</v>
      </c>
      <c r="Q162" s="532">
        <v>1</v>
      </c>
      <c r="R162" s="527">
        <v>1</v>
      </c>
      <c r="S162" s="532">
        <v>1</v>
      </c>
      <c r="T162" s="531">
        <v>1</v>
      </c>
      <c r="U162" s="533">
        <v>1</v>
      </c>
    </row>
    <row r="163" spans="1:21" ht="14.4" customHeight="1" thickBot="1" x14ac:dyDescent="0.35">
      <c r="A163" s="518">
        <v>29</v>
      </c>
      <c r="B163" s="519" t="s">
        <v>430</v>
      </c>
      <c r="C163" s="519" t="s">
        <v>548</v>
      </c>
      <c r="D163" s="520" t="s">
        <v>871</v>
      </c>
      <c r="E163" s="521" t="s">
        <v>560</v>
      </c>
      <c r="F163" s="519" t="s">
        <v>547</v>
      </c>
      <c r="G163" s="519" t="s">
        <v>798</v>
      </c>
      <c r="H163" s="519" t="s">
        <v>431</v>
      </c>
      <c r="I163" s="519" t="s">
        <v>799</v>
      </c>
      <c r="J163" s="519" t="s">
        <v>800</v>
      </c>
      <c r="K163" s="519" t="s">
        <v>801</v>
      </c>
      <c r="L163" s="522">
        <v>200</v>
      </c>
      <c r="M163" s="522">
        <v>400</v>
      </c>
      <c r="N163" s="519">
        <v>2</v>
      </c>
      <c r="O163" s="523">
        <v>1</v>
      </c>
      <c r="P163" s="522">
        <v>400</v>
      </c>
      <c r="Q163" s="524">
        <v>1</v>
      </c>
      <c r="R163" s="519">
        <v>2</v>
      </c>
      <c r="S163" s="524">
        <v>1</v>
      </c>
      <c r="T163" s="523">
        <v>1</v>
      </c>
      <c r="U163" s="525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4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3" customWidth="1"/>
    <col min="2" max="2" width="10" style="211" customWidth="1"/>
    <col min="3" max="3" width="5.5546875" style="214" customWidth="1"/>
    <col min="4" max="4" width="10" style="211" customWidth="1"/>
    <col min="5" max="5" width="5.5546875" style="214" customWidth="1"/>
    <col min="6" max="6" width="10" style="211" customWidth="1"/>
    <col min="7" max="7" width="8.88671875" style="133" customWidth="1"/>
    <col min="8" max="16384" width="8.88671875" style="133"/>
  </cols>
  <sheetData>
    <row r="1" spans="1:6" ht="37.799999999999997" customHeight="1" thickBot="1" x14ac:dyDescent="0.4">
      <c r="A1" s="352" t="s">
        <v>874</v>
      </c>
      <c r="B1" s="353"/>
      <c r="C1" s="353"/>
      <c r="D1" s="353"/>
      <c r="E1" s="353"/>
      <c r="F1" s="353"/>
    </row>
    <row r="2" spans="1:6" ht="14.4" customHeight="1" thickBot="1" x14ac:dyDescent="0.35">
      <c r="A2" s="239" t="s">
        <v>251</v>
      </c>
      <c r="B2" s="63"/>
      <c r="C2" s="64"/>
      <c r="D2" s="65"/>
      <c r="E2" s="64"/>
      <c r="F2" s="65"/>
    </row>
    <row r="3" spans="1:6" ht="14.4" customHeight="1" thickBot="1" x14ac:dyDescent="0.35">
      <c r="A3" s="101"/>
      <c r="B3" s="354" t="s">
        <v>134</v>
      </c>
      <c r="C3" s="355"/>
      <c r="D3" s="356" t="s">
        <v>133</v>
      </c>
      <c r="E3" s="355"/>
      <c r="F3" s="80" t="s">
        <v>3</v>
      </c>
    </row>
    <row r="4" spans="1:6" ht="14.4" customHeight="1" thickBot="1" x14ac:dyDescent="0.35">
      <c r="A4" s="534" t="s">
        <v>165</v>
      </c>
      <c r="B4" s="535" t="s">
        <v>14</v>
      </c>
      <c r="C4" s="536" t="s">
        <v>2</v>
      </c>
      <c r="D4" s="535" t="s">
        <v>14</v>
      </c>
      <c r="E4" s="536" t="s">
        <v>2</v>
      </c>
      <c r="F4" s="537" t="s">
        <v>14</v>
      </c>
    </row>
    <row r="5" spans="1:6" ht="14.4" customHeight="1" x14ac:dyDescent="0.3">
      <c r="A5" s="550" t="s">
        <v>557</v>
      </c>
      <c r="B5" s="119">
        <v>36.54</v>
      </c>
      <c r="C5" s="517">
        <v>0.63360499393098657</v>
      </c>
      <c r="D5" s="119">
        <v>21.13</v>
      </c>
      <c r="E5" s="517">
        <v>0.36639500606901332</v>
      </c>
      <c r="F5" s="538">
        <v>57.67</v>
      </c>
    </row>
    <row r="6" spans="1:6" ht="14.4" customHeight="1" x14ac:dyDescent="0.3">
      <c r="A6" s="551" t="s">
        <v>558</v>
      </c>
      <c r="B6" s="539"/>
      <c r="C6" s="532">
        <v>0</v>
      </c>
      <c r="D6" s="539">
        <v>441.34000000000003</v>
      </c>
      <c r="E6" s="532">
        <v>1</v>
      </c>
      <c r="F6" s="540">
        <v>441.34000000000003</v>
      </c>
    </row>
    <row r="7" spans="1:6" ht="14.4" customHeight="1" x14ac:dyDescent="0.3">
      <c r="A7" s="551" t="s">
        <v>559</v>
      </c>
      <c r="B7" s="539"/>
      <c r="C7" s="532">
        <v>0</v>
      </c>
      <c r="D7" s="539">
        <v>709.27</v>
      </c>
      <c r="E7" s="532">
        <v>1</v>
      </c>
      <c r="F7" s="540">
        <v>709.27</v>
      </c>
    </row>
    <row r="8" spans="1:6" ht="14.4" customHeight="1" x14ac:dyDescent="0.3">
      <c r="A8" s="551" t="s">
        <v>560</v>
      </c>
      <c r="B8" s="539">
        <v>0</v>
      </c>
      <c r="C8" s="532">
        <v>0</v>
      </c>
      <c r="D8" s="539">
        <v>4965.92</v>
      </c>
      <c r="E8" s="532">
        <v>1</v>
      </c>
      <c r="F8" s="540">
        <v>4965.92</v>
      </c>
    </row>
    <row r="9" spans="1:6" ht="14.4" customHeight="1" x14ac:dyDescent="0.3">
      <c r="A9" s="551" t="s">
        <v>556</v>
      </c>
      <c r="B9" s="539"/>
      <c r="C9" s="532">
        <v>0</v>
      </c>
      <c r="D9" s="539">
        <v>888.65</v>
      </c>
      <c r="E9" s="532">
        <v>1</v>
      </c>
      <c r="F9" s="540">
        <v>888.65</v>
      </c>
    </row>
    <row r="10" spans="1:6" ht="14.4" customHeight="1" x14ac:dyDescent="0.3">
      <c r="A10" s="551" t="s">
        <v>555</v>
      </c>
      <c r="B10" s="539"/>
      <c r="C10" s="532">
        <v>0</v>
      </c>
      <c r="D10" s="539">
        <v>214.88</v>
      </c>
      <c r="E10" s="532">
        <v>1</v>
      </c>
      <c r="F10" s="540">
        <v>214.88</v>
      </c>
    </row>
    <row r="11" spans="1:6" ht="14.4" customHeight="1" thickBot="1" x14ac:dyDescent="0.35">
      <c r="A11" s="552" t="s">
        <v>553</v>
      </c>
      <c r="B11" s="543"/>
      <c r="C11" s="544">
        <v>0</v>
      </c>
      <c r="D11" s="543">
        <v>1105.9099999999999</v>
      </c>
      <c r="E11" s="544">
        <v>1</v>
      </c>
      <c r="F11" s="545">
        <v>1105.9099999999999</v>
      </c>
    </row>
    <row r="12" spans="1:6" ht="14.4" customHeight="1" thickBot="1" x14ac:dyDescent="0.35">
      <c r="A12" s="546" t="s">
        <v>3</v>
      </c>
      <c r="B12" s="547">
        <v>36.54</v>
      </c>
      <c r="C12" s="548">
        <v>4.3584886755633585E-3</v>
      </c>
      <c r="D12" s="547">
        <v>8347.1</v>
      </c>
      <c r="E12" s="548">
        <v>0.99564151132443657</v>
      </c>
      <c r="F12" s="549">
        <v>8383.6400000000012</v>
      </c>
    </row>
    <row r="13" spans="1:6" ht="14.4" customHeight="1" thickBot="1" x14ac:dyDescent="0.35"/>
    <row r="14" spans="1:6" ht="14.4" customHeight="1" x14ac:dyDescent="0.3">
      <c r="A14" s="550" t="s">
        <v>875</v>
      </c>
      <c r="B14" s="119">
        <v>36.54</v>
      </c>
      <c r="C14" s="517">
        <v>0.18182722929936304</v>
      </c>
      <c r="D14" s="119">
        <v>164.42000000000002</v>
      </c>
      <c r="E14" s="517">
        <v>0.81817277070063699</v>
      </c>
      <c r="F14" s="538">
        <v>200.96</v>
      </c>
    </row>
    <row r="15" spans="1:6" ht="14.4" customHeight="1" x14ac:dyDescent="0.3">
      <c r="A15" s="551" t="s">
        <v>876</v>
      </c>
      <c r="B15" s="539">
        <v>0</v>
      </c>
      <c r="C15" s="532"/>
      <c r="D15" s="539"/>
      <c r="E15" s="532"/>
      <c r="F15" s="540">
        <v>0</v>
      </c>
    </row>
    <row r="16" spans="1:6" ht="14.4" customHeight="1" x14ac:dyDescent="0.3">
      <c r="A16" s="551" t="s">
        <v>877</v>
      </c>
      <c r="B16" s="539"/>
      <c r="C16" s="532">
        <v>0</v>
      </c>
      <c r="D16" s="539">
        <v>232.42</v>
      </c>
      <c r="E16" s="532">
        <v>1</v>
      </c>
      <c r="F16" s="540">
        <v>232.42</v>
      </c>
    </row>
    <row r="17" spans="1:6" ht="14.4" customHeight="1" x14ac:dyDescent="0.3">
      <c r="A17" s="551" t="s">
        <v>878</v>
      </c>
      <c r="B17" s="539">
        <v>0</v>
      </c>
      <c r="C17" s="532"/>
      <c r="D17" s="539"/>
      <c r="E17" s="532"/>
      <c r="F17" s="540">
        <v>0</v>
      </c>
    </row>
    <row r="18" spans="1:6" ht="14.4" customHeight="1" x14ac:dyDescent="0.3">
      <c r="A18" s="551" t="s">
        <v>879</v>
      </c>
      <c r="B18" s="539"/>
      <c r="C18" s="532">
        <v>0</v>
      </c>
      <c r="D18" s="539">
        <v>291.82</v>
      </c>
      <c r="E18" s="532">
        <v>1</v>
      </c>
      <c r="F18" s="540">
        <v>291.82</v>
      </c>
    </row>
    <row r="19" spans="1:6" ht="14.4" customHeight="1" x14ac:dyDescent="0.3">
      <c r="A19" s="551" t="s">
        <v>880</v>
      </c>
      <c r="B19" s="539"/>
      <c r="C19" s="532">
        <v>0</v>
      </c>
      <c r="D19" s="539">
        <v>4863.28</v>
      </c>
      <c r="E19" s="532">
        <v>1</v>
      </c>
      <c r="F19" s="540">
        <v>4863.28</v>
      </c>
    </row>
    <row r="20" spans="1:6" ht="14.4" customHeight="1" x14ac:dyDescent="0.3">
      <c r="A20" s="551" t="s">
        <v>881</v>
      </c>
      <c r="B20" s="539"/>
      <c r="C20" s="532">
        <v>0</v>
      </c>
      <c r="D20" s="539">
        <v>2222.0600000000004</v>
      </c>
      <c r="E20" s="532">
        <v>1</v>
      </c>
      <c r="F20" s="540">
        <v>2222.0600000000004</v>
      </c>
    </row>
    <row r="21" spans="1:6" ht="14.4" customHeight="1" x14ac:dyDescent="0.3">
      <c r="A21" s="551" t="s">
        <v>882</v>
      </c>
      <c r="B21" s="539"/>
      <c r="C21" s="532">
        <v>0</v>
      </c>
      <c r="D21" s="539">
        <v>164.94</v>
      </c>
      <c r="E21" s="532">
        <v>1</v>
      </c>
      <c r="F21" s="540">
        <v>164.94</v>
      </c>
    </row>
    <row r="22" spans="1:6" ht="14.4" customHeight="1" x14ac:dyDescent="0.3">
      <c r="A22" s="551" t="s">
        <v>883</v>
      </c>
      <c r="B22" s="539"/>
      <c r="C22" s="532">
        <v>0</v>
      </c>
      <c r="D22" s="539">
        <v>41.63</v>
      </c>
      <c r="E22" s="532">
        <v>1</v>
      </c>
      <c r="F22" s="540">
        <v>41.63</v>
      </c>
    </row>
    <row r="23" spans="1:6" ht="14.4" customHeight="1" thickBot="1" x14ac:dyDescent="0.35">
      <c r="A23" s="552" t="s">
        <v>884</v>
      </c>
      <c r="B23" s="543"/>
      <c r="C23" s="544">
        <v>0</v>
      </c>
      <c r="D23" s="543">
        <v>366.53</v>
      </c>
      <c r="E23" s="544">
        <v>1</v>
      </c>
      <c r="F23" s="545">
        <v>366.53</v>
      </c>
    </row>
    <row r="24" spans="1:6" ht="14.4" customHeight="1" thickBot="1" x14ac:dyDescent="0.35">
      <c r="A24" s="546" t="s">
        <v>3</v>
      </c>
      <c r="B24" s="547">
        <v>36.54</v>
      </c>
      <c r="C24" s="548">
        <v>4.3584886755633594E-3</v>
      </c>
      <c r="D24" s="547">
        <v>8347.0999999999985</v>
      </c>
      <c r="E24" s="548">
        <v>0.99564151132443657</v>
      </c>
      <c r="F24" s="549">
        <v>8383.64</v>
      </c>
    </row>
  </sheetData>
  <mergeCells count="3">
    <mergeCell ref="A1:F1"/>
    <mergeCell ref="B3:C3"/>
    <mergeCell ref="D3:E3"/>
  </mergeCells>
  <conditionalFormatting sqref="C5:C1048576">
    <cfRule type="cellIs" dxfId="24" priority="12" stopIfTrue="1" operator="greaterThan">
      <formula>0.2</formula>
    </cfRule>
  </conditionalFormatting>
  <conditionalFormatting sqref="F5:F11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{CA81D8A0-6A2E-4C6B-8A39-5AF83489F4E3}</x14:id>
        </ext>
      </extLst>
    </cfRule>
  </conditionalFormatting>
  <conditionalFormatting sqref="F14:F23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{9B77245B-B85D-4113-8B4D-FE796ADB0E32}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A81D8A0-6A2E-4C6B-8A39-5AF83489F4E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F5:F11</xm:sqref>
        </x14:conditionalFormatting>
        <x14:conditionalFormatting xmlns:xm="http://schemas.microsoft.com/office/excel/2006/main">
          <x14:cfRule type="dataBar" id="{9B77245B-B85D-4113-8B4D-FE796ADB0E3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F14:F23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3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3" customWidth="1"/>
    <col min="2" max="2" width="8.88671875" style="133" bestFit="1" customWidth="1"/>
    <col min="3" max="3" width="7" style="133" bestFit="1" customWidth="1"/>
    <col min="4" max="5" width="22.21875" style="133" customWidth="1"/>
    <col min="6" max="6" width="6.6640625" style="211" customWidth="1"/>
    <col min="7" max="7" width="10" style="211" customWidth="1"/>
    <col min="8" max="8" width="6.77734375" style="214" customWidth="1"/>
    <col min="9" max="9" width="6.6640625" style="211" customWidth="1"/>
    <col min="10" max="10" width="10" style="211" customWidth="1"/>
    <col min="11" max="11" width="6.77734375" style="214" customWidth="1"/>
    <col min="12" max="12" width="6.6640625" style="211" customWidth="1"/>
    <col min="13" max="13" width="10" style="211" customWidth="1"/>
    <col min="14" max="16384" width="8.88671875" style="133"/>
  </cols>
  <sheetData>
    <row r="1" spans="1:13" ht="18.600000000000001" customHeight="1" thickBot="1" x14ac:dyDescent="0.4">
      <c r="A1" s="353" t="s">
        <v>895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15"/>
      <c r="M1" s="315"/>
    </row>
    <row r="2" spans="1:13" ht="14.4" customHeight="1" thickBot="1" x14ac:dyDescent="0.35">
      <c r="A2" s="239" t="s">
        <v>251</v>
      </c>
      <c r="B2" s="210"/>
      <c r="C2" s="210"/>
      <c r="D2" s="210"/>
      <c r="E2" s="210"/>
      <c r="F2" s="218"/>
      <c r="G2" s="218"/>
      <c r="H2" s="219"/>
      <c r="I2" s="218"/>
      <c r="J2" s="218"/>
      <c r="K2" s="219"/>
      <c r="L2" s="218"/>
    </row>
    <row r="3" spans="1:13" ht="14.4" customHeight="1" thickBot="1" x14ac:dyDescent="0.35">
      <c r="E3" s="79" t="s">
        <v>132</v>
      </c>
      <c r="F3" s="43">
        <f>SUBTOTAL(9,F6:F1048576)</f>
        <v>3</v>
      </c>
      <c r="G3" s="43">
        <f>SUBTOTAL(9,G6:G1048576)</f>
        <v>36.54</v>
      </c>
      <c r="H3" s="44">
        <f>IF(M3=0,0,G3/M3)</f>
        <v>4.3584886755633585E-3</v>
      </c>
      <c r="I3" s="43">
        <f>SUBTOTAL(9,I6:I1048576)</f>
        <v>35</v>
      </c>
      <c r="J3" s="43">
        <f>SUBTOTAL(9,J6:J1048576)</f>
        <v>8347.1000000000022</v>
      </c>
      <c r="K3" s="44">
        <f>IF(M3=0,0,J3/M3)</f>
        <v>0.99564151132443679</v>
      </c>
      <c r="L3" s="43">
        <f>SUBTOTAL(9,L6:L1048576)</f>
        <v>38</v>
      </c>
      <c r="M3" s="45">
        <f>SUBTOTAL(9,M6:M1048576)</f>
        <v>8383.6400000000012</v>
      </c>
    </row>
    <row r="4" spans="1:13" ht="14.4" customHeight="1" thickBot="1" x14ac:dyDescent="0.35">
      <c r="A4" s="41"/>
      <c r="B4" s="41"/>
      <c r="C4" s="41"/>
      <c r="D4" s="41"/>
      <c r="E4" s="42"/>
      <c r="F4" s="357" t="s">
        <v>134</v>
      </c>
      <c r="G4" s="358"/>
      <c r="H4" s="359"/>
      <c r="I4" s="360" t="s">
        <v>133</v>
      </c>
      <c r="J4" s="358"/>
      <c r="K4" s="359"/>
      <c r="L4" s="361" t="s">
        <v>3</v>
      </c>
      <c r="M4" s="362"/>
    </row>
    <row r="5" spans="1:13" ht="14.4" customHeight="1" thickBot="1" x14ac:dyDescent="0.35">
      <c r="A5" s="554" t="s">
        <v>139</v>
      </c>
      <c r="B5" s="555" t="s">
        <v>135</v>
      </c>
      <c r="C5" s="555" t="s">
        <v>71</v>
      </c>
      <c r="D5" s="555" t="s">
        <v>136</v>
      </c>
      <c r="E5" s="555" t="s">
        <v>137</v>
      </c>
      <c r="F5" s="556" t="s">
        <v>28</v>
      </c>
      <c r="G5" s="556" t="s">
        <v>14</v>
      </c>
      <c r="H5" s="536" t="s">
        <v>138</v>
      </c>
      <c r="I5" s="535" t="s">
        <v>28</v>
      </c>
      <c r="J5" s="556" t="s">
        <v>14</v>
      </c>
      <c r="K5" s="536" t="s">
        <v>138</v>
      </c>
      <c r="L5" s="535" t="s">
        <v>28</v>
      </c>
      <c r="M5" s="557" t="s">
        <v>14</v>
      </c>
    </row>
    <row r="6" spans="1:13" ht="14.4" customHeight="1" x14ac:dyDescent="0.3">
      <c r="A6" s="511" t="s">
        <v>553</v>
      </c>
      <c r="B6" s="512" t="s">
        <v>885</v>
      </c>
      <c r="C6" s="512" t="s">
        <v>587</v>
      </c>
      <c r="D6" s="512" t="s">
        <v>588</v>
      </c>
      <c r="E6" s="512" t="s">
        <v>589</v>
      </c>
      <c r="F6" s="119"/>
      <c r="G6" s="119"/>
      <c r="H6" s="517">
        <v>0</v>
      </c>
      <c r="I6" s="119">
        <v>1</v>
      </c>
      <c r="J6" s="119">
        <v>41.63</v>
      </c>
      <c r="K6" s="517">
        <v>1</v>
      </c>
      <c r="L6" s="119">
        <v>1</v>
      </c>
      <c r="M6" s="538">
        <v>41.63</v>
      </c>
    </row>
    <row r="7" spans="1:13" ht="14.4" customHeight="1" x14ac:dyDescent="0.3">
      <c r="A7" s="526" t="s">
        <v>553</v>
      </c>
      <c r="B7" s="527" t="s">
        <v>886</v>
      </c>
      <c r="C7" s="527" t="s">
        <v>579</v>
      </c>
      <c r="D7" s="527" t="s">
        <v>580</v>
      </c>
      <c r="E7" s="527" t="s">
        <v>581</v>
      </c>
      <c r="F7" s="539"/>
      <c r="G7" s="539"/>
      <c r="H7" s="532">
        <v>0</v>
      </c>
      <c r="I7" s="539">
        <v>1</v>
      </c>
      <c r="J7" s="539">
        <v>543.39</v>
      </c>
      <c r="K7" s="532">
        <v>1</v>
      </c>
      <c r="L7" s="539">
        <v>1</v>
      </c>
      <c r="M7" s="540">
        <v>543.39</v>
      </c>
    </row>
    <row r="8" spans="1:13" ht="14.4" customHeight="1" x14ac:dyDescent="0.3">
      <c r="A8" s="526" t="s">
        <v>553</v>
      </c>
      <c r="B8" s="527" t="s">
        <v>887</v>
      </c>
      <c r="C8" s="527" t="s">
        <v>594</v>
      </c>
      <c r="D8" s="527" t="s">
        <v>595</v>
      </c>
      <c r="E8" s="527" t="s">
        <v>596</v>
      </c>
      <c r="F8" s="539"/>
      <c r="G8" s="539"/>
      <c r="H8" s="532">
        <v>0</v>
      </c>
      <c r="I8" s="539">
        <v>1</v>
      </c>
      <c r="J8" s="539">
        <v>366.53</v>
      </c>
      <c r="K8" s="532">
        <v>1</v>
      </c>
      <c r="L8" s="539">
        <v>1</v>
      </c>
      <c r="M8" s="540">
        <v>366.53</v>
      </c>
    </row>
    <row r="9" spans="1:13" ht="14.4" customHeight="1" x14ac:dyDescent="0.3">
      <c r="A9" s="526" t="s">
        <v>553</v>
      </c>
      <c r="B9" s="527" t="s">
        <v>888</v>
      </c>
      <c r="C9" s="527" t="s">
        <v>562</v>
      </c>
      <c r="D9" s="527" t="s">
        <v>563</v>
      </c>
      <c r="E9" s="527" t="s">
        <v>564</v>
      </c>
      <c r="F9" s="539"/>
      <c r="G9" s="539"/>
      <c r="H9" s="532">
        <v>0</v>
      </c>
      <c r="I9" s="539">
        <v>1</v>
      </c>
      <c r="J9" s="539">
        <v>154.36000000000001</v>
      </c>
      <c r="K9" s="532">
        <v>1</v>
      </c>
      <c r="L9" s="539">
        <v>1</v>
      </c>
      <c r="M9" s="540">
        <v>154.36000000000001</v>
      </c>
    </row>
    <row r="10" spans="1:13" ht="14.4" customHeight="1" x14ac:dyDescent="0.3">
      <c r="A10" s="526" t="s">
        <v>555</v>
      </c>
      <c r="B10" s="527" t="s">
        <v>889</v>
      </c>
      <c r="C10" s="527" t="s">
        <v>633</v>
      </c>
      <c r="D10" s="527" t="s">
        <v>634</v>
      </c>
      <c r="E10" s="527" t="s">
        <v>568</v>
      </c>
      <c r="F10" s="539"/>
      <c r="G10" s="539"/>
      <c r="H10" s="532">
        <v>0</v>
      </c>
      <c r="I10" s="539">
        <v>2</v>
      </c>
      <c r="J10" s="539">
        <v>42.26</v>
      </c>
      <c r="K10" s="532">
        <v>1</v>
      </c>
      <c r="L10" s="539">
        <v>2</v>
      </c>
      <c r="M10" s="540">
        <v>42.26</v>
      </c>
    </row>
    <row r="11" spans="1:13" ht="14.4" customHeight="1" x14ac:dyDescent="0.3">
      <c r="A11" s="526" t="s">
        <v>555</v>
      </c>
      <c r="B11" s="527" t="s">
        <v>888</v>
      </c>
      <c r="C11" s="527" t="s">
        <v>562</v>
      </c>
      <c r="D11" s="527" t="s">
        <v>563</v>
      </c>
      <c r="E11" s="527" t="s">
        <v>564</v>
      </c>
      <c r="F11" s="539"/>
      <c r="G11" s="539"/>
      <c r="H11" s="532">
        <v>0</v>
      </c>
      <c r="I11" s="539">
        <v>1</v>
      </c>
      <c r="J11" s="539">
        <v>154.36000000000001</v>
      </c>
      <c r="K11" s="532">
        <v>1</v>
      </c>
      <c r="L11" s="539">
        <v>1</v>
      </c>
      <c r="M11" s="540">
        <v>154.36000000000001</v>
      </c>
    </row>
    <row r="12" spans="1:13" ht="14.4" customHeight="1" x14ac:dyDescent="0.3">
      <c r="A12" s="526" t="s">
        <v>555</v>
      </c>
      <c r="B12" s="527" t="s">
        <v>890</v>
      </c>
      <c r="C12" s="527" t="s">
        <v>640</v>
      </c>
      <c r="D12" s="527" t="s">
        <v>641</v>
      </c>
      <c r="E12" s="527" t="s">
        <v>642</v>
      </c>
      <c r="F12" s="539"/>
      <c r="G12" s="539"/>
      <c r="H12" s="532">
        <v>0</v>
      </c>
      <c r="I12" s="539">
        <v>1</v>
      </c>
      <c r="J12" s="539">
        <v>18.260000000000002</v>
      </c>
      <c r="K12" s="532">
        <v>1</v>
      </c>
      <c r="L12" s="539">
        <v>1</v>
      </c>
      <c r="M12" s="540">
        <v>18.260000000000002</v>
      </c>
    </row>
    <row r="13" spans="1:13" ht="14.4" customHeight="1" x14ac:dyDescent="0.3">
      <c r="A13" s="526" t="s">
        <v>560</v>
      </c>
      <c r="B13" s="527" t="s">
        <v>886</v>
      </c>
      <c r="C13" s="527" t="s">
        <v>579</v>
      </c>
      <c r="D13" s="527" t="s">
        <v>580</v>
      </c>
      <c r="E13" s="527" t="s">
        <v>581</v>
      </c>
      <c r="F13" s="539"/>
      <c r="G13" s="539"/>
      <c r="H13" s="532">
        <v>0</v>
      </c>
      <c r="I13" s="539">
        <v>1</v>
      </c>
      <c r="J13" s="539">
        <v>543.39</v>
      </c>
      <c r="K13" s="532">
        <v>1</v>
      </c>
      <c r="L13" s="539">
        <v>1</v>
      </c>
      <c r="M13" s="540">
        <v>543.39</v>
      </c>
    </row>
    <row r="14" spans="1:13" ht="14.4" customHeight="1" x14ac:dyDescent="0.3">
      <c r="A14" s="526" t="s">
        <v>560</v>
      </c>
      <c r="B14" s="527" t="s">
        <v>886</v>
      </c>
      <c r="C14" s="527" t="s">
        <v>840</v>
      </c>
      <c r="D14" s="527" t="s">
        <v>841</v>
      </c>
      <c r="E14" s="527" t="s">
        <v>842</v>
      </c>
      <c r="F14" s="539"/>
      <c r="G14" s="539"/>
      <c r="H14" s="532">
        <v>0</v>
      </c>
      <c r="I14" s="539">
        <v>1</v>
      </c>
      <c r="J14" s="539">
        <v>1385.62</v>
      </c>
      <c r="K14" s="532">
        <v>1</v>
      </c>
      <c r="L14" s="539">
        <v>1</v>
      </c>
      <c r="M14" s="540">
        <v>1385.62</v>
      </c>
    </row>
    <row r="15" spans="1:13" ht="14.4" customHeight="1" x14ac:dyDescent="0.3">
      <c r="A15" s="526" t="s">
        <v>560</v>
      </c>
      <c r="B15" s="527" t="s">
        <v>886</v>
      </c>
      <c r="C15" s="527" t="s">
        <v>843</v>
      </c>
      <c r="D15" s="527" t="s">
        <v>841</v>
      </c>
      <c r="E15" s="527" t="s">
        <v>844</v>
      </c>
      <c r="F15" s="539"/>
      <c r="G15" s="539"/>
      <c r="H15" s="532">
        <v>0</v>
      </c>
      <c r="I15" s="539">
        <v>1</v>
      </c>
      <c r="J15" s="539">
        <v>1847.49</v>
      </c>
      <c r="K15" s="532">
        <v>1</v>
      </c>
      <c r="L15" s="539">
        <v>1</v>
      </c>
      <c r="M15" s="540">
        <v>1847.49</v>
      </c>
    </row>
    <row r="16" spans="1:13" ht="14.4" customHeight="1" x14ac:dyDescent="0.3">
      <c r="A16" s="526" t="s">
        <v>560</v>
      </c>
      <c r="B16" s="527" t="s">
        <v>891</v>
      </c>
      <c r="C16" s="527" t="s">
        <v>835</v>
      </c>
      <c r="D16" s="527" t="s">
        <v>836</v>
      </c>
      <c r="E16" s="527" t="s">
        <v>837</v>
      </c>
      <c r="F16" s="539"/>
      <c r="G16" s="539"/>
      <c r="H16" s="532">
        <v>0</v>
      </c>
      <c r="I16" s="539">
        <v>1</v>
      </c>
      <c r="J16" s="539">
        <v>164.94</v>
      </c>
      <c r="K16" s="532">
        <v>1</v>
      </c>
      <c r="L16" s="539">
        <v>1</v>
      </c>
      <c r="M16" s="540">
        <v>164.94</v>
      </c>
    </row>
    <row r="17" spans="1:13" ht="14.4" customHeight="1" x14ac:dyDescent="0.3">
      <c r="A17" s="526" t="s">
        <v>560</v>
      </c>
      <c r="B17" s="527" t="s">
        <v>892</v>
      </c>
      <c r="C17" s="527" t="s">
        <v>850</v>
      </c>
      <c r="D17" s="527" t="s">
        <v>851</v>
      </c>
      <c r="E17" s="527" t="s">
        <v>852</v>
      </c>
      <c r="F17" s="539">
        <v>1</v>
      </c>
      <c r="G17" s="539">
        <v>0</v>
      </c>
      <c r="H17" s="532"/>
      <c r="I17" s="539"/>
      <c r="J17" s="539"/>
      <c r="K17" s="532"/>
      <c r="L17" s="539">
        <v>1</v>
      </c>
      <c r="M17" s="540">
        <v>0</v>
      </c>
    </row>
    <row r="18" spans="1:13" ht="14.4" customHeight="1" x14ac:dyDescent="0.3">
      <c r="A18" s="526" t="s">
        <v>560</v>
      </c>
      <c r="B18" s="527" t="s">
        <v>889</v>
      </c>
      <c r="C18" s="527" t="s">
        <v>633</v>
      </c>
      <c r="D18" s="527" t="s">
        <v>634</v>
      </c>
      <c r="E18" s="527" t="s">
        <v>568</v>
      </c>
      <c r="F18" s="539"/>
      <c r="G18" s="539"/>
      <c r="H18" s="532">
        <v>0</v>
      </c>
      <c r="I18" s="539">
        <v>2</v>
      </c>
      <c r="J18" s="539">
        <v>42.26</v>
      </c>
      <c r="K18" s="532">
        <v>1</v>
      </c>
      <c r="L18" s="539">
        <v>2</v>
      </c>
      <c r="M18" s="540">
        <v>42.26</v>
      </c>
    </row>
    <row r="19" spans="1:13" ht="14.4" customHeight="1" x14ac:dyDescent="0.3">
      <c r="A19" s="526" t="s">
        <v>560</v>
      </c>
      <c r="B19" s="527" t="s">
        <v>889</v>
      </c>
      <c r="C19" s="527" t="s">
        <v>838</v>
      </c>
      <c r="D19" s="527" t="s">
        <v>634</v>
      </c>
      <c r="E19" s="527" t="s">
        <v>839</v>
      </c>
      <c r="F19" s="539"/>
      <c r="G19" s="539"/>
      <c r="H19" s="532">
        <v>0</v>
      </c>
      <c r="I19" s="539">
        <v>1</v>
      </c>
      <c r="J19" s="539">
        <v>105.64</v>
      </c>
      <c r="K19" s="532">
        <v>1</v>
      </c>
      <c r="L19" s="539">
        <v>1</v>
      </c>
      <c r="M19" s="540">
        <v>105.64</v>
      </c>
    </row>
    <row r="20" spans="1:13" ht="14.4" customHeight="1" x14ac:dyDescent="0.3">
      <c r="A20" s="526" t="s">
        <v>560</v>
      </c>
      <c r="B20" s="527" t="s">
        <v>888</v>
      </c>
      <c r="C20" s="527" t="s">
        <v>562</v>
      </c>
      <c r="D20" s="527" t="s">
        <v>563</v>
      </c>
      <c r="E20" s="527" t="s">
        <v>564</v>
      </c>
      <c r="F20" s="539"/>
      <c r="G20" s="539"/>
      <c r="H20" s="532">
        <v>0</v>
      </c>
      <c r="I20" s="539">
        <v>4</v>
      </c>
      <c r="J20" s="539">
        <v>617.44000000000005</v>
      </c>
      <c r="K20" s="532">
        <v>1</v>
      </c>
      <c r="L20" s="539">
        <v>4</v>
      </c>
      <c r="M20" s="540">
        <v>617.44000000000005</v>
      </c>
    </row>
    <row r="21" spans="1:13" ht="14.4" customHeight="1" x14ac:dyDescent="0.3">
      <c r="A21" s="526" t="s">
        <v>560</v>
      </c>
      <c r="B21" s="527" t="s">
        <v>888</v>
      </c>
      <c r="C21" s="527" t="s">
        <v>747</v>
      </c>
      <c r="D21" s="527" t="s">
        <v>748</v>
      </c>
      <c r="E21" s="527" t="s">
        <v>749</v>
      </c>
      <c r="F21" s="539"/>
      <c r="G21" s="539"/>
      <c r="H21" s="532">
        <v>0</v>
      </c>
      <c r="I21" s="539">
        <v>1</v>
      </c>
      <c r="J21" s="539">
        <v>149.52000000000001</v>
      </c>
      <c r="K21" s="532">
        <v>1</v>
      </c>
      <c r="L21" s="539">
        <v>1</v>
      </c>
      <c r="M21" s="540">
        <v>149.52000000000001</v>
      </c>
    </row>
    <row r="22" spans="1:13" ht="14.4" customHeight="1" x14ac:dyDescent="0.3">
      <c r="A22" s="526" t="s">
        <v>560</v>
      </c>
      <c r="B22" s="527" t="s">
        <v>890</v>
      </c>
      <c r="C22" s="527" t="s">
        <v>686</v>
      </c>
      <c r="D22" s="527" t="s">
        <v>641</v>
      </c>
      <c r="E22" s="527" t="s">
        <v>687</v>
      </c>
      <c r="F22" s="539"/>
      <c r="G22" s="539"/>
      <c r="H22" s="532">
        <v>0</v>
      </c>
      <c r="I22" s="539">
        <v>3</v>
      </c>
      <c r="J22" s="539">
        <v>109.62</v>
      </c>
      <c r="K22" s="532">
        <v>1</v>
      </c>
      <c r="L22" s="539">
        <v>3</v>
      </c>
      <c r="M22" s="540">
        <v>109.62</v>
      </c>
    </row>
    <row r="23" spans="1:13" ht="14.4" customHeight="1" x14ac:dyDescent="0.3">
      <c r="A23" s="526" t="s">
        <v>560</v>
      </c>
      <c r="B23" s="527" t="s">
        <v>893</v>
      </c>
      <c r="C23" s="527" t="s">
        <v>854</v>
      </c>
      <c r="D23" s="527" t="s">
        <v>855</v>
      </c>
      <c r="E23" s="527" t="s">
        <v>856</v>
      </c>
      <c r="F23" s="539">
        <v>1</v>
      </c>
      <c r="G23" s="539">
        <v>0</v>
      </c>
      <c r="H23" s="532"/>
      <c r="I23" s="539"/>
      <c r="J23" s="539"/>
      <c r="K23" s="532"/>
      <c r="L23" s="539">
        <v>1</v>
      </c>
      <c r="M23" s="540">
        <v>0</v>
      </c>
    </row>
    <row r="24" spans="1:13" ht="14.4" customHeight="1" x14ac:dyDescent="0.3">
      <c r="A24" s="526" t="s">
        <v>556</v>
      </c>
      <c r="B24" s="527" t="s">
        <v>886</v>
      </c>
      <c r="C24" s="527" t="s">
        <v>579</v>
      </c>
      <c r="D24" s="527" t="s">
        <v>580</v>
      </c>
      <c r="E24" s="527" t="s">
        <v>581</v>
      </c>
      <c r="F24" s="539"/>
      <c r="G24" s="539"/>
      <c r="H24" s="532">
        <v>0</v>
      </c>
      <c r="I24" s="539">
        <v>1</v>
      </c>
      <c r="J24" s="539">
        <v>543.39</v>
      </c>
      <c r="K24" s="532">
        <v>1</v>
      </c>
      <c r="L24" s="539">
        <v>1</v>
      </c>
      <c r="M24" s="540">
        <v>543.39</v>
      </c>
    </row>
    <row r="25" spans="1:13" ht="14.4" customHeight="1" x14ac:dyDescent="0.3">
      <c r="A25" s="526" t="s">
        <v>556</v>
      </c>
      <c r="B25" s="527" t="s">
        <v>888</v>
      </c>
      <c r="C25" s="527" t="s">
        <v>562</v>
      </c>
      <c r="D25" s="527" t="s">
        <v>563</v>
      </c>
      <c r="E25" s="527" t="s">
        <v>564</v>
      </c>
      <c r="F25" s="539"/>
      <c r="G25" s="539"/>
      <c r="H25" s="532">
        <v>0</v>
      </c>
      <c r="I25" s="539">
        <v>2</v>
      </c>
      <c r="J25" s="539">
        <v>308.72000000000003</v>
      </c>
      <c r="K25" s="532">
        <v>1</v>
      </c>
      <c r="L25" s="539">
        <v>2</v>
      </c>
      <c r="M25" s="540">
        <v>308.72000000000003</v>
      </c>
    </row>
    <row r="26" spans="1:13" ht="14.4" customHeight="1" x14ac:dyDescent="0.3">
      <c r="A26" s="526" t="s">
        <v>556</v>
      </c>
      <c r="B26" s="527" t="s">
        <v>890</v>
      </c>
      <c r="C26" s="527" t="s">
        <v>686</v>
      </c>
      <c r="D26" s="527" t="s">
        <v>641</v>
      </c>
      <c r="E26" s="527" t="s">
        <v>687</v>
      </c>
      <c r="F26" s="539"/>
      <c r="G26" s="539"/>
      <c r="H26" s="532">
        <v>0</v>
      </c>
      <c r="I26" s="539">
        <v>1</v>
      </c>
      <c r="J26" s="539">
        <v>36.54</v>
      </c>
      <c r="K26" s="532">
        <v>1</v>
      </c>
      <c r="L26" s="539">
        <v>1</v>
      </c>
      <c r="M26" s="540">
        <v>36.54</v>
      </c>
    </row>
    <row r="27" spans="1:13" ht="14.4" customHeight="1" x14ac:dyDescent="0.3">
      <c r="A27" s="526" t="s">
        <v>557</v>
      </c>
      <c r="B27" s="527" t="s">
        <v>889</v>
      </c>
      <c r="C27" s="527" t="s">
        <v>633</v>
      </c>
      <c r="D27" s="527" t="s">
        <v>634</v>
      </c>
      <c r="E27" s="527" t="s">
        <v>568</v>
      </c>
      <c r="F27" s="539"/>
      <c r="G27" s="539"/>
      <c r="H27" s="532">
        <v>0</v>
      </c>
      <c r="I27" s="539">
        <v>1</v>
      </c>
      <c r="J27" s="539">
        <v>21.13</v>
      </c>
      <c r="K27" s="532">
        <v>1</v>
      </c>
      <c r="L27" s="539">
        <v>1</v>
      </c>
      <c r="M27" s="540">
        <v>21.13</v>
      </c>
    </row>
    <row r="28" spans="1:13" ht="14.4" customHeight="1" x14ac:dyDescent="0.3">
      <c r="A28" s="526" t="s">
        <v>557</v>
      </c>
      <c r="B28" s="527" t="s">
        <v>890</v>
      </c>
      <c r="C28" s="527" t="s">
        <v>741</v>
      </c>
      <c r="D28" s="527" t="s">
        <v>641</v>
      </c>
      <c r="E28" s="527" t="s">
        <v>742</v>
      </c>
      <c r="F28" s="539">
        <v>1</v>
      </c>
      <c r="G28" s="539">
        <v>36.54</v>
      </c>
      <c r="H28" s="532">
        <v>1</v>
      </c>
      <c r="I28" s="539"/>
      <c r="J28" s="539"/>
      <c r="K28" s="532">
        <v>0</v>
      </c>
      <c r="L28" s="539">
        <v>1</v>
      </c>
      <c r="M28" s="540">
        <v>36.54</v>
      </c>
    </row>
    <row r="29" spans="1:13" ht="14.4" customHeight="1" x14ac:dyDescent="0.3">
      <c r="A29" s="526" t="s">
        <v>559</v>
      </c>
      <c r="B29" s="527" t="s">
        <v>889</v>
      </c>
      <c r="C29" s="527" t="s">
        <v>633</v>
      </c>
      <c r="D29" s="527" t="s">
        <v>634</v>
      </c>
      <c r="E29" s="527" t="s">
        <v>568</v>
      </c>
      <c r="F29" s="539"/>
      <c r="G29" s="539"/>
      <c r="H29" s="532">
        <v>0</v>
      </c>
      <c r="I29" s="539">
        <v>1</v>
      </c>
      <c r="J29" s="539">
        <v>21.13</v>
      </c>
      <c r="K29" s="532">
        <v>1</v>
      </c>
      <c r="L29" s="539">
        <v>1</v>
      </c>
      <c r="M29" s="540">
        <v>21.13</v>
      </c>
    </row>
    <row r="30" spans="1:13" ht="14.4" customHeight="1" x14ac:dyDescent="0.3">
      <c r="A30" s="526" t="s">
        <v>559</v>
      </c>
      <c r="B30" s="527" t="s">
        <v>888</v>
      </c>
      <c r="C30" s="527" t="s">
        <v>562</v>
      </c>
      <c r="D30" s="527" t="s">
        <v>563</v>
      </c>
      <c r="E30" s="527" t="s">
        <v>564</v>
      </c>
      <c r="F30" s="539"/>
      <c r="G30" s="539"/>
      <c r="H30" s="532">
        <v>0</v>
      </c>
      <c r="I30" s="539">
        <v>3</v>
      </c>
      <c r="J30" s="539">
        <v>463.08000000000004</v>
      </c>
      <c r="K30" s="532">
        <v>1</v>
      </c>
      <c r="L30" s="539">
        <v>3</v>
      </c>
      <c r="M30" s="540">
        <v>463.08000000000004</v>
      </c>
    </row>
    <row r="31" spans="1:13" ht="14.4" customHeight="1" x14ac:dyDescent="0.3">
      <c r="A31" s="526" t="s">
        <v>559</v>
      </c>
      <c r="B31" s="527" t="s">
        <v>888</v>
      </c>
      <c r="C31" s="527" t="s">
        <v>764</v>
      </c>
      <c r="D31" s="527" t="s">
        <v>563</v>
      </c>
      <c r="E31" s="527" t="s">
        <v>749</v>
      </c>
      <c r="F31" s="539"/>
      <c r="G31" s="539"/>
      <c r="H31" s="532">
        <v>0</v>
      </c>
      <c r="I31" s="539">
        <v>1</v>
      </c>
      <c r="J31" s="539">
        <v>225.06</v>
      </c>
      <c r="K31" s="532">
        <v>1</v>
      </c>
      <c r="L31" s="539">
        <v>1</v>
      </c>
      <c r="M31" s="540">
        <v>225.06</v>
      </c>
    </row>
    <row r="32" spans="1:13" ht="14.4" customHeight="1" x14ac:dyDescent="0.3">
      <c r="A32" s="526" t="s">
        <v>558</v>
      </c>
      <c r="B32" s="527" t="s">
        <v>894</v>
      </c>
      <c r="C32" s="527" t="s">
        <v>751</v>
      </c>
      <c r="D32" s="527" t="s">
        <v>752</v>
      </c>
      <c r="E32" s="527" t="s">
        <v>753</v>
      </c>
      <c r="F32" s="539"/>
      <c r="G32" s="539"/>
      <c r="H32" s="532">
        <v>0</v>
      </c>
      <c r="I32" s="539">
        <v>1</v>
      </c>
      <c r="J32" s="539">
        <v>291.82</v>
      </c>
      <c r="K32" s="532">
        <v>1</v>
      </c>
      <c r="L32" s="539">
        <v>1</v>
      </c>
      <c r="M32" s="540">
        <v>291.82</v>
      </c>
    </row>
    <row r="33" spans="1:13" ht="14.4" customHeight="1" thickBot="1" x14ac:dyDescent="0.35">
      <c r="A33" s="518" t="s">
        <v>558</v>
      </c>
      <c r="B33" s="519" t="s">
        <v>888</v>
      </c>
      <c r="C33" s="519" t="s">
        <v>747</v>
      </c>
      <c r="D33" s="519" t="s">
        <v>748</v>
      </c>
      <c r="E33" s="519" t="s">
        <v>749</v>
      </c>
      <c r="F33" s="541"/>
      <c r="G33" s="541"/>
      <c r="H33" s="524">
        <v>0</v>
      </c>
      <c r="I33" s="541">
        <v>1</v>
      </c>
      <c r="J33" s="541">
        <v>149.52000000000001</v>
      </c>
      <c r="K33" s="524">
        <v>1</v>
      </c>
      <c r="L33" s="541">
        <v>1</v>
      </c>
      <c r="M33" s="542">
        <v>149.52000000000001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12" customWidth="1"/>
    <col min="2" max="2" width="61.109375" style="212" customWidth="1"/>
    <col min="3" max="3" width="9.5546875" style="133" customWidth="1"/>
    <col min="4" max="4" width="9.5546875" style="213" customWidth="1"/>
    <col min="5" max="5" width="2.21875" style="213" customWidth="1"/>
    <col min="6" max="6" width="9.5546875" style="214" customWidth="1"/>
    <col min="7" max="7" width="9.5546875" style="211" customWidth="1"/>
    <col min="8" max="9" width="9.5546875" style="133" customWidth="1"/>
    <col min="10" max="10" width="0" style="133" hidden="1" customWidth="1"/>
    <col min="11" max="16384" width="8.88671875" style="133"/>
  </cols>
  <sheetData>
    <row r="1" spans="1:10" ht="18.600000000000001" customHeight="1" thickBot="1" x14ac:dyDescent="0.4">
      <c r="A1" s="344" t="s">
        <v>143</v>
      </c>
      <c r="B1" s="345"/>
      <c r="C1" s="345"/>
      <c r="D1" s="345"/>
      <c r="E1" s="345"/>
      <c r="F1" s="345"/>
      <c r="G1" s="316"/>
      <c r="H1" s="346"/>
      <c r="I1" s="346"/>
    </row>
    <row r="2" spans="1:10" ht="14.4" customHeight="1" thickBot="1" x14ac:dyDescent="0.35">
      <c r="A2" s="239" t="s">
        <v>251</v>
      </c>
      <c r="B2" s="210"/>
      <c r="C2" s="210"/>
      <c r="D2" s="210"/>
      <c r="E2" s="210"/>
      <c r="F2" s="210"/>
    </row>
    <row r="3" spans="1:10" ht="14.4" customHeight="1" thickBot="1" x14ac:dyDescent="0.35">
      <c r="A3" s="239"/>
      <c r="B3" s="210"/>
      <c r="C3" s="283">
        <v>2014</v>
      </c>
      <c r="D3" s="284">
        <v>2015</v>
      </c>
      <c r="E3" s="7"/>
      <c r="F3" s="339">
        <v>2016</v>
      </c>
      <c r="G3" s="340"/>
      <c r="H3" s="340"/>
      <c r="I3" s="341"/>
    </row>
    <row r="4" spans="1:10" ht="14.4" customHeight="1" thickBot="1" x14ac:dyDescent="0.35">
      <c r="A4" s="288" t="s">
        <v>0</v>
      </c>
      <c r="B4" s="289" t="s">
        <v>204</v>
      </c>
      <c r="C4" s="342" t="s">
        <v>73</v>
      </c>
      <c r="D4" s="343"/>
      <c r="E4" s="290"/>
      <c r="F4" s="285" t="s">
        <v>73</v>
      </c>
      <c r="G4" s="286" t="s">
        <v>74</v>
      </c>
      <c r="H4" s="286" t="s">
        <v>68</v>
      </c>
      <c r="I4" s="287" t="s">
        <v>75</v>
      </c>
    </row>
    <row r="5" spans="1:10" ht="14.4" customHeight="1" x14ac:dyDescent="0.3">
      <c r="A5" s="438" t="s">
        <v>429</v>
      </c>
      <c r="B5" s="439" t="s">
        <v>430</v>
      </c>
      <c r="C5" s="440" t="s">
        <v>431</v>
      </c>
      <c r="D5" s="440" t="s">
        <v>431</v>
      </c>
      <c r="E5" s="440"/>
      <c r="F5" s="440" t="s">
        <v>431</v>
      </c>
      <c r="G5" s="440" t="s">
        <v>431</v>
      </c>
      <c r="H5" s="440" t="s">
        <v>431</v>
      </c>
      <c r="I5" s="441" t="s">
        <v>431</v>
      </c>
      <c r="J5" s="442" t="s">
        <v>69</v>
      </c>
    </row>
    <row r="6" spans="1:10" ht="14.4" customHeight="1" x14ac:dyDescent="0.3">
      <c r="A6" s="438" t="s">
        <v>429</v>
      </c>
      <c r="B6" s="439" t="s">
        <v>263</v>
      </c>
      <c r="C6" s="440">
        <v>2.8317999999999999</v>
      </c>
      <c r="D6" s="440">
        <v>10.25656</v>
      </c>
      <c r="E6" s="440"/>
      <c r="F6" s="440">
        <v>0</v>
      </c>
      <c r="G6" s="440">
        <v>11.666669882649501</v>
      </c>
      <c r="H6" s="440">
        <v>-11.666669882649501</v>
      </c>
      <c r="I6" s="441">
        <v>0</v>
      </c>
      <c r="J6" s="442" t="s">
        <v>1</v>
      </c>
    </row>
    <row r="7" spans="1:10" ht="14.4" customHeight="1" x14ac:dyDescent="0.3">
      <c r="A7" s="438" t="s">
        <v>429</v>
      </c>
      <c r="B7" s="439" t="s">
        <v>264</v>
      </c>
      <c r="C7" s="440">
        <v>69.565219999999997</v>
      </c>
      <c r="D7" s="440">
        <v>0</v>
      </c>
      <c r="E7" s="440"/>
      <c r="F7" s="440">
        <v>0</v>
      </c>
      <c r="G7" s="440">
        <v>41.666678152319669</v>
      </c>
      <c r="H7" s="440">
        <v>-41.666678152319669</v>
      </c>
      <c r="I7" s="441">
        <v>0</v>
      </c>
      <c r="J7" s="442" t="s">
        <v>1</v>
      </c>
    </row>
    <row r="8" spans="1:10" ht="14.4" customHeight="1" x14ac:dyDescent="0.3">
      <c r="A8" s="438" t="s">
        <v>429</v>
      </c>
      <c r="B8" s="439" t="s">
        <v>265</v>
      </c>
      <c r="C8" s="440">
        <v>47.885240000000003</v>
      </c>
      <c r="D8" s="440">
        <v>47.2</v>
      </c>
      <c r="E8" s="440"/>
      <c r="F8" s="440">
        <v>43.669999999999995</v>
      </c>
      <c r="G8" s="440">
        <v>83.333356304639338</v>
      </c>
      <c r="H8" s="440">
        <v>-39.663356304639343</v>
      </c>
      <c r="I8" s="441">
        <v>0.52403985554544141</v>
      </c>
      <c r="J8" s="442" t="s">
        <v>1</v>
      </c>
    </row>
    <row r="9" spans="1:10" ht="14.4" customHeight="1" x14ac:dyDescent="0.3">
      <c r="A9" s="438" t="s">
        <v>429</v>
      </c>
      <c r="B9" s="439" t="s">
        <v>266</v>
      </c>
      <c r="C9" s="440" t="s">
        <v>431</v>
      </c>
      <c r="D9" s="440">
        <v>0</v>
      </c>
      <c r="E9" s="440"/>
      <c r="F9" s="440">
        <v>0</v>
      </c>
      <c r="G9" s="440">
        <v>7.5000020674175003</v>
      </c>
      <c r="H9" s="440">
        <v>-7.5000020674175003</v>
      </c>
      <c r="I9" s="441">
        <v>0</v>
      </c>
      <c r="J9" s="442" t="s">
        <v>1</v>
      </c>
    </row>
    <row r="10" spans="1:10" ht="14.4" customHeight="1" x14ac:dyDescent="0.3">
      <c r="A10" s="438" t="s">
        <v>429</v>
      </c>
      <c r="B10" s="439" t="s">
        <v>267</v>
      </c>
      <c r="C10" s="440">
        <v>10.16897</v>
      </c>
      <c r="D10" s="440">
        <v>12.27553</v>
      </c>
      <c r="E10" s="440"/>
      <c r="F10" s="440">
        <v>14.625829999999999</v>
      </c>
      <c r="G10" s="440">
        <v>73.245536477032488</v>
      </c>
      <c r="H10" s="440">
        <v>-58.619706477032487</v>
      </c>
      <c r="I10" s="441">
        <v>0.19968220185794122</v>
      </c>
      <c r="J10" s="442" t="s">
        <v>1</v>
      </c>
    </row>
    <row r="11" spans="1:10" ht="14.4" customHeight="1" x14ac:dyDescent="0.3">
      <c r="A11" s="438" t="s">
        <v>429</v>
      </c>
      <c r="B11" s="439" t="s">
        <v>268</v>
      </c>
      <c r="C11" s="440">
        <v>6.3410999999999991</v>
      </c>
      <c r="D11" s="440">
        <v>11.919229999999999</v>
      </c>
      <c r="E11" s="440"/>
      <c r="F11" s="440">
        <v>25.613959999999999</v>
      </c>
      <c r="G11" s="440">
        <v>49.042433416600502</v>
      </c>
      <c r="H11" s="440">
        <v>-23.428473416600504</v>
      </c>
      <c r="I11" s="441">
        <v>0.52228158791422985</v>
      </c>
      <c r="J11" s="442" t="s">
        <v>1</v>
      </c>
    </row>
    <row r="12" spans="1:10" ht="14.4" customHeight="1" x14ac:dyDescent="0.3">
      <c r="A12" s="438" t="s">
        <v>429</v>
      </c>
      <c r="B12" s="439" t="s">
        <v>269</v>
      </c>
      <c r="C12" s="440">
        <v>0</v>
      </c>
      <c r="D12" s="440">
        <v>0</v>
      </c>
      <c r="E12" s="440"/>
      <c r="F12" s="440">
        <v>0</v>
      </c>
      <c r="G12" s="440">
        <v>0.33333342521850001</v>
      </c>
      <c r="H12" s="440">
        <v>-0.33333342521850001</v>
      </c>
      <c r="I12" s="441">
        <v>0</v>
      </c>
      <c r="J12" s="442" t="s">
        <v>1</v>
      </c>
    </row>
    <row r="13" spans="1:10" ht="14.4" customHeight="1" x14ac:dyDescent="0.3">
      <c r="A13" s="438" t="s">
        <v>429</v>
      </c>
      <c r="B13" s="439" t="s">
        <v>270</v>
      </c>
      <c r="C13" s="440">
        <v>72.371560000000002</v>
      </c>
      <c r="D13" s="440">
        <v>82.58574999999999</v>
      </c>
      <c r="E13" s="440"/>
      <c r="F13" s="440">
        <v>26.688969999999998</v>
      </c>
      <c r="G13" s="440">
        <v>93.132356635939828</v>
      </c>
      <c r="H13" s="440">
        <v>-66.443386635939831</v>
      </c>
      <c r="I13" s="441">
        <v>0.28657032812268285</v>
      </c>
      <c r="J13" s="442" t="s">
        <v>1</v>
      </c>
    </row>
    <row r="14" spans="1:10" ht="14.4" customHeight="1" x14ac:dyDescent="0.3">
      <c r="A14" s="438" t="s">
        <v>429</v>
      </c>
      <c r="B14" s="439" t="s">
        <v>271</v>
      </c>
      <c r="C14" s="440">
        <v>0.124</v>
      </c>
      <c r="D14" s="440">
        <v>1.2545299999999999</v>
      </c>
      <c r="E14" s="440"/>
      <c r="F14" s="440">
        <v>0.16</v>
      </c>
      <c r="G14" s="440">
        <v>1.6666671260925001</v>
      </c>
      <c r="H14" s="440">
        <v>-1.5066671260925002</v>
      </c>
      <c r="I14" s="441">
        <v>9.5999973537079286E-2</v>
      </c>
      <c r="J14" s="442" t="s">
        <v>1</v>
      </c>
    </row>
    <row r="15" spans="1:10" ht="14.4" customHeight="1" x14ac:dyDescent="0.3">
      <c r="A15" s="438" t="s">
        <v>429</v>
      </c>
      <c r="B15" s="439" t="s">
        <v>272</v>
      </c>
      <c r="C15" s="440">
        <v>4.9789899999999996</v>
      </c>
      <c r="D15" s="440">
        <v>1.5009999999999999</v>
      </c>
      <c r="E15" s="440"/>
      <c r="F15" s="440">
        <v>0.75</v>
      </c>
      <c r="G15" s="440">
        <v>10.0000027565565</v>
      </c>
      <c r="H15" s="440">
        <v>-9.2500027565564995</v>
      </c>
      <c r="I15" s="441">
        <v>7.4999979325831953E-2</v>
      </c>
      <c r="J15" s="442" t="s">
        <v>1</v>
      </c>
    </row>
    <row r="16" spans="1:10" ht="14.4" customHeight="1" x14ac:dyDescent="0.3">
      <c r="A16" s="438" t="s">
        <v>429</v>
      </c>
      <c r="B16" s="439" t="s">
        <v>273</v>
      </c>
      <c r="C16" s="440">
        <v>2.9982099999999998</v>
      </c>
      <c r="D16" s="440">
        <v>6.9958799999999997</v>
      </c>
      <c r="E16" s="440"/>
      <c r="F16" s="440">
        <v>5.2823599999999997</v>
      </c>
      <c r="G16" s="440">
        <v>16.687411217840502</v>
      </c>
      <c r="H16" s="440">
        <v>-11.405051217840501</v>
      </c>
      <c r="I16" s="441">
        <v>0.31654760172462409</v>
      </c>
      <c r="J16" s="442" t="s">
        <v>1</v>
      </c>
    </row>
    <row r="17" spans="1:10" ht="14.4" customHeight="1" x14ac:dyDescent="0.3">
      <c r="A17" s="438" t="s">
        <v>429</v>
      </c>
      <c r="B17" s="439" t="s">
        <v>432</v>
      </c>
      <c r="C17" s="440">
        <v>217.26509000000004</v>
      </c>
      <c r="D17" s="440">
        <v>173.98847999999998</v>
      </c>
      <c r="E17" s="440"/>
      <c r="F17" s="440">
        <v>116.79111999999998</v>
      </c>
      <c r="G17" s="440">
        <v>388.2744474623068</v>
      </c>
      <c r="H17" s="440">
        <v>-271.48332746230682</v>
      </c>
      <c r="I17" s="441">
        <v>0.30079527706066189</v>
      </c>
      <c r="J17" s="442" t="s">
        <v>433</v>
      </c>
    </row>
    <row r="19" spans="1:10" ht="14.4" customHeight="1" x14ac:dyDescent="0.3">
      <c r="A19" s="438" t="s">
        <v>429</v>
      </c>
      <c r="B19" s="439" t="s">
        <v>430</v>
      </c>
      <c r="C19" s="440" t="s">
        <v>431</v>
      </c>
      <c r="D19" s="440" t="s">
        <v>431</v>
      </c>
      <c r="E19" s="440"/>
      <c r="F19" s="440" t="s">
        <v>431</v>
      </c>
      <c r="G19" s="440" t="s">
        <v>431</v>
      </c>
      <c r="H19" s="440" t="s">
        <v>431</v>
      </c>
      <c r="I19" s="441" t="s">
        <v>431</v>
      </c>
      <c r="J19" s="442" t="s">
        <v>69</v>
      </c>
    </row>
    <row r="20" spans="1:10" ht="14.4" customHeight="1" x14ac:dyDescent="0.3">
      <c r="A20" s="438" t="s">
        <v>434</v>
      </c>
      <c r="B20" s="439" t="s">
        <v>435</v>
      </c>
      <c r="C20" s="440" t="s">
        <v>431</v>
      </c>
      <c r="D20" s="440" t="s">
        <v>431</v>
      </c>
      <c r="E20" s="440"/>
      <c r="F20" s="440" t="s">
        <v>431</v>
      </c>
      <c r="G20" s="440" t="s">
        <v>431</v>
      </c>
      <c r="H20" s="440" t="s">
        <v>431</v>
      </c>
      <c r="I20" s="441" t="s">
        <v>431</v>
      </c>
      <c r="J20" s="442" t="s">
        <v>0</v>
      </c>
    </row>
    <row r="21" spans="1:10" ht="14.4" customHeight="1" x14ac:dyDescent="0.3">
      <c r="A21" s="438" t="s">
        <v>434</v>
      </c>
      <c r="B21" s="439" t="s">
        <v>267</v>
      </c>
      <c r="C21" s="440">
        <v>6.9919200000000004</v>
      </c>
      <c r="D21" s="440">
        <v>5.45444</v>
      </c>
      <c r="E21" s="440"/>
      <c r="F21" s="440">
        <v>0.69420000000000004</v>
      </c>
      <c r="G21" s="440">
        <v>51.113964568486331</v>
      </c>
      <c r="H21" s="440">
        <v>-50.419764568486329</v>
      </c>
      <c r="I21" s="441">
        <v>1.3581415682789753E-2</v>
      </c>
      <c r="J21" s="442" t="s">
        <v>1</v>
      </c>
    </row>
    <row r="22" spans="1:10" ht="14.4" customHeight="1" x14ac:dyDescent="0.3">
      <c r="A22" s="438" t="s">
        <v>434</v>
      </c>
      <c r="B22" s="439" t="s">
        <v>268</v>
      </c>
      <c r="C22" s="440">
        <v>2.5730999999999997</v>
      </c>
      <c r="D22" s="440">
        <v>4.82423</v>
      </c>
      <c r="E22" s="440"/>
      <c r="F22" s="440">
        <v>15.26294</v>
      </c>
      <c r="G22" s="440">
        <v>9.2238589671446665</v>
      </c>
      <c r="H22" s="440">
        <v>6.0390810328553339</v>
      </c>
      <c r="I22" s="441">
        <v>1.6547239126667599</v>
      </c>
      <c r="J22" s="442" t="s">
        <v>1</v>
      </c>
    </row>
    <row r="23" spans="1:10" ht="14.4" customHeight="1" x14ac:dyDescent="0.3">
      <c r="A23" s="438" t="s">
        <v>434</v>
      </c>
      <c r="B23" s="439" t="s">
        <v>269</v>
      </c>
      <c r="C23" s="440">
        <v>0</v>
      </c>
      <c r="D23" s="440">
        <v>0</v>
      </c>
      <c r="E23" s="440"/>
      <c r="F23" s="440">
        <v>0</v>
      </c>
      <c r="G23" s="440">
        <v>0.33333342521850001</v>
      </c>
      <c r="H23" s="440">
        <v>-0.33333342521850001</v>
      </c>
      <c r="I23" s="441">
        <v>0</v>
      </c>
      <c r="J23" s="442" t="s">
        <v>1</v>
      </c>
    </row>
    <row r="24" spans="1:10" ht="14.4" customHeight="1" x14ac:dyDescent="0.3">
      <c r="A24" s="438" t="s">
        <v>434</v>
      </c>
      <c r="B24" s="439" t="s">
        <v>270</v>
      </c>
      <c r="C24" s="440" t="s">
        <v>431</v>
      </c>
      <c r="D24" s="440" t="s">
        <v>431</v>
      </c>
      <c r="E24" s="440"/>
      <c r="F24" s="440">
        <v>7.5681500000000002</v>
      </c>
      <c r="G24" s="440">
        <v>0</v>
      </c>
      <c r="H24" s="440">
        <v>7.5681500000000002</v>
      </c>
      <c r="I24" s="441" t="s">
        <v>431</v>
      </c>
      <c r="J24" s="442" t="s">
        <v>1</v>
      </c>
    </row>
    <row r="25" spans="1:10" ht="14.4" customHeight="1" x14ac:dyDescent="0.3">
      <c r="A25" s="438" t="s">
        <v>434</v>
      </c>
      <c r="B25" s="439" t="s">
        <v>271</v>
      </c>
      <c r="C25" s="440">
        <v>0.124</v>
      </c>
      <c r="D25" s="440">
        <v>0</v>
      </c>
      <c r="E25" s="440"/>
      <c r="F25" s="440">
        <v>9.8000000000000004E-2</v>
      </c>
      <c r="G25" s="440">
        <v>0.63579858790066668</v>
      </c>
      <c r="H25" s="440">
        <v>-0.5377985879006667</v>
      </c>
      <c r="I25" s="441">
        <v>0.15413686325347883</v>
      </c>
      <c r="J25" s="442" t="s">
        <v>1</v>
      </c>
    </row>
    <row r="26" spans="1:10" ht="14.4" customHeight="1" x14ac:dyDescent="0.3">
      <c r="A26" s="438" t="s">
        <v>434</v>
      </c>
      <c r="B26" s="439" t="s">
        <v>272</v>
      </c>
      <c r="C26" s="440">
        <v>1.94855</v>
      </c>
      <c r="D26" s="440">
        <v>0</v>
      </c>
      <c r="E26" s="440"/>
      <c r="F26" s="440">
        <v>0</v>
      </c>
      <c r="G26" s="440">
        <v>3.7259579876599997</v>
      </c>
      <c r="H26" s="440">
        <v>-3.7259579876599997</v>
      </c>
      <c r="I26" s="441">
        <v>0</v>
      </c>
      <c r="J26" s="442" t="s">
        <v>1</v>
      </c>
    </row>
    <row r="27" spans="1:10" ht="14.4" customHeight="1" x14ac:dyDescent="0.3">
      <c r="A27" s="438" t="s">
        <v>434</v>
      </c>
      <c r="B27" s="439" t="s">
        <v>436</v>
      </c>
      <c r="C27" s="440">
        <v>11.63757</v>
      </c>
      <c r="D27" s="440">
        <v>10.27867</v>
      </c>
      <c r="E27" s="440"/>
      <c r="F27" s="440">
        <v>23.623290000000001</v>
      </c>
      <c r="G27" s="440">
        <v>65.032913536410163</v>
      </c>
      <c r="H27" s="440">
        <v>-41.409623536410166</v>
      </c>
      <c r="I27" s="441">
        <v>0.36325129408163392</v>
      </c>
      <c r="J27" s="442" t="s">
        <v>437</v>
      </c>
    </row>
    <row r="28" spans="1:10" ht="14.4" customHeight="1" x14ac:dyDescent="0.3">
      <c r="A28" s="438" t="s">
        <v>431</v>
      </c>
      <c r="B28" s="439" t="s">
        <v>431</v>
      </c>
      <c r="C28" s="440" t="s">
        <v>431</v>
      </c>
      <c r="D28" s="440" t="s">
        <v>431</v>
      </c>
      <c r="E28" s="440"/>
      <c r="F28" s="440" t="s">
        <v>431</v>
      </c>
      <c r="G28" s="440" t="s">
        <v>431</v>
      </c>
      <c r="H28" s="440" t="s">
        <v>431</v>
      </c>
      <c r="I28" s="441" t="s">
        <v>431</v>
      </c>
      <c r="J28" s="442" t="s">
        <v>438</v>
      </c>
    </row>
    <row r="29" spans="1:10" ht="14.4" customHeight="1" x14ac:dyDescent="0.3">
      <c r="A29" s="438" t="s">
        <v>439</v>
      </c>
      <c r="B29" s="439" t="s">
        <v>440</v>
      </c>
      <c r="C29" s="440" t="s">
        <v>431</v>
      </c>
      <c r="D29" s="440" t="s">
        <v>431</v>
      </c>
      <c r="E29" s="440"/>
      <c r="F29" s="440" t="s">
        <v>431</v>
      </c>
      <c r="G29" s="440" t="s">
        <v>431</v>
      </c>
      <c r="H29" s="440" t="s">
        <v>431</v>
      </c>
      <c r="I29" s="441" t="s">
        <v>431</v>
      </c>
      <c r="J29" s="442" t="s">
        <v>0</v>
      </c>
    </row>
    <row r="30" spans="1:10" ht="14.4" customHeight="1" x14ac:dyDescent="0.3">
      <c r="A30" s="438" t="s">
        <v>439</v>
      </c>
      <c r="B30" s="439" t="s">
        <v>264</v>
      </c>
      <c r="C30" s="440">
        <v>69.565219999999997</v>
      </c>
      <c r="D30" s="440">
        <v>0</v>
      </c>
      <c r="E30" s="440"/>
      <c r="F30" s="440">
        <v>0</v>
      </c>
      <c r="G30" s="440">
        <v>41.666678152319669</v>
      </c>
      <c r="H30" s="440">
        <v>-41.666678152319669</v>
      </c>
      <c r="I30" s="441">
        <v>0</v>
      </c>
      <c r="J30" s="442" t="s">
        <v>1</v>
      </c>
    </row>
    <row r="31" spans="1:10" ht="14.4" customHeight="1" x14ac:dyDescent="0.3">
      <c r="A31" s="438" t="s">
        <v>439</v>
      </c>
      <c r="B31" s="439" t="s">
        <v>265</v>
      </c>
      <c r="C31" s="440">
        <v>47.885240000000003</v>
      </c>
      <c r="D31" s="440">
        <v>47.2</v>
      </c>
      <c r="E31" s="440"/>
      <c r="F31" s="440">
        <v>43.669999999999995</v>
      </c>
      <c r="G31" s="440">
        <v>83.333356304639338</v>
      </c>
      <c r="H31" s="440">
        <v>-39.663356304639343</v>
      </c>
      <c r="I31" s="441">
        <v>0.52403985554544141</v>
      </c>
      <c r="J31" s="442" t="s">
        <v>1</v>
      </c>
    </row>
    <row r="32" spans="1:10" ht="14.4" customHeight="1" x14ac:dyDescent="0.3">
      <c r="A32" s="438" t="s">
        <v>439</v>
      </c>
      <c r="B32" s="439" t="s">
        <v>266</v>
      </c>
      <c r="C32" s="440" t="s">
        <v>431</v>
      </c>
      <c r="D32" s="440">
        <v>0</v>
      </c>
      <c r="E32" s="440"/>
      <c r="F32" s="440">
        <v>0</v>
      </c>
      <c r="G32" s="440">
        <v>7.5000020674175003</v>
      </c>
      <c r="H32" s="440">
        <v>-7.5000020674175003</v>
      </c>
      <c r="I32" s="441">
        <v>0</v>
      </c>
      <c r="J32" s="442" t="s">
        <v>1</v>
      </c>
    </row>
    <row r="33" spans="1:10" ht="14.4" customHeight="1" x14ac:dyDescent="0.3">
      <c r="A33" s="438" t="s">
        <v>439</v>
      </c>
      <c r="B33" s="439" t="s">
        <v>267</v>
      </c>
      <c r="C33" s="440">
        <v>0.12</v>
      </c>
      <c r="D33" s="440">
        <v>5.8277999999999999</v>
      </c>
      <c r="E33" s="440"/>
      <c r="F33" s="440">
        <v>13.931629999999998</v>
      </c>
      <c r="G33" s="440">
        <v>21.844038827645335</v>
      </c>
      <c r="H33" s="440">
        <v>-7.9124088276453364</v>
      </c>
      <c r="I33" s="441">
        <v>0.63777720365376911</v>
      </c>
      <c r="J33" s="442" t="s">
        <v>1</v>
      </c>
    </row>
    <row r="34" spans="1:10" ht="14.4" customHeight="1" x14ac:dyDescent="0.3">
      <c r="A34" s="438" t="s">
        <v>439</v>
      </c>
      <c r="B34" s="439" t="s">
        <v>268</v>
      </c>
      <c r="C34" s="440">
        <v>3.7679999999999998</v>
      </c>
      <c r="D34" s="440">
        <v>4.0095000000000001</v>
      </c>
      <c r="E34" s="440"/>
      <c r="F34" s="440">
        <v>6.2725799999999996</v>
      </c>
      <c r="G34" s="440">
        <v>9.9694887764143338</v>
      </c>
      <c r="H34" s="440">
        <v>-3.6969087764143342</v>
      </c>
      <c r="I34" s="441">
        <v>0.6291776981423135</v>
      </c>
      <c r="J34" s="442" t="s">
        <v>1</v>
      </c>
    </row>
    <row r="35" spans="1:10" ht="14.4" customHeight="1" x14ac:dyDescent="0.3">
      <c r="A35" s="438" t="s">
        <v>439</v>
      </c>
      <c r="B35" s="439" t="s">
        <v>270</v>
      </c>
      <c r="C35" s="440">
        <v>19.996770000000001</v>
      </c>
      <c r="D35" s="440">
        <v>21.823090000000001</v>
      </c>
      <c r="E35" s="440"/>
      <c r="F35" s="440">
        <v>9.5716800000000006</v>
      </c>
      <c r="G35" s="440">
        <v>34.603445340052168</v>
      </c>
      <c r="H35" s="440">
        <v>-25.031765340052168</v>
      </c>
      <c r="I35" s="441">
        <v>0.27661060642771157</v>
      </c>
      <c r="J35" s="442" t="s">
        <v>1</v>
      </c>
    </row>
    <row r="36" spans="1:10" ht="14.4" customHeight="1" x14ac:dyDescent="0.3">
      <c r="A36" s="438" t="s">
        <v>439</v>
      </c>
      <c r="B36" s="439" t="s">
        <v>271</v>
      </c>
      <c r="C36" s="440">
        <v>0</v>
      </c>
      <c r="D36" s="440">
        <v>1.2545299999999999</v>
      </c>
      <c r="E36" s="440"/>
      <c r="F36" s="440">
        <v>6.2E-2</v>
      </c>
      <c r="G36" s="440">
        <v>1.0308685381918334</v>
      </c>
      <c r="H36" s="440">
        <v>-0.96886853819183338</v>
      </c>
      <c r="I36" s="441">
        <v>6.0143459328722351E-2</v>
      </c>
      <c r="J36" s="442" t="s">
        <v>1</v>
      </c>
    </row>
    <row r="37" spans="1:10" ht="14.4" customHeight="1" x14ac:dyDescent="0.3">
      <c r="A37" s="438" t="s">
        <v>439</v>
      </c>
      <c r="B37" s="439" t="s">
        <v>272</v>
      </c>
      <c r="C37" s="440">
        <v>3.03044</v>
      </c>
      <c r="D37" s="440">
        <v>1.5009999999999999</v>
      </c>
      <c r="E37" s="440"/>
      <c r="F37" s="440">
        <v>0.75</v>
      </c>
      <c r="G37" s="440">
        <v>6.2740447688964993</v>
      </c>
      <c r="H37" s="440">
        <v>-5.5240447688964993</v>
      </c>
      <c r="I37" s="441">
        <v>0.11954010971010534</v>
      </c>
      <c r="J37" s="442" t="s">
        <v>1</v>
      </c>
    </row>
    <row r="38" spans="1:10" ht="14.4" customHeight="1" x14ac:dyDescent="0.3">
      <c r="A38" s="438" t="s">
        <v>439</v>
      </c>
      <c r="B38" s="439" t="s">
        <v>441</v>
      </c>
      <c r="C38" s="440">
        <v>144.36566999999999</v>
      </c>
      <c r="D38" s="440">
        <v>81.615920000000003</v>
      </c>
      <c r="E38" s="440"/>
      <c r="F38" s="440">
        <v>74.257889999999989</v>
      </c>
      <c r="G38" s="440">
        <v>206.22192277557667</v>
      </c>
      <c r="H38" s="440">
        <v>-131.9640327755767</v>
      </c>
      <c r="I38" s="441">
        <v>0.36008727394522438</v>
      </c>
      <c r="J38" s="442" t="s">
        <v>437</v>
      </c>
    </row>
    <row r="39" spans="1:10" ht="14.4" customHeight="1" x14ac:dyDescent="0.3">
      <c r="A39" s="438" t="s">
        <v>431</v>
      </c>
      <c r="B39" s="439" t="s">
        <v>431</v>
      </c>
      <c r="C39" s="440" t="s">
        <v>431</v>
      </c>
      <c r="D39" s="440" t="s">
        <v>431</v>
      </c>
      <c r="E39" s="440"/>
      <c r="F39" s="440" t="s">
        <v>431</v>
      </c>
      <c r="G39" s="440" t="s">
        <v>431</v>
      </c>
      <c r="H39" s="440" t="s">
        <v>431</v>
      </c>
      <c r="I39" s="441" t="s">
        <v>431</v>
      </c>
      <c r="J39" s="442" t="s">
        <v>438</v>
      </c>
    </row>
    <row r="40" spans="1:10" ht="14.4" customHeight="1" x14ac:dyDescent="0.3">
      <c r="A40" s="438" t="s">
        <v>442</v>
      </c>
      <c r="B40" s="439" t="s">
        <v>443</v>
      </c>
      <c r="C40" s="440" t="s">
        <v>431</v>
      </c>
      <c r="D40" s="440" t="s">
        <v>431</v>
      </c>
      <c r="E40" s="440"/>
      <c r="F40" s="440" t="s">
        <v>431</v>
      </c>
      <c r="G40" s="440" t="s">
        <v>431</v>
      </c>
      <c r="H40" s="440" t="s">
        <v>431</v>
      </c>
      <c r="I40" s="441" t="s">
        <v>431</v>
      </c>
      <c r="J40" s="442" t="s">
        <v>0</v>
      </c>
    </row>
    <row r="41" spans="1:10" ht="14.4" customHeight="1" x14ac:dyDescent="0.3">
      <c r="A41" s="438" t="s">
        <v>442</v>
      </c>
      <c r="B41" s="439" t="s">
        <v>263</v>
      </c>
      <c r="C41" s="440">
        <v>2.8317999999999999</v>
      </c>
      <c r="D41" s="440">
        <v>10.25656</v>
      </c>
      <c r="E41" s="440"/>
      <c r="F41" s="440">
        <v>0</v>
      </c>
      <c r="G41" s="440">
        <v>11.666669882649501</v>
      </c>
      <c r="H41" s="440">
        <v>-11.666669882649501</v>
      </c>
      <c r="I41" s="441">
        <v>0</v>
      </c>
      <c r="J41" s="442" t="s">
        <v>1</v>
      </c>
    </row>
    <row r="42" spans="1:10" ht="14.4" customHeight="1" x14ac:dyDescent="0.3">
      <c r="A42" s="438" t="s">
        <v>442</v>
      </c>
      <c r="B42" s="439" t="s">
        <v>267</v>
      </c>
      <c r="C42" s="440">
        <v>3.0570499999999998</v>
      </c>
      <c r="D42" s="440">
        <v>0.99329000000000001</v>
      </c>
      <c r="E42" s="440"/>
      <c r="F42" s="440">
        <v>0</v>
      </c>
      <c r="G42" s="440">
        <v>0.28753308090083335</v>
      </c>
      <c r="H42" s="440">
        <v>-0.28753308090083335</v>
      </c>
      <c r="I42" s="441">
        <v>0</v>
      </c>
      <c r="J42" s="442" t="s">
        <v>1</v>
      </c>
    </row>
    <row r="43" spans="1:10" ht="14.4" customHeight="1" x14ac:dyDescent="0.3">
      <c r="A43" s="438" t="s">
        <v>442</v>
      </c>
      <c r="B43" s="439" t="s">
        <v>268</v>
      </c>
      <c r="C43" s="440">
        <v>0</v>
      </c>
      <c r="D43" s="440">
        <v>3.0855000000000001</v>
      </c>
      <c r="E43" s="440"/>
      <c r="F43" s="440">
        <v>4.0784399999999996</v>
      </c>
      <c r="G43" s="440">
        <v>29.8490856730415</v>
      </c>
      <c r="H43" s="440">
        <v>-25.7706456730415</v>
      </c>
      <c r="I43" s="441">
        <v>0.13663534101761393</v>
      </c>
      <c r="J43" s="442" t="s">
        <v>1</v>
      </c>
    </row>
    <row r="44" spans="1:10" ht="14.4" customHeight="1" x14ac:dyDescent="0.3">
      <c r="A44" s="438" t="s">
        <v>442</v>
      </c>
      <c r="B44" s="439" t="s">
        <v>270</v>
      </c>
      <c r="C44" s="440">
        <v>52.374790000000004</v>
      </c>
      <c r="D44" s="440">
        <v>60.762659999999997</v>
      </c>
      <c r="E44" s="440"/>
      <c r="F44" s="440">
        <v>9.5491399999999995</v>
      </c>
      <c r="G44" s="440">
        <v>58.528911295887667</v>
      </c>
      <c r="H44" s="440">
        <v>-48.979771295887666</v>
      </c>
      <c r="I44" s="441">
        <v>0.16315253075057518</v>
      </c>
      <c r="J44" s="442" t="s">
        <v>1</v>
      </c>
    </row>
    <row r="45" spans="1:10" ht="14.4" customHeight="1" x14ac:dyDescent="0.3">
      <c r="A45" s="438" t="s">
        <v>442</v>
      </c>
      <c r="B45" s="439" t="s">
        <v>273</v>
      </c>
      <c r="C45" s="440">
        <v>2.9982099999999998</v>
      </c>
      <c r="D45" s="440">
        <v>6.9958799999999997</v>
      </c>
      <c r="E45" s="440"/>
      <c r="F45" s="440">
        <v>5.2823599999999997</v>
      </c>
      <c r="G45" s="440">
        <v>16.687411217840502</v>
      </c>
      <c r="H45" s="440">
        <v>-11.405051217840501</v>
      </c>
      <c r="I45" s="441">
        <v>0.31654760172462409</v>
      </c>
      <c r="J45" s="442" t="s">
        <v>1</v>
      </c>
    </row>
    <row r="46" spans="1:10" ht="14.4" customHeight="1" x14ac:dyDescent="0.3">
      <c r="A46" s="438" t="s">
        <v>442</v>
      </c>
      <c r="B46" s="439" t="s">
        <v>444</v>
      </c>
      <c r="C46" s="440">
        <v>61.261850000000003</v>
      </c>
      <c r="D46" s="440">
        <v>82.093890000000002</v>
      </c>
      <c r="E46" s="440"/>
      <c r="F46" s="440">
        <v>18.909939999999999</v>
      </c>
      <c r="G46" s="440">
        <v>117.01961115032</v>
      </c>
      <c r="H46" s="440">
        <v>-98.109671150319997</v>
      </c>
      <c r="I46" s="441">
        <v>0.16159633256436681</v>
      </c>
      <c r="J46" s="442" t="s">
        <v>437</v>
      </c>
    </row>
    <row r="47" spans="1:10" ht="14.4" customHeight="1" x14ac:dyDescent="0.3">
      <c r="A47" s="438" t="s">
        <v>431</v>
      </c>
      <c r="B47" s="439" t="s">
        <v>431</v>
      </c>
      <c r="C47" s="440" t="s">
        <v>431</v>
      </c>
      <c r="D47" s="440" t="s">
        <v>431</v>
      </c>
      <c r="E47" s="440"/>
      <c r="F47" s="440" t="s">
        <v>431</v>
      </c>
      <c r="G47" s="440" t="s">
        <v>431</v>
      </c>
      <c r="H47" s="440" t="s">
        <v>431</v>
      </c>
      <c r="I47" s="441" t="s">
        <v>431</v>
      </c>
      <c r="J47" s="442" t="s">
        <v>438</v>
      </c>
    </row>
    <row r="48" spans="1:10" ht="14.4" customHeight="1" x14ac:dyDescent="0.3">
      <c r="A48" s="438" t="s">
        <v>429</v>
      </c>
      <c r="B48" s="439" t="s">
        <v>432</v>
      </c>
      <c r="C48" s="440">
        <v>217.26509000000001</v>
      </c>
      <c r="D48" s="440">
        <v>173.98847999999998</v>
      </c>
      <c r="E48" s="440"/>
      <c r="F48" s="440">
        <v>116.79111999999999</v>
      </c>
      <c r="G48" s="440">
        <v>388.27444746230691</v>
      </c>
      <c r="H48" s="440">
        <v>-271.48332746230693</v>
      </c>
      <c r="I48" s="441">
        <v>0.30079527706066184</v>
      </c>
      <c r="J48" s="442" t="s">
        <v>433</v>
      </c>
    </row>
  </sheetData>
  <mergeCells count="3">
    <mergeCell ref="A1:I1"/>
    <mergeCell ref="F3:I3"/>
    <mergeCell ref="C4:D4"/>
  </mergeCells>
  <conditionalFormatting sqref="F18 F49:F65537">
    <cfRule type="cellIs" dxfId="23" priority="18" stopIfTrue="1" operator="greaterThan">
      <formula>1</formula>
    </cfRule>
  </conditionalFormatting>
  <conditionalFormatting sqref="H5:H17">
    <cfRule type="expression" dxfId="22" priority="14">
      <formula>$H5&gt;0</formula>
    </cfRule>
  </conditionalFormatting>
  <conditionalFormatting sqref="I5:I17">
    <cfRule type="expression" dxfId="21" priority="15">
      <formula>$I5&gt;1</formula>
    </cfRule>
  </conditionalFormatting>
  <conditionalFormatting sqref="B5:B17">
    <cfRule type="expression" dxfId="20" priority="11">
      <formula>OR($J5="NS",$J5="SumaNS",$J5="Účet")</formula>
    </cfRule>
  </conditionalFormatting>
  <conditionalFormatting sqref="F5:I17 B5:D17">
    <cfRule type="expression" dxfId="19" priority="17">
      <formula>AND($J5&lt;&gt;"",$J5&lt;&gt;"mezeraKL")</formula>
    </cfRule>
  </conditionalFormatting>
  <conditionalFormatting sqref="B5:D17 F5:I17">
    <cfRule type="expression" dxfId="18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17" priority="13">
      <formula>OR($J5="SumaNS",$J5="NS")</formula>
    </cfRule>
  </conditionalFormatting>
  <conditionalFormatting sqref="A5:A17">
    <cfRule type="expression" dxfId="16" priority="9">
      <formula>AND($J5&lt;&gt;"mezeraKL",$J5&lt;&gt;"")</formula>
    </cfRule>
  </conditionalFormatting>
  <conditionalFormatting sqref="A5:A17">
    <cfRule type="expression" dxfId="15" priority="10">
      <formula>AND($J5&lt;&gt;"",$J5&lt;&gt;"mezeraKL")</formula>
    </cfRule>
  </conditionalFormatting>
  <conditionalFormatting sqref="H19:H48">
    <cfRule type="expression" dxfId="14" priority="5">
      <formula>$H19&gt;0</formula>
    </cfRule>
  </conditionalFormatting>
  <conditionalFormatting sqref="A19:A48">
    <cfRule type="expression" dxfId="13" priority="2">
      <formula>AND($J19&lt;&gt;"mezeraKL",$J19&lt;&gt;"")</formula>
    </cfRule>
  </conditionalFormatting>
  <conditionalFormatting sqref="I19:I48">
    <cfRule type="expression" dxfId="12" priority="6">
      <formula>$I19&gt;1</formula>
    </cfRule>
  </conditionalFormatting>
  <conditionalFormatting sqref="B19:B48">
    <cfRule type="expression" dxfId="11" priority="1">
      <formula>OR($J19="NS",$J19="SumaNS",$J19="Účet")</formula>
    </cfRule>
  </conditionalFormatting>
  <conditionalFormatting sqref="A19:D48 F19:I48">
    <cfRule type="expression" dxfId="10" priority="8">
      <formula>AND($J19&lt;&gt;"",$J19&lt;&gt;"mezeraKL")</formula>
    </cfRule>
  </conditionalFormatting>
  <conditionalFormatting sqref="B19:D48 F19:I48">
    <cfRule type="expression" dxfId="9" priority="3">
      <formula>OR($J19="KL",$J19="SumaKL")</formula>
    </cfRule>
    <cfRule type="expression" priority="7" stopIfTrue="1">
      <formula>OR($J19="mezeraNS",$J19="mezeraKL")</formula>
    </cfRule>
  </conditionalFormatting>
  <conditionalFormatting sqref="B19:D48 F19:I48">
    <cfRule type="expression" dxfId="8" priority="4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3" hidden="1" customWidth="1" outlineLevel="1"/>
    <col min="2" max="2" width="28.33203125" style="133" hidden="1" customWidth="1" outlineLevel="1"/>
    <col min="3" max="3" width="5.33203125" style="213" bestFit="1" customWidth="1" collapsed="1"/>
    <col min="4" max="4" width="18.77734375" style="217" customWidth="1"/>
    <col min="5" max="5" width="9" style="213" bestFit="1" customWidth="1"/>
    <col min="6" max="6" width="18.77734375" style="217" customWidth="1"/>
    <col min="7" max="7" width="12.44140625" style="213" hidden="1" customWidth="1" outlineLevel="1"/>
    <col min="8" max="8" width="25.77734375" style="213" customWidth="1" collapsed="1"/>
    <col min="9" max="9" width="7.77734375" style="211" customWidth="1"/>
    <col min="10" max="10" width="10" style="211" customWidth="1"/>
    <col min="11" max="11" width="11.109375" style="211" customWidth="1"/>
    <col min="12" max="16384" width="8.88671875" style="133"/>
  </cols>
  <sheetData>
    <row r="1" spans="1:11" ht="18.600000000000001" customHeight="1" thickBot="1" x14ac:dyDescent="0.4">
      <c r="A1" s="351" t="s">
        <v>994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</row>
    <row r="2" spans="1:11" ht="14.4" customHeight="1" thickBot="1" x14ac:dyDescent="0.35">
      <c r="A2" s="239" t="s">
        <v>251</v>
      </c>
      <c r="B2" s="62"/>
      <c r="C2" s="215"/>
      <c r="D2" s="215"/>
      <c r="E2" s="215"/>
      <c r="F2" s="215"/>
      <c r="G2" s="215"/>
      <c r="H2" s="215"/>
      <c r="I2" s="216"/>
      <c r="J2" s="216"/>
      <c r="K2" s="216"/>
    </row>
    <row r="3" spans="1:11" ht="14.4" customHeight="1" thickBot="1" x14ac:dyDescent="0.35">
      <c r="A3" s="62"/>
      <c r="B3" s="62"/>
      <c r="C3" s="347"/>
      <c r="D3" s="348"/>
      <c r="E3" s="348"/>
      <c r="F3" s="348"/>
      <c r="G3" s="348"/>
      <c r="H3" s="145" t="s">
        <v>132</v>
      </c>
      <c r="I3" s="99">
        <f>IF(J3&lt;&gt;0,K3/J3,0)</f>
        <v>7.600405812996982</v>
      </c>
      <c r="J3" s="99">
        <f>SUBTOTAL(9,J5:J1048576)</f>
        <v>14588</v>
      </c>
      <c r="K3" s="100">
        <f>SUBTOTAL(9,K5:K1048576)</f>
        <v>110874.71999999997</v>
      </c>
    </row>
    <row r="4" spans="1:11" s="212" customFormat="1" ht="14.4" customHeight="1" thickBot="1" x14ac:dyDescent="0.35">
      <c r="A4" s="443" t="s">
        <v>4</v>
      </c>
      <c r="B4" s="444" t="s">
        <v>5</v>
      </c>
      <c r="C4" s="444" t="s">
        <v>0</v>
      </c>
      <c r="D4" s="444" t="s">
        <v>6</v>
      </c>
      <c r="E4" s="444" t="s">
        <v>7</v>
      </c>
      <c r="F4" s="444" t="s">
        <v>1</v>
      </c>
      <c r="G4" s="444" t="s">
        <v>71</v>
      </c>
      <c r="H4" s="445" t="s">
        <v>11</v>
      </c>
      <c r="I4" s="446" t="s">
        <v>146</v>
      </c>
      <c r="J4" s="446" t="s">
        <v>13</v>
      </c>
      <c r="K4" s="447" t="s">
        <v>160</v>
      </c>
    </row>
    <row r="5" spans="1:11" ht="14.4" customHeight="1" x14ac:dyDescent="0.3">
      <c r="A5" s="511" t="s">
        <v>429</v>
      </c>
      <c r="B5" s="512" t="s">
        <v>430</v>
      </c>
      <c r="C5" s="515" t="s">
        <v>439</v>
      </c>
      <c r="D5" s="558" t="s">
        <v>537</v>
      </c>
      <c r="E5" s="515" t="s">
        <v>982</v>
      </c>
      <c r="F5" s="558" t="s">
        <v>983</v>
      </c>
      <c r="G5" s="515" t="s">
        <v>896</v>
      </c>
      <c r="H5" s="515" t="s">
        <v>897</v>
      </c>
      <c r="I5" s="119">
        <v>0.43</v>
      </c>
      <c r="J5" s="119">
        <v>10000</v>
      </c>
      <c r="K5" s="538">
        <v>4300</v>
      </c>
    </row>
    <row r="6" spans="1:11" ht="14.4" customHeight="1" x14ac:dyDescent="0.3">
      <c r="A6" s="526" t="s">
        <v>429</v>
      </c>
      <c r="B6" s="527" t="s">
        <v>430</v>
      </c>
      <c r="C6" s="530" t="s">
        <v>439</v>
      </c>
      <c r="D6" s="559" t="s">
        <v>537</v>
      </c>
      <c r="E6" s="530" t="s">
        <v>982</v>
      </c>
      <c r="F6" s="559" t="s">
        <v>983</v>
      </c>
      <c r="G6" s="530" t="s">
        <v>898</v>
      </c>
      <c r="H6" s="530" t="s">
        <v>899</v>
      </c>
      <c r="I6" s="539">
        <v>0.85</v>
      </c>
      <c r="J6" s="539">
        <v>200</v>
      </c>
      <c r="K6" s="540">
        <v>170</v>
      </c>
    </row>
    <row r="7" spans="1:11" ht="14.4" customHeight="1" x14ac:dyDescent="0.3">
      <c r="A7" s="526" t="s">
        <v>429</v>
      </c>
      <c r="B7" s="527" t="s">
        <v>430</v>
      </c>
      <c r="C7" s="530" t="s">
        <v>439</v>
      </c>
      <c r="D7" s="559" t="s">
        <v>537</v>
      </c>
      <c r="E7" s="530" t="s">
        <v>982</v>
      </c>
      <c r="F7" s="559" t="s">
        <v>983</v>
      </c>
      <c r="G7" s="530" t="s">
        <v>900</v>
      </c>
      <c r="H7" s="530" t="s">
        <v>901</v>
      </c>
      <c r="I7" s="539">
        <v>1.51</v>
      </c>
      <c r="J7" s="539">
        <v>200</v>
      </c>
      <c r="K7" s="540">
        <v>302</v>
      </c>
    </row>
    <row r="8" spans="1:11" ht="14.4" customHeight="1" x14ac:dyDescent="0.3">
      <c r="A8" s="526" t="s">
        <v>429</v>
      </c>
      <c r="B8" s="527" t="s">
        <v>430</v>
      </c>
      <c r="C8" s="530" t="s">
        <v>439</v>
      </c>
      <c r="D8" s="559" t="s">
        <v>537</v>
      </c>
      <c r="E8" s="530" t="s">
        <v>982</v>
      </c>
      <c r="F8" s="559" t="s">
        <v>983</v>
      </c>
      <c r="G8" s="530" t="s">
        <v>902</v>
      </c>
      <c r="H8" s="530" t="s">
        <v>903</v>
      </c>
      <c r="I8" s="539">
        <v>2.06</v>
      </c>
      <c r="J8" s="539">
        <v>100</v>
      </c>
      <c r="K8" s="540">
        <v>206</v>
      </c>
    </row>
    <row r="9" spans="1:11" ht="14.4" customHeight="1" x14ac:dyDescent="0.3">
      <c r="A9" s="526" t="s">
        <v>429</v>
      </c>
      <c r="B9" s="527" t="s">
        <v>430</v>
      </c>
      <c r="C9" s="530" t="s">
        <v>439</v>
      </c>
      <c r="D9" s="559" t="s">
        <v>537</v>
      </c>
      <c r="E9" s="530" t="s">
        <v>982</v>
      </c>
      <c r="F9" s="559" t="s">
        <v>983</v>
      </c>
      <c r="G9" s="530" t="s">
        <v>904</v>
      </c>
      <c r="H9" s="530" t="s">
        <v>905</v>
      </c>
      <c r="I9" s="539">
        <v>0.91</v>
      </c>
      <c r="J9" s="539">
        <v>250</v>
      </c>
      <c r="K9" s="540">
        <v>227.5</v>
      </c>
    </row>
    <row r="10" spans="1:11" ht="14.4" customHeight="1" x14ac:dyDescent="0.3">
      <c r="A10" s="526" t="s">
        <v>429</v>
      </c>
      <c r="B10" s="527" t="s">
        <v>430</v>
      </c>
      <c r="C10" s="530" t="s">
        <v>439</v>
      </c>
      <c r="D10" s="559" t="s">
        <v>537</v>
      </c>
      <c r="E10" s="530" t="s">
        <v>982</v>
      </c>
      <c r="F10" s="559" t="s">
        <v>983</v>
      </c>
      <c r="G10" s="530" t="s">
        <v>906</v>
      </c>
      <c r="H10" s="530" t="s">
        <v>907</v>
      </c>
      <c r="I10" s="539">
        <v>40.340000000000003</v>
      </c>
      <c r="J10" s="539">
        <v>20</v>
      </c>
      <c r="K10" s="540">
        <v>806.77</v>
      </c>
    </row>
    <row r="11" spans="1:11" ht="14.4" customHeight="1" x14ac:dyDescent="0.3">
      <c r="A11" s="526" t="s">
        <v>429</v>
      </c>
      <c r="B11" s="527" t="s">
        <v>430</v>
      </c>
      <c r="C11" s="530" t="s">
        <v>439</v>
      </c>
      <c r="D11" s="559" t="s">
        <v>537</v>
      </c>
      <c r="E11" s="530" t="s">
        <v>982</v>
      </c>
      <c r="F11" s="559" t="s">
        <v>983</v>
      </c>
      <c r="G11" s="530" t="s">
        <v>908</v>
      </c>
      <c r="H11" s="530" t="s">
        <v>909</v>
      </c>
      <c r="I11" s="539">
        <v>2.88</v>
      </c>
      <c r="J11" s="539">
        <v>50</v>
      </c>
      <c r="K11" s="540">
        <v>144</v>
      </c>
    </row>
    <row r="12" spans="1:11" ht="14.4" customHeight="1" x14ac:dyDescent="0.3">
      <c r="A12" s="526" t="s">
        <v>429</v>
      </c>
      <c r="B12" s="527" t="s">
        <v>430</v>
      </c>
      <c r="C12" s="530" t="s">
        <v>439</v>
      </c>
      <c r="D12" s="559" t="s">
        <v>537</v>
      </c>
      <c r="E12" s="530" t="s">
        <v>982</v>
      </c>
      <c r="F12" s="559" t="s">
        <v>983</v>
      </c>
      <c r="G12" s="530" t="s">
        <v>910</v>
      </c>
      <c r="H12" s="530" t="s">
        <v>911</v>
      </c>
      <c r="I12" s="539">
        <v>4.79</v>
      </c>
      <c r="J12" s="539">
        <v>180</v>
      </c>
      <c r="K12" s="540">
        <v>862.5</v>
      </c>
    </row>
    <row r="13" spans="1:11" ht="14.4" customHeight="1" x14ac:dyDescent="0.3">
      <c r="A13" s="526" t="s">
        <v>429</v>
      </c>
      <c r="B13" s="527" t="s">
        <v>430</v>
      </c>
      <c r="C13" s="530" t="s">
        <v>439</v>
      </c>
      <c r="D13" s="559" t="s">
        <v>537</v>
      </c>
      <c r="E13" s="530" t="s">
        <v>982</v>
      </c>
      <c r="F13" s="559" t="s">
        <v>983</v>
      </c>
      <c r="G13" s="530" t="s">
        <v>912</v>
      </c>
      <c r="H13" s="530" t="s">
        <v>913</v>
      </c>
      <c r="I13" s="539">
        <v>7.92</v>
      </c>
      <c r="J13" s="539">
        <v>100</v>
      </c>
      <c r="K13" s="540">
        <v>792.26</v>
      </c>
    </row>
    <row r="14" spans="1:11" ht="14.4" customHeight="1" x14ac:dyDescent="0.3">
      <c r="A14" s="526" t="s">
        <v>429</v>
      </c>
      <c r="B14" s="527" t="s">
        <v>430</v>
      </c>
      <c r="C14" s="530" t="s">
        <v>439</v>
      </c>
      <c r="D14" s="559" t="s">
        <v>537</v>
      </c>
      <c r="E14" s="530" t="s">
        <v>982</v>
      </c>
      <c r="F14" s="559" t="s">
        <v>983</v>
      </c>
      <c r="G14" s="530" t="s">
        <v>914</v>
      </c>
      <c r="H14" s="530" t="s">
        <v>915</v>
      </c>
      <c r="I14" s="539">
        <v>517.5</v>
      </c>
      <c r="J14" s="539">
        <v>10</v>
      </c>
      <c r="K14" s="540">
        <v>5175</v>
      </c>
    </row>
    <row r="15" spans="1:11" ht="14.4" customHeight="1" x14ac:dyDescent="0.3">
      <c r="A15" s="526" t="s">
        <v>429</v>
      </c>
      <c r="B15" s="527" t="s">
        <v>430</v>
      </c>
      <c r="C15" s="530" t="s">
        <v>439</v>
      </c>
      <c r="D15" s="559" t="s">
        <v>537</v>
      </c>
      <c r="E15" s="530" t="s">
        <v>982</v>
      </c>
      <c r="F15" s="559" t="s">
        <v>983</v>
      </c>
      <c r="G15" s="530" t="s">
        <v>916</v>
      </c>
      <c r="H15" s="530" t="s">
        <v>917</v>
      </c>
      <c r="I15" s="539">
        <v>73.2</v>
      </c>
      <c r="J15" s="539">
        <v>5</v>
      </c>
      <c r="K15" s="540">
        <v>366</v>
      </c>
    </row>
    <row r="16" spans="1:11" ht="14.4" customHeight="1" x14ac:dyDescent="0.3">
      <c r="A16" s="526" t="s">
        <v>429</v>
      </c>
      <c r="B16" s="527" t="s">
        <v>430</v>
      </c>
      <c r="C16" s="530" t="s">
        <v>439</v>
      </c>
      <c r="D16" s="559" t="s">
        <v>537</v>
      </c>
      <c r="E16" s="530" t="s">
        <v>982</v>
      </c>
      <c r="F16" s="559" t="s">
        <v>983</v>
      </c>
      <c r="G16" s="530" t="s">
        <v>918</v>
      </c>
      <c r="H16" s="530" t="s">
        <v>919</v>
      </c>
      <c r="I16" s="539">
        <v>2.9</v>
      </c>
      <c r="J16" s="539">
        <v>200</v>
      </c>
      <c r="K16" s="540">
        <v>579.6</v>
      </c>
    </row>
    <row r="17" spans="1:11" ht="14.4" customHeight="1" x14ac:dyDescent="0.3">
      <c r="A17" s="526" t="s">
        <v>429</v>
      </c>
      <c r="B17" s="527" t="s">
        <v>430</v>
      </c>
      <c r="C17" s="530" t="s">
        <v>439</v>
      </c>
      <c r="D17" s="559" t="s">
        <v>537</v>
      </c>
      <c r="E17" s="530" t="s">
        <v>984</v>
      </c>
      <c r="F17" s="559" t="s">
        <v>985</v>
      </c>
      <c r="G17" s="530" t="s">
        <v>920</v>
      </c>
      <c r="H17" s="530" t="s">
        <v>921</v>
      </c>
      <c r="I17" s="539">
        <v>0.47</v>
      </c>
      <c r="J17" s="539">
        <v>300</v>
      </c>
      <c r="K17" s="540">
        <v>141</v>
      </c>
    </row>
    <row r="18" spans="1:11" ht="14.4" customHeight="1" x14ac:dyDescent="0.3">
      <c r="A18" s="526" t="s">
        <v>429</v>
      </c>
      <c r="B18" s="527" t="s">
        <v>430</v>
      </c>
      <c r="C18" s="530" t="s">
        <v>439</v>
      </c>
      <c r="D18" s="559" t="s">
        <v>537</v>
      </c>
      <c r="E18" s="530" t="s">
        <v>984</v>
      </c>
      <c r="F18" s="559" t="s">
        <v>985</v>
      </c>
      <c r="G18" s="530" t="s">
        <v>922</v>
      </c>
      <c r="H18" s="530" t="s">
        <v>923</v>
      </c>
      <c r="I18" s="539">
        <v>0.67</v>
      </c>
      <c r="J18" s="539">
        <v>700</v>
      </c>
      <c r="K18" s="540">
        <v>469</v>
      </c>
    </row>
    <row r="19" spans="1:11" ht="14.4" customHeight="1" x14ac:dyDescent="0.3">
      <c r="A19" s="526" t="s">
        <v>429</v>
      </c>
      <c r="B19" s="527" t="s">
        <v>430</v>
      </c>
      <c r="C19" s="530" t="s">
        <v>439</v>
      </c>
      <c r="D19" s="559" t="s">
        <v>537</v>
      </c>
      <c r="E19" s="530" t="s">
        <v>984</v>
      </c>
      <c r="F19" s="559" t="s">
        <v>985</v>
      </c>
      <c r="G19" s="530" t="s">
        <v>924</v>
      </c>
      <c r="H19" s="530" t="s">
        <v>925</v>
      </c>
      <c r="I19" s="539">
        <v>2.17</v>
      </c>
      <c r="J19" s="539">
        <v>200</v>
      </c>
      <c r="K19" s="540">
        <v>434.96</v>
      </c>
    </row>
    <row r="20" spans="1:11" ht="14.4" customHeight="1" x14ac:dyDescent="0.3">
      <c r="A20" s="526" t="s">
        <v>429</v>
      </c>
      <c r="B20" s="527" t="s">
        <v>430</v>
      </c>
      <c r="C20" s="530" t="s">
        <v>439</v>
      </c>
      <c r="D20" s="559" t="s">
        <v>537</v>
      </c>
      <c r="E20" s="530" t="s">
        <v>984</v>
      </c>
      <c r="F20" s="559" t="s">
        <v>985</v>
      </c>
      <c r="G20" s="530" t="s">
        <v>926</v>
      </c>
      <c r="H20" s="530" t="s">
        <v>927</v>
      </c>
      <c r="I20" s="539">
        <v>4.01</v>
      </c>
      <c r="J20" s="539">
        <v>50</v>
      </c>
      <c r="K20" s="540">
        <v>200.5</v>
      </c>
    </row>
    <row r="21" spans="1:11" ht="14.4" customHeight="1" x14ac:dyDescent="0.3">
      <c r="A21" s="526" t="s">
        <v>429</v>
      </c>
      <c r="B21" s="527" t="s">
        <v>430</v>
      </c>
      <c r="C21" s="530" t="s">
        <v>439</v>
      </c>
      <c r="D21" s="559" t="s">
        <v>537</v>
      </c>
      <c r="E21" s="530" t="s">
        <v>984</v>
      </c>
      <c r="F21" s="559" t="s">
        <v>985</v>
      </c>
      <c r="G21" s="530" t="s">
        <v>928</v>
      </c>
      <c r="H21" s="530" t="s">
        <v>929</v>
      </c>
      <c r="I21" s="539">
        <v>2.1800000000000002</v>
      </c>
      <c r="J21" s="539">
        <v>200</v>
      </c>
      <c r="K21" s="540">
        <v>436</v>
      </c>
    </row>
    <row r="22" spans="1:11" ht="14.4" customHeight="1" x14ac:dyDescent="0.3">
      <c r="A22" s="526" t="s">
        <v>429</v>
      </c>
      <c r="B22" s="527" t="s">
        <v>430</v>
      </c>
      <c r="C22" s="530" t="s">
        <v>439</v>
      </c>
      <c r="D22" s="559" t="s">
        <v>537</v>
      </c>
      <c r="E22" s="530" t="s">
        <v>984</v>
      </c>
      <c r="F22" s="559" t="s">
        <v>985</v>
      </c>
      <c r="G22" s="530" t="s">
        <v>930</v>
      </c>
      <c r="H22" s="530" t="s">
        <v>931</v>
      </c>
      <c r="I22" s="539">
        <v>2.9050000000000002</v>
      </c>
      <c r="J22" s="539">
        <v>500</v>
      </c>
      <c r="K22" s="540">
        <v>1451</v>
      </c>
    </row>
    <row r="23" spans="1:11" ht="14.4" customHeight="1" x14ac:dyDescent="0.3">
      <c r="A23" s="526" t="s">
        <v>429</v>
      </c>
      <c r="B23" s="527" t="s">
        <v>430</v>
      </c>
      <c r="C23" s="530" t="s">
        <v>439</v>
      </c>
      <c r="D23" s="559" t="s">
        <v>537</v>
      </c>
      <c r="E23" s="530" t="s">
        <v>984</v>
      </c>
      <c r="F23" s="559" t="s">
        <v>985</v>
      </c>
      <c r="G23" s="530" t="s">
        <v>932</v>
      </c>
      <c r="H23" s="530" t="s">
        <v>933</v>
      </c>
      <c r="I23" s="539">
        <v>39.409999999999997</v>
      </c>
      <c r="J23" s="539">
        <v>50</v>
      </c>
      <c r="K23" s="540">
        <v>1970.5</v>
      </c>
    </row>
    <row r="24" spans="1:11" ht="14.4" customHeight="1" x14ac:dyDescent="0.3">
      <c r="A24" s="526" t="s">
        <v>429</v>
      </c>
      <c r="B24" s="527" t="s">
        <v>430</v>
      </c>
      <c r="C24" s="530" t="s">
        <v>439</v>
      </c>
      <c r="D24" s="559" t="s">
        <v>537</v>
      </c>
      <c r="E24" s="530" t="s">
        <v>984</v>
      </c>
      <c r="F24" s="559" t="s">
        <v>985</v>
      </c>
      <c r="G24" s="530" t="s">
        <v>934</v>
      </c>
      <c r="H24" s="530" t="s">
        <v>935</v>
      </c>
      <c r="I24" s="539">
        <v>6.32</v>
      </c>
      <c r="J24" s="539">
        <v>100</v>
      </c>
      <c r="K24" s="540">
        <v>631.62</v>
      </c>
    </row>
    <row r="25" spans="1:11" ht="14.4" customHeight="1" x14ac:dyDescent="0.3">
      <c r="A25" s="526" t="s">
        <v>429</v>
      </c>
      <c r="B25" s="527" t="s">
        <v>430</v>
      </c>
      <c r="C25" s="530" t="s">
        <v>439</v>
      </c>
      <c r="D25" s="559" t="s">
        <v>537</v>
      </c>
      <c r="E25" s="530" t="s">
        <v>984</v>
      </c>
      <c r="F25" s="559" t="s">
        <v>985</v>
      </c>
      <c r="G25" s="530" t="s">
        <v>936</v>
      </c>
      <c r="H25" s="530" t="s">
        <v>937</v>
      </c>
      <c r="I25" s="539">
        <v>5.38</v>
      </c>
      <c r="J25" s="539">
        <v>100</v>
      </c>
      <c r="K25" s="540">
        <v>538</v>
      </c>
    </row>
    <row r="26" spans="1:11" ht="14.4" customHeight="1" x14ac:dyDescent="0.3">
      <c r="A26" s="526" t="s">
        <v>429</v>
      </c>
      <c r="B26" s="527" t="s">
        <v>430</v>
      </c>
      <c r="C26" s="530" t="s">
        <v>439</v>
      </c>
      <c r="D26" s="559" t="s">
        <v>537</v>
      </c>
      <c r="E26" s="530" t="s">
        <v>986</v>
      </c>
      <c r="F26" s="559" t="s">
        <v>987</v>
      </c>
      <c r="G26" s="530" t="s">
        <v>938</v>
      </c>
      <c r="H26" s="530" t="s">
        <v>939</v>
      </c>
      <c r="I26" s="539">
        <v>132.94</v>
      </c>
      <c r="J26" s="539">
        <v>72</v>
      </c>
      <c r="K26" s="540">
        <v>9571.68</v>
      </c>
    </row>
    <row r="27" spans="1:11" ht="14.4" customHeight="1" x14ac:dyDescent="0.3">
      <c r="A27" s="526" t="s">
        <v>429</v>
      </c>
      <c r="B27" s="527" t="s">
        <v>430</v>
      </c>
      <c r="C27" s="530" t="s">
        <v>439</v>
      </c>
      <c r="D27" s="559" t="s">
        <v>537</v>
      </c>
      <c r="E27" s="530" t="s">
        <v>988</v>
      </c>
      <c r="F27" s="559" t="s">
        <v>989</v>
      </c>
      <c r="G27" s="530" t="s">
        <v>940</v>
      </c>
      <c r="H27" s="530" t="s">
        <v>941</v>
      </c>
      <c r="I27" s="539">
        <v>0.31</v>
      </c>
      <c r="J27" s="539">
        <v>200</v>
      </c>
      <c r="K27" s="540">
        <v>62</v>
      </c>
    </row>
    <row r="28" spans="1:11" ht="14.4" customHeight="1" x14ac:dyDescent="0.3">
      <c r="A28" s="526" t="s">
        <v>429</v>
      </c>
      <c r="B28" s="527" t="s">
        <v>430</v>
      </c>
      <c r="C28" s="530" t="s">
        <v>439</v>
      </c>
      <c r="D28" s="559" t="s">
        <v>537</v>
      </c>
      <c r="E28" s="530" t="s">
        <v>990</v>
      </c>
      <c r="F28" s="559" t="s">
        <v>991</v>
      </c>
      <c r="G28" s="530" t="s">
        <v>942</v>
      </c>
      <c r="H28" s="530" t="s">
        <v>943</v>
      </c>
      <c r="I28" s="539">
        <v>7.5</v>
      </c>
      <c r="J28" s="539">
        <v>100</v>
      </c>
      <c r="K28" s="540">
        <v>750</v>
      </c>
    </row>
    <row r="29" spans="1:11" ht="14.4" customHeight="1" x14ac:dyDescent="0.3">
      <c r="A29" s="526" t="s">
        <v>429</v>
      </c>
      <c r="B29" s="527" t="s">
        <v>430</v>
      </c>
      <c r="C29" s="530" t="s">
        <v>439</v>
      </c>
      <c r="D29" s="559" t="s">
        <v>537</v>
      </c>
      <c r="E29" s="530" t="s">
        <v>992</v>
      </c>
      <c r="F29" s="559" t="s">
        <v>993</v>
      </c>
      <c r="G29" s="530" t="s">
        <v>944</v>
      </c>
      <c r="H29" s="530" t="s">
        <v>945</v>
      </c>
      <c r="I29" s="539">
        <v>9850</v>
      </c>
      <c r="J29" s="539">
        <v>2</v>
      </c>
      <c r="K29" s="540">
        <v>19700</v>
      </c>
    </row>
    <row r="30" spans="1:11" ht="14.4" customHeight="1" x14ac:dyDescent="0.3">
      <c r="A30" s="526" t="s">
        <v>429</v>
      </c>
      <c r="B30" s="527" t="s">
        <v>430</v>
      </c>
      <c r="C30" s="530" t="s">
        <v>439</v>
      </c>
      <c r="D30" s="559" t="s">
        <v>537</v>
      </c>
      <c r="E30" s="530" t="s">
        <v>992</v>
      </c>
      <c r="F30" s="559" t="s">
        <v>993</v>
      </c>
      <c r="G30" s="530" t="s">
        <v>946</v>
      </c>
      <c r="H30" s="530" t="s">
        <v>947</v>
      </c>
      <c r="I30" s="539">
        <v>7990</v>
      </c>
      <c r="J30" s="539">
        <v>2</v>
      </c>
      <c r="K30" s="540">
        <v>15980</v>
      </c>
    </row>
    <row r="31" spans="1:11" ht="14.4" customHeight="1" x14ac:dyDescent="0.3">
      <c r="A31" s="526" t="s">
        <v>429</v>
      </c>
      <c r="B31" s="527" t="s">
        <v>430</v>
      </c>
      <c r="C31" s="530" t="s">
        <v>439</v>
      </c>
      <c r="D31" s="559" t="s">
        <v>537</v>
      </c>
      <c r="E31" s="530" t="s">
        <v>992</v>
      </c>
      <c r="F31" s="559" t="s">
        <v>993</v>
      </c>
      <c r="G31" s="530" t="s">
        <v>948</v>
      </c>
      <c r="H31" s="530" t="s">
        <v>949</v>
      </c>
      <c r="I31" s="539">
        <v>7990</v>
      </c>
      <c r="J31" s="539">
        <v>1</v>
      </c>
      <c r="K31" s="540">
        <v>7990</v>
      </c>
    </row>
    <row r="32" spans="1:11" ht="14.4" customHeight="1" x14ac:dyDescent="0.3">
      <c r="A32" s="526" t="s">
        <v>429</v>
      </c>
      <c r="B32" s="527" t="s">
        <v>430</v>
      </c>
      <c r="C32" s="530" t="s">
        <v>442</v>
      </c>
      <c r="D32" s="559" t="s">
        <v>538</v>
      </c>
      <c r="E32" s="530" t="s">
        <v>984</v>
      </c>
      <c r="F32" s="559" t="s">
        <v>985</v>
      </c>
      <c r="G32" s="530" t="s">
        <v>950</v>
      </c>
      <c r="H32" s="530" t="s">
        <v>951</v>
      </c>
      <c r="I32" s="539">
        <v>344.44</v>
      </c>
      <c r="J32" s="539">
        <v>10</v>
      </c>
      <c r="K32" s="540">
        <v>3444.4</v>
      </c>
    </row>
    <row r="33" spans="1:11" ht="14.4" customHeight="1" x14ac:dyDescent="0.3">
      <c r="A33" s="526" t="s">
        <v>429</v>
      </c>
      <c r="B33" s="527" t="s">
        <v>430</v>
      </c>
      <c r="C33" s="530" t="s">
        <v>442</v>
      </c>
      <c r="D33" s="559" t="s">
        <v>538</v>
      </c>
      <c r="E33" s="530" t="s">
        <v>986</v>
      </c>
      <c r="F33" s="559" t="s">
        <v>987</v>
      </c>
      <c r="G33" s="530" t="s">
        <v>952</v>
      </c>
      <c r="H33" s="530" t="s">
        <v>953</v>
      </c>
      <c r="I33" s="539">
        <v>132.63</v>
      </c>
      <c r="J33" s="539">
        <v>72</v>
      </c>
      <c r="K33" s="540">
        <v>9549.14</v>
      </c>
    </row>
    <row r="34" spans="1:11" ht="14.4" customHeight="1" x14ac:dyDescent="0.3">
      <c r="A34" s="526" t="s">
        <v>429</v>
      </c>
      <c r="B34" s="527" t="s">
        <v>430</v>
      </c>
      <c r="C34" s="530" t="s">
        <v>434</v>
      </c>
      <c r="D34" s="559" t="s">
        <v>536</v>
      </c>
      <c r="E34" s="530" t="s">
        <v>982</v>
      </c>
      <c r="F34" s="559" t="s">
        <v>983</v>
      </c>
      <c r="G34" s="530" t="s">
        <v>954</v>
      </c>
      <c r="H34" s="530" t="s">
        <v>955</v>
      </c>
      <c r="I34" s="539">
        <v>2.5099999999999998</v>
      </c>
      <c r="J34" s="539">
        <v>100</v>
      </c>
      <c r="K34" s="540">
        <v>251</v>
      </c>
    </row>
    <row r="35" spans="1:11" ht="14.4" customHeight="1" x14ac:dyDescent="0.3">
      <c r="A35" s="526" t="s">
        <v>429</v>
      </c>
      <c r="B35" s="527" t="s">
        <v>430</v>
      </c>
      <c r="C35" s="530" t="s">
        <v>434</v>
      </c>
      <c r="D35" s="559" t="s">
        <v>536</v>
      </c>
      <c r="E35" s="530" t="s">
        <v>982</v>
      </c>
      <c r="F35" s="559" t="s">
        <v>983</v>
      </c>
      <c r="G35" s="530" t="s">
        <v>956</v>
      </c>
      <c r="H35" s="530" t="s">
        <v>957</v>
      </c>
      <c r="I35" s="539">
        <v>3.96</v>
      </c>
      <c r="J35" s="539">
        <v>100</v>
      </c>
      <c r="K35" s="540">
        <v>396</v>
      </c>
    </row>
    <row r="36" spans="1:11" ht="14.4" customHeight="1" x14ac:dyDescent="0.3">
      <c r="A36" s="526" t="s">
        <v>429</v>
      </c>
      <c r="B36" s="527" t="s">
        <v>430</v>
      </c>
      <c r="C36" s="530" t="s">
        <v>434</v>
      </c>
      <c r="D36" s="559" t="s">
        <v>536</v>
      </c>
      <c r="E36" s="530" t="s">
        <v>982</v>
      </c>
      <c r="F36" s="559" t="s">
        <v>983</v>
      </c>
      <c r="G36" s="530" t="s">
        <v>898</v>
      </c>
      <c r="H36" s="530" t="s">
        <v>899</v>
      </c>
      <c r="I36" s="539">
        <v>0.85</v>
      </c>
      <c r="J36" s="539">
        <v>20</v>
      </c>
      <c r="K36" s="540">
        <v>17</v>
      </c>
    </row>
    <row r="37" spans="1:11" ht="14.4" customHeight="1" x14ac:dyDescent="0.3">
      <c r="A37" s="526" t="s">
        <v>429</v>
      </c>
      <c r="B37" s="527" t="s">
        <v>430</v>
      </c>
      <c r="C37" s="530" t="s">
        <v>434</v>
      </c>
      <c r="D37" s="559" t="s">
        <v>536</v>
      </c>
      <c r="E37" s="530" t="s">
        <v>982</v>
      </c>
      <c r="F37" s="559" t="s">
        <v>983</v>
      </c>
      <c r="G37" s="530" t="s">
        <v>900</v>
      </c>
      <c r="H37" s="530" t="s">
        <v>901</v>
      </c>
      <c r="I37" s="539">
        <v>1.51</v>
      </c>
      <c r="J37" s="539">
        <v>20</v>
      </c>
      <c r="K37" s="540">
        <v>30.2</v>
      </c>
    </row>
    <row r="38" spans="1:11" ht="14.4" customHeight="1" x14ac:dyDescent="0.3">
      <c r="A38" s="526" t="s">
        <v>429</v>
      </c>
      <c r="B38" s="527" t="s">
        <v>430</v>
      </c>
      <c r="C38" s="530" t="s">
        <v>434</v>
      </c>
      <c r="D38" s="559" t="s">
        <v>536</v>
      </c>
      <c r="E38" s="530" t="s">
        <v>984</v>
      </c>
      <c r="F38" s="559" t="s">
        <v>985</v>
      </c>
      <c r="G38" s="530" t="s">
        <v>958</v>
      </c>
      <c r="H38" s="530" t="s">
        <v>959</v>
      </c>
      <c r="I38" s="539">
        <v>12.1</v>
      </c>
      <c r="J38" s="539">
        <v>20</v>
      </c>
      <c r="K38" s="540">
        <v>242</v>
      </c>
    </row>
    <row r="39" spans="1:11" ht="14.4" customHeight="1" x14ac:dyDescent="0.3">
      <c r="A39" s="526" t="s">
        <v>429</v>
      </c>
      <c r="B39" s="527" t="s">
        <v>430</v>
      </c>
      <c r="C39" s="530" t="s">
        <v>434</v>
      </c>
      <c r="D39" s="559" t="s">
        <v>536</v>
      </c>
      <c r="E39" s="530" t="s">
        <v>984</v>
      </c>
      <c r="F39" s="559" t="s">
        <v>985</v>
      </c>
      <c r="G39" s="530" t="s">
        <v>960</v>
      </c>
      <c r="H39" s="530" t="s">
        <v>961</v>
      </c>
      <c r="I39" s="539">
        <v>21.24</v>
      </c>
      <c r="J39" s="539">
        <v>50</v>
      </c>
      <c r="K39" s="540">
        <v>1062</v>
      </c>
    </row>
    <row r="40" spans="1:11" ht="14.4" customHeight="1" x14ac:dyDescent="0.3">
      <c r="A40" s="526" t="s">
        <v>429</v>
      </c>
      <c r="B40" s="527" t="s">
        <v>430</v>
      </c>
      <c r="C40" s="530" t="s">
        <v>434</v>
      </c>
      <c r="D40" s="559" t="s">
        <v>536</v>
      </c>
      <c r="E40" s="530" t="s">
        <v>984</v>
      </c>
      <c r="F40" s="559" t="s">
        <v>985</v>
      </c>
      <c r="G40" s="530" t="s">
        <v>962</v>
      </c>
      <c r="H40" s="530" t="s">
        <v>963</v>
      </c>
      <c r="I40" s="539">
        <v>30.86</v>
      </c>
      <c r="J40" s="539">
        <v>25</v>
      </c>
      <c r="K40" s="540">
        <v>771.38</v>
      </c>
    </row>
    <row r="41" spans="1:11" ht="14.4" customHeight="1" x14ac:dyDescent="0.3">
      <c r="A41" s="526" t="s">
        <v>429</v>
      </c>
      <c r="B41" s="527" t="s">
        <v>430</v>
      </c>
      <c r="C41" s="530" t="s">
        <v>434</v>
      </c>
      <c r="D41" s="559" t="s">
        <v>536</v>
      </c>
      <c r="E41" s="530" t="s">
        <v>984</v>
      </c>
      <c r="F41" s="559" t="s">
        <v>985</v>
      </c>
      <c r="G41" s="530" t="s">
        <v>964</v>
      </c>
      <c r="H41" s="530" t="s">
        <v>965</v>
      </c>
      <c r="I41" s="539">
        <v>904.18</v>
      </c>
      <c r="J41" s="539">
        <v>1</v>
      </c>
      <c r="K41" s="540">
        <v>904.18</v>
      </c>
    </row>
    <row r="42" spans="1:11" ht="14.4" customHeight="1" x14ac:dyDescent="0.3">
      <c r="A42" s="526" t="s">
        <v>429</v>
      </c>
      <c r="B42" s="527" t="s">
        <v>430</v>
      </c>
      <c r="C42" s="530" t="s">
        <v>434</v>
      </c>
      <c r="D42" s="559" t="s">
        <v>536</v>
      </c>
      <c r="E42" s="530" t="s">
        <v>984</v>
      </c>
      <c r="F42" s="559" t="s">
        <v>985</v>
      </c>
      <c r="G42" s="530" t="s">
        <v>966</v>
      </c>
      <c r="H42" s="530" t="s">
        <v>967</v>
      </c>
      <c r="I42" s="539">
        <v>1209.95</v>
      </c>
      <c r="J42" s="539">
        <v>2</v>
      </c>
      <c r="K42" s="540">
        <v>2419.9</v>
      </c>
    </row>
    <row r="43" spans="1:11" ht="14.4" customHeight="1" x14ac:dyDescent="0.3">
      <c r="A43" s="526" t="s">
        <v>429</v>
      </c>
      <c r="B43" s="527" t="s">
        <v>430</v>
      </c>
      <c r="C43" s="530" t="s">
        <v>434</v>
      </c>
      <c r="D43" s="559" t="s">
        <v>536</v>
      </c>
      <c r="E43" s="530" t="s">
        <v>984</v>
      </c>
      <c r="F43" s="559" t="s">
        <v>985</v>
      </c>
      <c r="G43" s="530" t="s">
        <v>968</v>
      </c>
      <c r="H43" s="530" t="s">
        <v>969</v>
      </c>
      <c r="I43" s="539">
        <v>2940.5</v>
      </c>
      <c r="J43" s="539">
        <v>1</v>
      </c>
      <c r="K43" s="540">
        <v>2940.5</v>
      </c>
    </row>
    <row r="44" spans="1:11" ht="14.4" customHeight="1" x14ac:dyDescent="0.3">
      <c r="A44" s="526" t="s">
        <v>429</v>
      </c>
      <c r="B44" s="527" t="s">
        <v>430</v>
      </c>
      <c r="C44" s="530" t="s">
        <v>434</v>
      </c>
      <c r="D44" s="559" t="s">
        <v>536</v>
      </c>
      <c r="E44" s="530" t="s">
        <v>984</v>
      </c>
      <c r="F44" s="559" t="s">
        <v>985</v>
      </c>
      <c r="G44" s="530" t="s">
        <v>970</v>
      </c>
      <c r="H44" s="530" t="s">
        <v>971</v>
      </c>
      <c r="I44" s="539">
        <v>1477.98</v>
      </c>
      <c r="J44" s="539">
        <v>1</v>
      </c>
      <c r="K44" s="540">
        <v>1477.98</v>
      </c>
    </row>
    <row r="45" spans="1:11" ht="14.4" customHeight="1" x14ac:dyDescent="0.3">
      <c r="A45" s="526" t="s">
        <v>429</v>
      </c>
      <c r="B45" s="527" t="s">
        <v>430</v>
      </c>
      <c r="C45" s="530" t="s">
        <v>434</v>
      </c>
      <c r="D45" s="559" t="s">
        <v>536</v>
      </c>
      <c r="E45" s="530" t="s">
        <v>984</v>
      </c>
      <c r="F45" s="559" t="s">
        <v>985</v>
      </c>
      <c r="G45" s="530" t="s">
        <v>972</v>
      </c>
      <c r="H45" s="530" t="s">
        <v>973</v>
      </c>
      <c r="I45" s="539">
        <v>2420</v>
      </c>
      <c r="J45" s="539">
        <v>1</v>
      </c>
      <c r="K45" s="540">
        <v>2420</v>
      </c>
    </row>
    <row r="46" spans="1:11" ht="14.4" customHeight="1" x14ac:dyDescent="0.3">
      <c r="A46" s="526" t="s">
        <v>429</v>
      </c>
      <c r="B46" s="527" t="s">
        <v>430</v>
      </c>
      <c r="C46" s="530" t="s">
        <v>434</v>
      </c>
      <c r="D46" s="559" t="s">
        <v>536</v>
      </c>
      <c r="E46" s="530" t="s">
        <v>984</v>
      </c>
      <c r="F46" s="559" t="s">
        <v>985</v>
      </c>
      <c r="G46" s="530" t="s">
        <v>974</v>
      </c>
      <c r="H46" s="530" t="s">
        <v>975</v>
      </c>
      <c r="I46" s="539">
        <v>3025</v>
      </c>
      <c r="J46" s="539">
        <v>1</v>
      </c>
      <c r="K46" s="540">
        <v>3025</v>
      </c>
    </row>
    <row r="47" spans="1:11" ht="14.4" customHeight="1" x14ac:dyDescent="0.3">
      <c r="A47" s="526" t="s">
        <v>429</v>
      </c>
      <c r="B47" s="527" t="s">
        <v>430</v>
      </c>
      <c r="C47" s="530" t="s">
        <v>434</v>
      </c>
      <c r="D47" s="559" t="s">
        <v>536</v>
      </c>
      <c r="E47" s="530" t="s">
        <v>986</v>
      </c>
      <c r="F47" s="559" t="s">
        <v>987</v>
      </c>
      <c r="G47" s="530" t="s">
        <v>976</v>
      </c>
      <c r="H47" s="530" t="s">
        <v>977</v>
      </c>
      <c r="I47" s="539">
        <v>94.82</v>
      </c>
      <c r="J47" s="539">
        <v>36</v>
      </c>
      <c r="K47" s="540">
        <v>3413.43</v>
      </c>
    </row>
    <row r="48" spans="1:11" ht="14.4" customHeight="1" x14ac:dyDescent="0.3">
      <c r="A48" s="526" t="s">
        <v>429</v>
      </c>
      <c r="B48" s="527" t="s">
        <v>430</v>
      </c>
      <c r="C48" s="530" t="s">
        <v>434</v>
      </c>
      <c r="D48" s="559" t="s">
        <v>536</v>
      </c>
      <c r="E48" s="530" t="s">
        <v>986</v>
      </c>
      <c r="F48" s="559" t="s">
        <v>987</v>
      </c>
      <c r="G48" s="530" t="s">
        <v>978</v>
      </c>
      <c r="H48" s="530" t="s">
        <v>979</v>
      </c>
      <c r="I48" s="539">
        <v>115.41</v>
      </c>
      <c r="J48" s="539">
        <v>36</v>
      </c>
      <c r="K48" s="540">
        <v>4154.72</v>
      </c>
    </row>
    <row r="49" spans="1:11" ht="14.4" customHeight="1" thickBot="1" x14ac:dyDescent="0.35">
      <c r="A49" s="518" t="s">
        <v>429</v>
      </c>
      <c r="B49" s="519" t="s">
        <v>430</v>
      </c>
      <c r="C49" s="522" t="s">
        <v>434</v>
      </c>
      <c r="D49" s="560" t="s">
        <v>536</v>
      </c>
      <c r="E49" s="522" t="s">
        <v>988</v>
      </c>
      <c r="F49" s="560" t="s">
        <v>989</v>
      </c>
      <c r="G49" s="522" t="s">
        <v>980</v>
      </c>
      <c r="H49" s="522" t="s">
        <v>981</v>
      </c>
      <c r="I49" s="541">
        <v>0.49</v>
      </c>
      <c r="J49" s="541">
        <v>200</v>
      </c>
      <c r="K49" s="542">
        <v>98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J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I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9" width="13.109375" customWidth="1"/>
  </cols>
  <sheetData>
    <row r="1" spans="1:10" ht="18.600000000000001" thickBot="1" x14ac:dyDescent="0.4">
      <c r="A1" s="386" t="s">
        <v>107</v>
      </c>
      <c r="B1" s="346"/>
      <c r="C1" s="346"/>
      <c r="D1" s="346"/>
      <c r="E1" s="346"/>
      <c r="F1" s="346"/>
      <c r="G1" s="346"/>
      <c r="H1" s="346"/>
      <c r="I1" s="346"/>
    </row>
    <row r="2" spans="1:10" ht="15" thickBot="1" x14ac:dyDescent="0.35">
      <c r="A2" s="239" t="s">
        <v>251</v>
      </c>
      <c r="B2" s="240"/>
      <c r="C2" s="240"/>
      <c r="D2" s="240"/>
      <c r="E2" s="240"/>
      <c r="F2" s="240"/>
      <c r="G2" s="240"/>
      <c r="H2" s="240"/>
    </row>
    <row r="3" spans="1:10" x14ac:dyDescent="0.3">
      <c r="A3" s="254" t="s">
        <v>196</v>
      </c>
      <c r="B3" s="384" t="s">
        <v>180</v>
      </c>
      <c r="C3" s="257">
        <v>100</v>
      </c>
      <c r="D3" s="257">
        <v>101</v>
      </c>
      <c r="E3" s="257">
        <v>302</v>
      </c>
      <c r="F3" s="257">
        <v>303</v>
      </c>
      <c r="G3" s="257">
        <v>304</v>
      </c>
      <c r="H3" s="257">
        <v>305</v>
      </c>
      <c r="I3" s="573">
        <v>930</v>
      </c>
      <c r="J3" s="588"/>
    </row>
    <row r="4" spans="1:10" ht="24.6" outlineLevel="1" thickBot="1" x14ac:dyDescent="0.35">
      <c r="A4" s="255">
        <v>2016</v>
      </c>
      <c r="B4" s="385"/>
      <c r="C4" s="258" t="s">
        <v>221</v>
      </c>
      <c r="D4" s="258" t="s">
        <v>222</v>
      </c>
      <c r="E4" s="258" t="s">
        <v>223</v>
      </c>
      <c r="F4" s="258" t="s">
        <v>224</v>
      </c>
      <c r="G4" s="258" t="s">
        <v>225</v>
      </c>
      <c r="H4" s="258" t="s">
        <v>226</v>
      </c>
      <c r="I4" s="574" t="s">
        <v>198</v>
      </c>
      <c r="J4" s="588"/>
    </row>
    <row r="5" spans="1:10" x14ac:dyDescent="0.3">
      <c r="A5" s="241" t="s">
        <v>181</v>
      </c>
      <c r="B5" s="271"/>
      <c r="C5" s="272"/>
      <c r="D5" s="272"/>
      <c r="E5" s="272"/>
      <c r="F5" s="272"/>
      <c r="G5" s="272"/>
      <c r="H5" s="272"/>
      <c r="I5" s="575"/>
      <c r="J5" s="588"/>
    </row>
    <row r="6" spans="1:10" ht="15" collapsed="1" thickBot="1" x14ac:dyDescent="0.35">
      <c r="A6" s="242" t="s">
        <v>73</v>
      </c>
      <c r="B6" s="273">
        <f xml:space="preserve">
TRUNC(IF($A$4&lt;=12,SUMIFS('ON Data'!F:F,'ON Data'!$D:$D,$A$4,'ON Data'!$E:$E,1),SUMIFS('ON Data'!F:F,'ON Data'!$E:$E,1)/'ON Data'!$D$3),1)</f>
        <v>12.9</v>
      </c>
      <c r="C6" s="274">
        <f xml:space="preserve">
TRUNC(IF($A$4&lt;=12,SUMIFS('ON Data'!J:J,'ON Data'!$D:$D,$A$4,'ON Data'!$E:$E,1),SUMIFS('ON Data'!J:J,'ON Data'!$E:$E,1)/'ON Data'!$D$3),1)</f>
        <v>1.5</v>
      </c>
      <c r="D6" s="274">
        <f xml:space="preserve">
TRUNC(IF($A$4&lt;=12,SUMIFS('ON Data'!K:K,'ON Data'!$D:$D,$A$4,'ON Data'!$E:$E,1),SUMIFS('ON Data'!K:K,'ON Data'!$E:$E,1)/'ON Data'!$D$3),1)</f>
        <v>4.9000000000000004</v>
      </c>
      <c r="E6" s="274">
        <f xml:space="preserve">
TRUNC(IF($A$4&lt;=12,SUMIFS('ON Data'!O:O,'ON Data'!$D:$D,$A$4,'ON Data'!$E:$E,1),SUMIFS('ON Data'!O:O,'ON Data'!$E:$E,1)/'ON Data'!$D$3),1)</f>
        <v>0</v>
      </c>
      <c r="F6" s="274">
        <f xml:space="preserve">
TRUNC(IF($A$4&lt;=12,SUMIFS('ON Data'!P:P,'ON Data'!$D:$D,$A$4,'ON Data'!$E:$E,1),SUMIFS('ON Data'!P:P,'ON Data'!$E:$E,1)/'ON Data'!$D$3),1)</f>
        <v>2</v>
      </c>
      <c r="G6" s="274">
        <f xml:space="preserve">
TRUNC(IF($A$4&lt;=12,SUMIFS('ON Data'!Q:Q,'ON Data'!$D:$D,$A$4,'ON Data'!$E:$E,1),SUMIFS('ON Data'!Q:Q,'ON Data'!$E:$E,1)/'ON Data'!$D$3),1)</f>
        <v>2</v>
      </c>
      <c r="H6" s="274">
        <f xml:space="preserve">
TRUNC(IF($A$4&lt;=12,SUMIFS('ON Data'!R:R,'ON Data'!$D:$D,$A$4,'ON Data'!$E:$E,1),SUMIFS('ON Data'!R:R,'ON Data'!$E:$E,1)/'ON Data'!$D$3),1)</f>
        <v>1</v>
      </c>
      <c r="I6" s="576">
        <f xml:space="preserve">
TRUNC(IF($A$4&lt;=12,SUMIFS('ON Data'!AW:AW,'ON Data'!$D:$D,$A$4,'ON Data'!$E:$E,1),SUMIFS('ON Data'!AW:AW,'ON Data'!$E:$E,1)/'ON Data'!$D$3),1)</f>
        <v>1.5</v>
      </c>
      <c r="J6" s="588"/>
    </row>
    <row r="7" spans="1:10" ht="15" hidden="1" outlineLevel="1" thickBot="1" x14ac:dyDescent="0.35">
      <c r="A7" s="242" t="s">
        <v>108</v>
      </c>
      <c r="B7" s="273"/>
      <c r="C7" s="274"/>
      <c r="D7" s="274"/>
      <c r="E7" s="274"/>
      <c r="F7" s="274"/>
      <c r="G7" s="274"/>
      <c r="H7" s="274"/>
      <c r="I7" s="576"/>
      <c r="J7" s="588"/>
    </row>
    <row r="8" spans="1:10" ht="15" hidden="1" outlineLevel="1" thickBot="1" x14ac:dyDescent="0.35">
      <c r="A8" s="242" t="s">
        <v>75</v>
      </c>
      <c r="B8" s="273"/>
      <c r="C8" s="274"/>
      <c r="D8" s="274"/>
      <c r="E8" s="274"/>
      <c r="F8" s="274"/>
      <c r="G8" s="274"/>
      <c r="H8" s="274"/>
      <c r="I8" s="576"/>
      <c r="J8" s="588"/>
    </row>
    <row r="9" spans="1:10" ht="15" hidden="1" outlineLevel="1" thickBot="1" x14ac:dyDescent="0.35">
      <c r="A9" s="243" t="s">
        <v>68</v>
      </c>
      <c r="B9" s="275"/>
      <c r="C9" s="276"/>
      <c r="D9" s="276"/>
      <c r="E9" s="276"/>
      <c r="F9" s="276"/>
      <c r="G9" s="276"/>
      <c r="H9" s="276"/>
      <c r="I9" s="577"/>
      <c r="J9" s="588"/>
    </row>
    <row r="10" spans="1:10" x14ac:dyDescent="0.3">
      <c r="A10" s="244" t="s">
        <v>182</v>
      </c>
      <c r="B10" s="259"/>
      <c r="C10" s="260"/>
      <c r="D10" s="260"/>
      <c r="E10" s="260"/>
      <c r="F10" s="260"/>
      <c r="G10" s="260"/>
      <c r="H10" s="260"/>
      <c r="I10" s="578"/>
      <c r="J10" s="588"/>
    </row>
    <row r="11" spans="1:10" x14ac:dyDescent="0.3">
      <c r="A11" s="245" t="s">
        <v>183</v>
      </c>
      <c r="B11" s="261">
        <f xml:space="preserve">
IF($A$4&lt;=12,SUMIFS('ON Data'!F:F,'ON Data'!$D:$D,$A$4,'ON Data'!$E:$E,2),SUMIFS('ON Data'!F:F,'ON Data'!$E:$E,2))</f>
        <v>4020.4</v>
      </c>
      <c r="C11" s="262">
        <f xml:space="preserve">
IF($A$4&lt;=12,SUMIFS('ON Data'!J:J,'ON Data'!$D:$D,$A$4,'ON Data'!$E:$E,2),SUMIFS('ON Data'!J:J,'ON Data'!$E:$E,2))</f>
        <v>496</v>
      </c>
      <c r="D11" s="262">
        <f xml:space="preserve">
IF($A$4&lt;=12,SUMIFS('ON Data'!K:K,'ON Data'!$D:$D,$A$4,'ON Data'!$E:$E,2),SUMIFS('ON Data'!K:K,'ON Data'!$E:$E,2))</f>
        <v>1464.4</v>
      </c>
      <c r="E11" s="262">
        <f xml:space="preserve">
IF($A$4&lt;=12,SUMIFS('ON Data'!O:O,'ON Data'!$D:$D,$A$4,'ON Data'!$E:$E,2),SUMIFS('ON Data'!O:O,'ON Data'!$E:$E,2))</f>
        <v>0</v>
      </c>
      <c r="F11" s="262">
        <f xml:space="preserve">
IF($A$4&lt;=12,SUMIFS('ON Data'!P:P,'ON Data'!$D:$D,$A$4,'ON Data'!$E:$E,2),SUMIFS('ON Data'!P:P,'ON Data'!$E:$E,2))</f>
        <v>600</v>
      </c>
      <c r="G11" s="262">
        <f xml:space="preserve">
IF($A$4&lt;=12,SUMIFS('ON Data'!Q:Q,'ON Data'!$D:$D,$A$4,'ON Data'!$E:$E,2),SUMIFS('ON Data'!Q:Q,'ON Data'!$E:$E,2))</f>
        <v>648</v>
      </c>
      <c r="H11" s="262">
        <f xml:space="preserve">
IF($A$4&lt;=12,SUMIFS('ON Data'!R:R,'ON Data'!$D:$D,$A$4,'ON Data'!$E:$E,2),SUMIFS('ON Data'!R:R,'ON Data'!$E:$E,2))</f>
        <v>312</v>
      </c>
      <c r="I11" s="579">
        <f xml:space="preserve">
IF($A$4&lt;=12,SUMIFS('ON Data'!AW:AW,'ON Data'!$D:$D,$A$4,'ON Data'!$E:$E,2),SUMIFS('ON Data'!AW:AW,'ON Data'!$E:$E,2))</f>
        <v>500</v>
      </c>
      <c r="J11" s="588"/>
    </row>
    <row r="12" spans="1:10" x14ac:dyDescent="0.3">
      <c r="A12" s="245" t="s">
        <v>184</v>
      </c>
      <c r="B12" s="261">
        <f xml:space="preserve">
IF($A$4&lt;=12,SUMIFS('ON Data'!F:F,'ON Data'!$D:$D,$A$4,'ON Data'!$E:$E,3),SUMIFS('ON Data'!F:F,'ON Data'!$E:$E,3))</f>
        <v>0</v>
      </c>
      <c r="C12" s="262">
        <f xml:space="preserve">
IF($A$4&lt;=12,SUMIFS('ON Data'!J:J,'ON Data'!$D:$D,$A$4,'ON Data'!$E:$E,3),SUMIFS('ON Data'!J:J,'ON Data'!$E:$E,3))</f>
        <v>0</v>
      </c>
      <c r="D12" s="262">
        <f xml:space="preserve">
IF($A$4&lt;=12,SUMIFS('ON Data'!K:K,'ON Data'!$D:$D,$A$4,'ON Data'!$E:$E,3),SUMIFS('ON Data'!K:K,'ON Data'!$E:$E,3))</f>
        <v>0</v>
      </c>
      <c r="E12" s="262">
        <f xml:space="preserve">
IF($A$4&lt;=12,SUMIFS('ON Data'!O:O,'ON Data'!$D:$D,$A$4,'ON Data'!$E:$E,3),SUMIFS('ON Data'!O:O,'ON Data'!$E:$E,3))</f>
        <v>0</v>
      </c>
      <c r="F12" s="262">
        <f xml:space="preserve">
IF($A$4&lt;=12,SUMIFS('ON Data'!P:P,'ON Data'!$D:$D,$A$4,'ON Data'!$E:$E,3),SUMIFS('ON Data'!P:P,'ON Data'!$E:$E,3))</f>
        <v>0</v>
      </c>
      <c r="G12" s="262">
        <f xml:space="preserve">
IF($A$4&lt;=12,SUMIFS('ON Data'!Q:Q,'ON Data'!$D:$D,$A$4,'ON Data'!$E:$E,3),SUMIFS('ON Data'!Q:Q,'ON Data'!$E:$E,3))</f>
        <v>0</v>
      </c>
      <c r="H12" s="262">
        <f xml:space="preserve">
IF($A$4&lt;=12,SUMIFS('ON Data'!R:R,'ON Data'!$D:$D,$A$4,'ON Data'!$E:$E,3),SUMIFS('ON Data'!R:R,'ON Data'!$E:$E,3))</f>
        <v>0</v>
      </c>
      <c r="I12" s="579">
        <f xml:space="preserve">
IF($A$4&lt;=12,SUMIFS('ON Data'!AW:AW,'ON Data'!$D:$D,$A$4,'ON Data'!$E:$E,3),SUMIFS('ON Data'!AW:AW,'ON Data'!$E:$E,3))</f>
        <v>0</v>
      </c>
      <c r="J12" s="588"/>
    </row>
    <row r="13" spans="1:10" x14ac:dyDescent="0.3">
      <c r="A13" s="245" t="s">
        <v>191</v>
      </c>
      <c r="B13" s="261">
        <f xml:space="preserve">
IF($A$4&lt;=12,SUMIFS('ON Data'!F:F,'ON Data'!$D:$D,$A$4,'ON Data'!$E:$E,4),SUMIFS('ON Data'!F:F,'ON Data'!$E:$E,4))</f>
        <v>207.5</v>
      </c>
      <c r="C13" s="262">
        <f xml:space="preserve">
IF($A$4&lt;=12,SUMIFS('ON Data'!J:J,'ON Data'!$D:$D,$A$4,'ON Data'!$E:$E,4),SUMIFS('ON Data'!J:J,'ON Data'!$E:$E,4))</f>
        <v>59.5</v>
      </c>
      <c r="D13" s="262">
        <f xml:space="preserve">
IF($A$4&lt;=12,SUMIFS('ON Data'!K:K,'ON Data'!$D:$D,$A$4,'ON Data'!$E:$E,4),SUMIFS('ON Data'!K:K,'ON Data'!$E:$E,4))</f>
        <v>148</v>
      </c>
      <c r="E13" s="262">
        <f xml:space="preserve">
IF($A$4&lt;=12,SUMIFS('ON Data'!O:O,'ON Data'!$D:$D,$A$4,'ON Data'!$E:$E,4),SUMIFS('ON Data'!O:O,'ON Data'!$E:$E,4))</f>
        <v>0</v>
      </c>
      <c r="F13" s="262">
        <f xml:space="preserve">
IF($A$4&lt;=12,SUMIFS('ON Data'!P:P,'ON Data'!$D:$D,$A$4,'ON Data'!$E:$E,4),SUMIFS('ON Data'!P:P,'ON Data'!$E:$E,4))</f>
        <v>0</v>
      </c>
      <c r="G13" s="262">
        <f xml:space="preserve">
IF($A$4&lt;=12,SUMIFS('ON Data'!Q:Q,'ON Data'!$D:$D,$A$4,'ON Data'!$E:$E,4),SUMIFS('ON Data'!Q:Q,'ON Data'!$E:$E,4))</f>
        <v>0</v>
      </c>
      <c r="H13" s="262">
        <f xml:space="preserve">
IF($A$4&lt;=12,SUMIFS('ON Data'!R:R,'ON Data'!$D:$D,$A$4,'ON Data'!$E:$E,4),SUMIFS('ON Data'!R:R,'ON Data'!$E:$E,4))</f>
        <v>0</v>
      </c>
      <c r="I13" s="579">
        <f xml:space="preserve">
IF($A$4&lt;=12,SUMIFS('ON Data'!AW:AW,'ON Data'!$D:$D,$A$4,'ON Data'!$E:$E,4),SUMIFS('ON Data'!AW:AW,'ON Data'!$E:$E,4))</f>
        <v>0</v>
      </c>
      <c r="J13" s="588"/>
    </row>
    <row r="14" spans="1:10" ht="15" thickBot="1" x14ac:dyDescent="0.35">
      <c r="A14" s="246" t="s">
        <v>185</v>
      </c>
      <c r="B14" s="263">
        <f xml:space="preserve">
IF($A$4&lt;=12,SUMIFS('ON Data'!F:F,'ON Data'!$D:$D,$A$4,'ON Data'!$E:$E,5),SUMIFS('ON Data'!F:F,'ON Data'!$E:$E,5))</f>
        <v>0</v>
      </c>
      <c r="C14" s="264">
        <f xml:space="preserve">
IF($A$4&lt;=12,SUMIFS('ON Data'!J:J,'ON Data'!$D:$D,$A$4,'ON Data'!$E:$E,5),SUMIFS('ON Data'!J:J,'ON Data'!$E:$E,5))</f>
        <v>0</v>
      </c>
      <c r="D14" s="264">
        <f xml:space="preserve">
IF($A$4&lt;=12,SUMIFS('ON Data'!K:K,'ON Data'!$D:$D,$A$4,'ON Data'!$E:$E,5),SUMIFS('ON Data'!K:K,'ON Data'!$E:$E,5))</f>
        <v>0</v>
      </c>
      <c r="E14" s="264">
        <f xml:space="preserve">
IF($A$4&lt;=12,SUMIFS('ON Data'!O:O,'ON Data'!$D:$D,$A$4,'ON Data'!$E:$E,5),SUMIFS('ON Data'!O:O,'ON Data'!$E:$E,5))</f>
        <v>0</v>
      </c>
      <c r="F14" s="264">
        <f xml:space="preserve">
IF($A$4&lt;=12,SUMIFS('ON Data'!P:P,'ON Data'!$D:$D,$A$4,'ON Data'!$E:$E,5),SUMIFS('ON Data'!P:P,'ON Data'!$E:$E,5))</f>
        <v>0</v>
      </c>
      <c r="G14" s="264">
        <f xml:space="preserve">
IF($A$4&lt;=12,SUMIFS('ON Data'!Q:Q,'ON Data'!$D:$D,$A$4,'ON Data'!$E:$E,5),SUMIFS('ON Data'!Q:Q,'ON Data'!$E:$E,5))</f>
        <v>0</v>
      </c>
      <c r="H14" s="264">
        <f xml:space="preserve">
IF($A$4&lt;=12,SUMIFS('ON Data'!R:R,'ON Data'!$D:$D,$A$4,'ON Data'!$E:$E,5),SUMIFS('ON Data'!R:R,'ON Data'!$E:$E,5))</f>
        <v>0</v>
      </c>
      <c r="I14" s="580">
        <f xml:space="preserve">
IF($A$4&lt;=12,SUMIFS('ON Data'!AW:AW,'ON Data'!$D:$D,$A$4,'ON Data'!$E:$E,5),SUMIFS('ON Data'!AW:AW,'ON Data'!$E:$E,5))</f>
        <v>0</v>
      </c>
      <c r="J14" s="588"/>
    </row>
    <row r="15" spans="1:10" x14ac:dyDescent="0.3">
      <c r="A15" s="166" t="s">
        <v>195</v>
      </c>
      <c r="B15" s="265"/>
      <c r="C15" s="266"/>
      <c r="D15" s="266"/>
      <c r="E15" s="266"/>
      <c r="F15" s="266"/>
      <c r="G15" s="266"/>
      <c r="H15" s="266"/>
      <c r="I15" s="581"/>
      <c r="J15" s="588"/>
    </row>
    <row r="16" spans="1:10" x14ac:dyDescent="0.3">
      <c r="A16" s="247" t="s">
        <v>186</v>
      </c>
      <c r="B16" s="261">
        <f xml:space="preserve">
IF($A$4&lt;=12,SUMIFS('ON Data'!F:F,'ON Data'!$D:$D,$A$4,'ON Data'!$E:$E,7),SUMIFS('ON Data'!F:F,'ON Data'!$E:$E,7))</f>
        <v>0</v>
      </c>
      <c r="C16" s="262">
        <f xml:space="preserve">
IF($A$4&lt;=12,SUMIFS('ON Data'!J:J,'ON Data'!$D:$D,$A$4,'ON Data'!$E:$E,7),SUMIFS('ON Data'!J:J,'ON Data'!$E:$E,7))</f>
        <v>0</v>
      </c>
      <c r="D16" s="262">
        <f xml:space="preserve">
IF($A$4&lt;=12,SUMIFS('ON Data'!K:K,'ON Data'!$D:$D,$A$4,'ON Data'!$E:$E,7),SUMIFS('ON Data'!K:K,'ON Data'!$E:$E,7))</f>
        <v>0</v>
      </c>
      <c r="E16" s="262">
        <f xml:space="preserve">
IF($A$4&lt;=12,SUMIFS('ON Data'!O:O,'ON Data'!$D:$D,$A$4,'ON Data'!$E:$E,7),SUMIFS('ON Data'!O:O,'ON Data'!$E:$E,7))</f>
        <v>0</v>
      </c>
      <c r="F16" s="262">
        <f xml:space="preserve">
IF($A$4&lt;=12,SUMIFS('ON Data'!P:P,'ON Data'!$D:$D,$A$4,'ON Data'!$E:$E,7),SUMIFS('ON Data'!P:P,'ON Data'!$E:$E,7))</f>
        <v>0</v>
      </c>
      <c r="G16" s="262">
        <f xml:space="preserve">
IF($A$4&lt;=12,SUMIFS('ON Data'!Q:Q,'ON Data'!$D:$D,$A$4,'ON Data'!$E:$E,7),SUMIFS('ON Data'!Q:Q,'ON Data'!$E:$E,7))</f>
        <v>0</v>
      </c>
      <c r="H16" s="262">
        <f xml:space="preserve">
IF($A$4&lt;=12,SUMIFS('ON Data'!R:R,'ON Data'!$D:$D,$A$4,'ON Data'!$E:$E,7),SUMIFS('ON Data'!R:R,'ON Data'!$E:$E,7))</f>
        <v>0</v>
      </c>
      <c r="I16" s="579">
        <f xml:space="preserve">
IF($A$4&lt;=12,SUMIFS('ON Data'!AW:AW,'ON Data'!$D:$D,$A$4,'ON Data'!$E:$E,7),SUMIFS('ON Data'!AW:AW,'ON Data'!$E:$E,7))</f>
        <v>0</v>
      </c>
      <c r="J16" s="588"/>
    </row>
    <row r="17" spans="1:10" x14ac:dyDescent="0.3">
      <c r="A17" s="247" t="s">
        <v>187</v>
      </c>
      <c r="B17" s="261">
        <f xml:space="preserve">
IF($A$4&lt;=12,SUMIFS('ON Data'!F:F,'ON Data'!$D:$D,$A$4,'ON Data'!$E:$E,8),SUMIFS('ON Data'!F:F,'ON Data'!$E:$E,8))</f>
        <v>0</v>
      </c>
      <c r="C17" s="262">
        <f xml:space="preserve">
IF($A$4&lt;=12,SUMIFS('ON Data'!J:J,'ON Data'!$D:$D,$A$4,'ON Data'!$E:$E,8),SUMIFS('ON Data'!J:J,'ON Data'!$E:$E,8))</f>
        <v>0</v>
      </c>
      <c r="D17" s="262">
        <f xml:space="preserve">
IF($A$4&lt;=12,SUMIFS('ON Data'!K:K,'ON Data'!$D:$D,$A$4,'ON Data'!$E:$E,8),SUMIFS('ON Data'!K:K,'ON Data'!$E:$E,8))</f>
        <v>0</v>
      </c>
      <c r="E17" s="262">
        <f xml:space="preserve">
IF($A$4&lt;=12,SUMIFS('ON Data'!O:O,'ON Data'!$D:$D,$A$4,'ON Data'!$E:$E,8),SUMIFS('ON Data'!O:O,'ON Data'!$E:$E,8))</f>
        <v>0</v>
      </c>
      <c r="F17" s="262">
        <f xml:space="preserve">
IF($A$4&lt;=12,SUMIFS('ON Data'!P:P,'ON Data'!$D:$D,$A$4,'ON Data'!$E:$E,8),SUMIFS('ON Data'!P:P,'ON Data'!$E:$E,8))</f>
        <v>0</v>
      </c>
      <c r="G17" s="262">
        <f xml:space="preserve">
IF($A$4&lt;=12,SUMIFS('ON Data'!Q:Q,'ON Data'!$D:$D,$A$4,'ON Data'!$E:$E,8),SUMIFS('ON Data'!Q:Q,'ON Data'!$E:$E,8))</f>
        <v>0</v>
      </c>
      <c r="H17" s="262">
        <f xml:space="preserve">
IF($A$4&lt;=12,SUMIFS('ON Data'!R:R,'ON Data'!$D:$D,$A$4,'ON Data'!$E:$E,8),SUMIFS('ON Data'!R:R,'ON Data'!$E:$E,8))</f>
        <v>0</v>
      </c>
      <c r="I17" s="579">
        <f xml:space="preserve">
IF($A$4&lt;=12,SUMIFS('ON Data'!AW:AW,'ON Data'!$D:$D,$A$4,'ON Data'!$E:$E,8),SUMIFS('ON Data'!AW:AW,'ON Data'!$E:$E,8))</f>
        <v>0</v>
      </c>
      <c r="J17" s="588"/>
    </row>
    <row r="18" spans="1:10" x14ac:dyDescent="0.3">
      <c r="A18" s="247" t="s">
        <v>188</v>
      </c>
      <c r="B18" s="261">
        <f xml:space="preserve">
B19-B16-B17</f>
        <v>43068</v>
      </c>
      <c r="C18" s="262">
        <f t="shared" ref="C18:D18" si="0" xml:space="preserve">
C19-C16-C17</f>
        <v>0</v>
      </c>
      <c r="D18" s="262">
        <f t="shared" si="0"/>
        <v>37668</v>
      </c>
      <c r="E18" s="262">
        <f t="shared" ref="E18:H18" si="1" xml:space="preserve">
E19-E16-E17</f>
        <v>0</v>
      </c>
      <c r="F18" s="262">
        <f t="shared" si="1"/>
        <v>0</v>
      </c>
      <c r="G18" s="262">
        <f t="shared" si="1"/>
        <v>0</v>
      </c>
      <c r="H18" s="262">
        <f t="shared" si="1"/>
        <v>4100</v>
      </c>
      <c r="I18" s="579">
        <f t="shared" ref="I18" si="2" xml:space="preserve">
I19-I16-I17</f>
        <v>1300</v>
      </c>
      <c r="J18" s="588"/>
    </row>
    <row r="19" spans="1:10" ht="15" thickBot="1" x14ac:dyDescent="0.35">
      <c r="A19" s="248" t="s">
        <v>189</v>
      </c>
      <c r="B19" s="267">
        <f xml:space="preserve">
IF($A$4&lt;=12,SUMIFS('ON Data'!F:F,'ON Data'!$D:$D,$A$4,'ON Data'!$E:$E,9),SUMIFS('ON Data'!F:F,'ON Data'!$E:$E,9))</f>
        <v>43068</v>
      </c>
      <c r="C19" s="268">
        <f xml:space="preserve">
IF($A$4&lt;=12,SUMIFS('ON Data'!J:J,'ON Data'!$D:$D,$A$4,'ON Data'!$E:$E,9),SUMIFS('ON Data'!J:J,'ON Data'!$E:$E,9))</f>
        <v>0</v>
      </c>
      <c r="D19" s="268">
        <f xml:space="preserve">
IF($A$4&lt;=12,SUMIFS('ON Data'!K:K,'ON Data'!$D:$D,$A$4,'ON Data'!$E:$E,9),SUMIFS('ON Data'!K:K,'ON Data'!$E:$E,9))</f>
        <v>37668</v>
      </c>
      <c r="E19" s="268">
        <f xml:space="preserve">
IF($A$4&lt;=12,SUMIFS('ON Data'!O:O,'ON Data'!$D:$D,$A$4,'ON Data'!$E:$E,9),SUMIFS('ON Data'!O:O,'ON Data'!$E:$E,9))</f>
        <v>0</v>
      </c>
      <c r="F19" s="268">
        <f xml:space="preserve">
IF($A$4&lt;=12,SUMIFS('ON Data'!P:P,'ON Data'!$D:$D,$A$4,'ON Data'!$E:$E,9),SUMIFS('ON Data'!P:P,'ON Data'!$E:$E,9))</f>
        <v>0</v>
      </c>
      <c r="G19" s="268">
        <f xml:space="preserve">
IF($A$4&lt;=12,SUMIFS('ON Data'!Q:Q,'ON Data'!$D:$D,$A$4,'ON Data'!$E:$E,9),SUMIFS('ON Data'!Q:Q,'ON Data'!$E:$E,9))</f>
        <v>0</v>
      </c>
      <c r="H19" s="268">
        <f xml:space="preserve">
IF($A$4&lt;=12,SUMIFS('ON Data'!R:R,'ON Data'!$D:$D,$A$4,'ON Data'!$E:$E,9),SUMIFS('ON Data'!R:R,'ON Data'!$E:$E,9))</f>
        <v>4100</v>
      </c>
      <c r="I19" s="582">
        <f xml:space="preserve">
IF($A$4&lt;=12,SUMIFS('ON Data'!AW:AW,'ON Data'!$D:$D,$A$4,'ON Data'!$E:$E,9),SUMIFS('ON Data'!AW:AW,'ON Data'!$E:$E,9))</f>
        <v>1300</v>
      </c>
      <c r="J19" s="588"/>
    </row>
    <row r="20" spans="1:10" ht="15" collapsed="1" thickBot="1" x14ac:dyDescent="0.35">
      <c r="A20" s="249" t="s">
        <v>73</v>
      </c>
      <c r="B20" s="269">
        <f xml:space="preserve">
IF($A$4&lt;=12,SUMIFS('ON Data'!F:F,'ON Data'!$D:$D,$A$4,'ON Data'!$E:$E,6),SUMIFS('ON Data'!F:F,'ON Data'!$E:$E,6))</f>
        <v>1341411</v>
      </c>
      <c r="C20" s="270">
        <f xml:space="preserve">
IF($A$4&lt;=12,SUMIFS('ON Data'!J:J,'ON Data'!$D:$D,$A$4,'ON Data'!$E:$E,6),SUMIFS('ON Data'!J:J,'ON Data'!$E:$E,6))</f>
        <v>144387</v>
      </c>
      <c r="D20" s="270">
        <f xml:space="preserve">
IF($A$4&lt;=12,SUMIFS('ON Data'!K:K,'ON Data'!$D:$D,$A$4,'ON Data'!$E:$E,6),SUMIFS('ON Data'!K:K,'ON Data'!$E:$E,6))</f>
        <v>844014</v>
      </c>
      <c r="E20" s="270">
        <f xml:space="preserve">
IF($A$4&lt;=12,SUMIFS('ON Data'!O:O,'ON Data'!$D:$D,$A$4,'ON Data'!$E:$E,6),SUMIFS('ON Data'!O:O,'ON Data'!$E:$E,6))</f>
        <v>0</v>
      </c>
      <c r="F20" s="270">
        <f xml:space="preserve">
IF($A$4&lt;=12,SUMIFS('ON Data'!P:P,'ON Data'!$D:$D,$A$4,'ON Data'!$E:$E,6),SUMIFS('ON Data'!P:P,'ON Data'!$E:$E,6))</f>
        <v>98892</v>
      </c>
      <c r="G20" s="270">
        <f xml:space="preserve">
IF($A$4&lt;=12,SUMIFS('ON Data'!Q:Q,'ON Data'!$D:$D,$A$4,'ON Data'!$E:$E,6),SUMIFS('ON Data'!Q:Q,'ON Data'!$E:$E,6))</f>
        <v>99898</v>
      </c>
      <c r="H20" s="270">
        <f xml:space="preserve">
IF($A$4&lt;=12,SUMIFS('ON Data'!R:R,'ON Data'!$D:$D,$A$4,'ON Data'!$E:$E,6),SUMIFS('ON Data'!R:R,'ON Data'!$E:$E,6))</f>
        <v>85347</v>
      </c>
      <c r="I20" s="583">
        <f xml:space="preserve">
IF($A$4&lt;=12,SUMIFS('ON Data'!AW:AW,'ON Data'!$D:$D,$A$4,'ON Data'!$E:$E,6),SUMIFS('ON Data'!AW:AW,'ON Data'!$E:$E,6))</f>
        <v>68873</v>
      </c>
      <c r="J20" s="588"/>
    </row>
    <row r="21" spans="1:10" ht="15" hidden="1" outlineLevel="1" thickBot="1" x14ac:dyDescent="0.35">
      <c r="A21" s="242" t="s">
        <v>108</v>
      </c>
      <c r="B21" s="261">
        <f xml:space="preserve">
IF($A$4&lt;=12,SUMIFS('ON Data'!F:F,'ON Data'!$D:$D,$A$4,'ON Data'!$E:$E,12),SUMIFS('ON Data'!F:F,'ON Data'!$E:$E,12))</f>
        <v>0</v>
      </c>
      <c r="C21" s="262">
        <f xml:space="preserve">
IF($A$4&lt;=12,SUMIFS('ON Data'!J:J,'ON Data'!$D:$D,$A$4,'ON Data'!$E:$E,12),SUMIFS('ON Data'!J:J,'ON Data'!$E:$E,12))</f>
        <v>0</v>
      </c>
      <c r="D21" s="262">
        <f xml:space="preserve">
IF($A$4&lt;=12,SUMIFS('ON Data'!K:K,'ON Data'!$D:$D,$A$4,'ON Data'!$E:$E,12),SUMIFS('ON Data'!K:K,'ON Data'!$E:$E,12))</f>
        <v>0</v>
      </c>
      <c r="E21" s="262">
        <f xml:space="preserve">
IF($A$4&lt;=12,SUMIFS('ON Data'!O:O,'ON Data'!$D:$D,$A$4,'ON Data'!$E:$E,12),SUMIFS('ON Data'!O:O,'ON Data'!$E:$E,12))</f>
        <v>0</v>
      </c>
      <c r="F21" s="262">
        <f xml:space="preserve">
IF($A$4&lt;=12,SUMIFS('ON Data'!P:P,'ON Data'!$D:$D,$A$4,'ON Data'!$E:$E,12),SUMIFS('ON Data'!P:P,'ON Data'!$E:$E,12))</f>
        <v>0</v>
      </c>
      <c r="G21" s="262">
        <f xml:space="preserve">
IF($A$4&lt;=12,SUMIFS('ON Data'!Q:Q,'ON Data'!$D:$D,$A$4,'ON Data'!$E:$E,12),SUMIFS('ON Data'!Q:Q,'ON Data'!$E:$E,12))</f>
        <v>0</v>
      </c>
      <c r="H21" s="262">
        <f xml:space="preserve">
IF($A$4&lt;=12,SUMIFS('ON Data'!R:R,'ON Data'!$D:$D,$A$4,'ON Data'!$E:$E,12),SUMIFS('ON Data'!R:R,'ON Data'!$E:$E,12))</f>
        <v>0</v>
      </c>
      <c r="J21" s="588"/>
    </row>
    <row r="22" spans="1:10" ht="15" hidden="1" outlineLevel="1" thickBot="1" x14ac:dyDescent="0.35">
      <c r="A22" s="242" t="s">
        <v>75</v>
      </c>
      <c r="B22" s="308" t="str">
        <f xml:space="preserve">
IF(OR(B21="",B21=0),"",B20/B21)</f>
        <v/>
      </c>
      <c r="C22" s="309" t="str">
        <f t="shared" ref="C22:D22" si="3" xml:space="preserve">
IF(OR(C21="",C21=0),"",C20/C21)</f>
        <v/>
      </c>
      <c r="D22" s="309" t="str">
        <f t="shared" si="3"/>
        <v/>
      </c>
      <c r="E22" s="309" t="str">
        <f t="shared" ref="E22:H22" si="4" xml:space="preserve">
IF(OR(E21="",E21=0),"",E20/E21)</f>
        <v/>
      </c>
      <c r="F22" s="309" t="str">
        <f t="shared" si="4"/>
        <v/>
      </c>
      <c r="G22" s="309" t="str">
        <f t="shared" si="4"/>
        <v/>
      </c>
      <c r="H22" s="309" t="str">
        <f t="shared" si="4"/>
        <v/>
      </c>
      <c r="J22" s="588"/>
    </row>
    <row r="23" spans="1:10" ht="15" hidden="1" outlineLevel="1" thickBot="1" x14ac:dyDescent="0.35">
      <c r="A23" s="250" t="s">
        <v>68</v>
      </c>
      <c r="B23" s="263">
        <f xml:space="preserve">
IF(B21="","",B20-B21)</f>
        <v>1341411</v>
      </c>
      <c r="C23" s="264">
        <f t="shared" ref="C23:D23" si="5" xml:space="preserve">
IF(C21="","",C20-C21)</f>
        <v>144387</v>
      </c>
      <c r="D23" s="264">
        <f t="shared" si="5"/>
        <v>844014</v>
      </c>
      <c r="E23" s="264">
        <f t="shared" ref="E23:H23" si="6" xml:space="preserve">
IF(E21="","",E20-E21)</f>
        <v>0</v>
      </c>
      <c r="F23" s="264">
        <f t="shared" si="6"/>
        <v>98892</v>
      </c>
      <c r="G23" s="264">
        <f t="shared" si="6"/>
        <v>99898</v>
      </c>
      <c r="H23" s="264">
        <f t="shared" si="6"/>
        <v>85347</v>
      </c>
      <c r="J23" s="588"/>
    </row>
    <row r="24" spans="1:10" x14ac:dyDescent="0.3">
      <c r="A24" s="244" t="s">
        <v>190</v>
      </c>
      <c r="B24" s="281" t="s">
        <v>3</v>
      </c>
      <c r="C24" s="589"/>
      <c r="D24" s="561"/>
      <c r="E24" s="562" t="s">
        <v>201</v>
      </c>
      <c r="F24" s="563"/>
      <c r="G24" s="563"/>
      <c r="H24" s="563"/>
      <c r="I24" s="584" t="s">
        <v>202</v>
      </c>
      <c r="J24" s="588"/>
    </row>
    <row r="25" spans="1:10" x14ac:dyDescent="0.3">
      <c r="A25" s="245" t="s">
        <v>73</v>
      </c>
      <c r="B25" s="261">
        <f xml:space="preserve">
SUM(C25:I25)</f>
        <v>5400</v>
      </c>
      <c r="C25" s="590"/>
      <c r="D25" s="564"/>
      <c r="E25" s="565">
        <f xml:space="preserve">
IF($A$4&lt;=12,SUMIFS('ON Data'!O:O,'ON Data'!$D:$D,$A$4,'ON Data'!$E:$E,10),SUMIFS('ON Data'!O:O,'ON Data'!$E:$E,10))</f>
        <v>5400</v>
      </c>
      <c r="F25" s="566"/>
      <c r="G25" s="566"/>
      <c r="H25" s="566"/>
      <c r="I25" s="585">
        <f xml:space="preserve">
IF($A$4&lt;=12,SUMIFS('ON Data'!AW:AW,'ON Data'!$D:$D,$A$4,'ON Data'!$E:$E,10),SUMIFS('ON Data'!AW:AW,'ON Data'!$E:$E,10))</f>
        <v>0</v>
      </c>
      <c r="J25" s="588"/>
    </row>
    <row r="26" spans="1:10" x14ac:dyDescent="0.3">
      <c r="A26" s="251" t="s">
        <v>200</v>
      </c>
      <c r="B26" s="267">
        <f xml:space="preserve">
SUM(C26:I26)</f>
        <v>3333.3333333333335</v>
      </c>
      <c r="C26" s="590"/>
      <c r="D26" s="564"/>
      <c r="E26" s="567">
        <f xml:space="preserve">
IF($A$4&lt;=12,SUMIFS('ON Data'!O:O,'ON Data'!$D:$D,$A$4,'ON Data'!$E:$E,11),SUMIFS('ON Data'!O:O,'ON Data'!$E:$E,11))</f>
        <v>3333.3333333333335</v>
      </c>
      <c r="F26" s="568"/>
      <c r="G26" s="568"/>
      <c r="H26" s="568"/>
      <c r="I26" s="585">
        <f xml:space="preserve">
IF($A$4&lt;=12,SUMIFS('ON Data'!AW:AW,'ON Data'!$D:$D,$A$4,'ON Data'!$E:$E,11),SUMIFS('ON Data'!AW:AW,'ON Data'!$E:$E,11))</f>
        <v>0</v>
      </c>
      <c r="J26" s="588"/>
    </row>
    <row r="27" spans="1:10" x14ac:dyDescent="0.3">
      <c r="A27" s="251" t="s">
        <v>75</v>
      </c>
      <c r="B27" s="282">
        <f xml:space="preserve">
IF(B26=0,0,B25/B26)</f>
        <v>1.6199999999999999</v>
      </c>
      <c r="C27" s="591"/>
      <c r="D27" s="564"/>
      <c r="E27" s="569">
        <f xml:space="preserve">
IF(E26=0,0,E25/E26)</f>
        <v>1.6199999999999999</v>
      </c>
      <c r="F27" s="566"/>
      <c r="G27" s="566"/>
      <c r="H27" s="566"/>
      <c r="I27" s="586">
        <f xml:space="preserve">
IF(I26=0,0,I25/I26)</f>
        <v>0</v>
      </c>
      <c r="J27" s="588"/>
    </row>
    <row r="28" spans="1:10" ht="15" thickBot="1" x14ac:dyDescent="0.35">
      <c r="A28" s="251" t="s">
        <v>199</v>
      </c>
      <c r="B28" s="267">
        <f xml:space="preserve">
SUM(C28:I28)</f>
        <v>-2066.6666666666665</v>
      </c>
      <c r="C28" s="592"/>
      <c r="D28" s="570"/>
      <c r="E28" s="571">
        <f xml:space="preserve">
E26-E25</f>
        <v>-2066.6666666666665</v>
      </c>
      <c r="F28" s="572"/>
      <c r="G28" s="572"/>
      <c r="H28" s="572"/>
      <c r="I28" s="587">
        <f xml:space="preserve">
I26-I25</f>
        <v>0</v>
      </c>
      <c r="J28" s="588"/>
    </row>
    <row r="29" spans="1:10" x14ac:dyDescent="0.3">
      <c r="A29" s="252"/>
      <c r="B29" s="252"/>
      <c r="C29" s="253"/>
      <c r="D29" s="253"/>
      <c r="E29" s="253"/>
      <c r="F29" s="253"/>
      <c r="G29" s="253"/>
      <c r="H29" s="253"/>
    </row>
    <row r="30" spans="1:10" x14ac:dyDescent="0.3">
      <c r="A30" s="116" t="s">
        <v>161</v>
      </c>
      <c r="B30" s="133"/>
      <c r="C30" s="133"/>
      <c r="D30" s="133"/>
      <c r="E30" s="133"/>
      <c r="F30" s="133"/>
      <c r="G30" s="133"/>
      <c r="H30" s="133"/>
    </row>
    <row r="31" spans="1:10" x14ac:dyDescent="0.3">
      <c r="A31" s="117" t="s">
        <v>197</v>
      </c>
      <c r="B31" s="133"/>
      <c r="C31" s="133"/>
      <c r="D31" s="133"/>
      <c r="E31" s="133"/>
      <c r="F31" s="133"/>
      <c r="G31" s="133"/>
      <c r="H31" s="133"/>
    </row>
    <row r="32" spans="1:10" ht="14.4" customHeight="1" x14ac:dyDescent="0.3">
      <c r="A32" s="278" t="s">
        <v>194</v>
      </c>
      <c r="B32" s="279"/>
      <c r="C32" s="279"/>
      <c r="D32" s="279"/>
      <c r="E32" s="279"/>
      <c r="F32" s="279"/>
      <c r="G32" s="279"/>
      <c r="H32" s="279"/>
    </row>
    <row r="33" spans="1:1" x14ac:dyDescent="0.3">
      <c r="A33" s="280" t="s">
        <v>227</v>
      </c>
    </row>
    <row r="34" spans="1:1" x14ac:dyDescent="0.3">
      <c r="A34" s="280" t="s">
        <v>228</v>
      </c>
    </row>
    <row r="35" spans="1:1" x14ac:dyDescent="0.3">
      <c r="A35" s="280" t="s">
        <v>229</v>
      </c>
    </row>
    <row r="36" spans="1:1" x14ac:dyDescent="0.3">
      <c r="A36" s="280" t="s">
        <v>203</v>
      </c>
    </row>
  </sheetData>
  <mergeCells count="12">
    <mergeCell ref="B3:B4"/>
    <mergeCell ref="A1:I1"/>
    <mergeCell ref="C27:D27"/>
    <mergeCell ref="C28:D28"/>
    <mergeCell ref="E27:H27"/>
    <mergeCell ref="E28:H28"/>
    <mergeCell ref="C24:D24"/>
    <mergeCell ref="C25:D25"/>
    <mergeCell ref="C26:D26"/>
    <mergeCell ref="E24:H24"/>
    <mergeCell ref="E25:H25"/>
    <mergeCell ref="E26:H26"/>
  </mergeCells>
  <conditionalFormatting sqref="B22:H22">
    <cfRule type="cellIs" dxfId="7" priority="6" operator="greaterThan">
      <formula>1</formula>
    </cfRule>
  </conditionalFormatting>
  <conditionalFormatting sqref="B23:H23">
    <cfRule type="cellIs" dxfId="6" priority="5" operator="greaterThan">
      <formula>0</formula>
    </cfRule>
  </conditionalFormatting>
  <conditionalFormatting sqref="I27">
    <cfRule type="cellIs" dxfId="5" priority="4" operator="greaterThan">
      <formula>1</formula>
    </cfRule>
  </conditionalFormatting>
  <conditionalFormatting sqref="I28">
    <cfRule type="cellIs" dxfId="4" priority="3" operator="lessThan">
      <formula>0</formula>
    </cfRule>
  </conditionalFormatting>
  <conditionalFormatting sqref="E28">
    <cfRule type="cellIs" dxfId="3" priority="1" operator="lessThan">
      <formula>0</formula>
    </cfRule>
  </conditionalFormatting>
  <conditionalFormatting sqref="E27">
    <cfRule type="cellIs" dxfId="2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18"/>
  <sheetViews>
    <sheetView showGridLines="0" showRowColHeaders="0" workbookViewId="0"/>
  </sheetViews>
  <sheetFormatPr defaultRowHeight="14.4" x14ac:dyDescent="0.3"/>
  <cols>
    <col min="1" max="16384" width="8.88671875" style="235"/>
  </cols>
  <sheetData>
    <row r="1" spans="1:49" x14ac:dyDescent="0.3">
      <c r="A1" s="235" t="s">
        <v>995</v>
      </c>
    </row>
    <row r="2" spans="1:49" x14ac:dyDescent="0.3">
      <c r="A2" s="239" t="s">
        <v>251</v>
      </c>
    </row>
    <row r="3" spans="1:49" x14ac:dyDescent="0.3">
      <c r="A3" s="235" t="s">
        <v>167</v>
      </c>
      <c r="B3" s="256">
        <v>2016</v>
      </c>
      <c r="D3" s="236">
        <f>MAX(D5:D1048576)</f>
        <v>2</v>
      </c>
      <c r="F3" s="236">
        <f>SUMIF($E5:$E1048576,"&lt;10",F5:F1048576)</f>
        <v>1388732.7999999998</v>
      </c>
      <c r="G3" s="236">
        <f t="shared" ref="G3:AW3" si="0">SUMIF($E5:$E1048576,"&lt;10",G5:G1048576)</f>
        <v>0</v>
      </c>
      <c r="H3" s="236">
        <f t="shared" si="0"/>
        <v>0</v>
      </c>
      <c r="I3" s="236">
        <f t="shared" si="0"/>
        <v>0</v>
      </c>
      <c r="J3" s="236">
        <f t="shared" si="0"/>
        <v>144945.5</v>
      </c>
      <c r="K3" s="236">
        <f t="shared" si="0"/>
        <v>883304.3</v>
      </c>
      <c r="L3" s="236">
        <f t="shared" si="0"/>
        <v>0</v>
      </c>
      <c r="M3" s="236">
        <f t="shared" si="0"/>
        <v>0</v>
      </c>
      <c r="N3" s="236">
        <f t="shared" si="0"/>
        <v>0</v>
      </c>
      <c r="O3" s="236">
        <f t="shared" si="0"/>
        <v>0</v>
      </c>
      <c r="P3" s="236">
        <f t="shared" si="0"/>
        <v>99496</v>
      </c>
      <c r="Q3" s="236">
        <f t="shared" si="0"/>
        <v>100550</v>
      </c>
      <c r="R3" s="236">
        <f t="shared" si="0"/>
        <v>89761</v>
      </c>
      <c r="S3" s="236">
        <f t="shared" si="0"/>
        <v>0</v>
      </c>
      <c r="T3" s="236">
        <f t="shared" si="0"/>
        <v>0</v>
      </c>
      <c r="U3" s="236">
        <f t="shared" si="0"/>
        <v>0</v>
      </c>
      <c r="V3" s="236">
        <f t="shared" si="0"/>
        <v>0</v>
      </c>
      <c r="W3" s="236">
        <f t="shared" si="0"/>
        <v>0</v>
      </c>
      <c r="X3" s="236">
        <f t="shared" si="0"/>
        <v>0</v>
      </c>
      <c r="Y3" s="236">
        <f t="shared" si="0"/>
        <v>0</v>
      </c>
      <c r="Z3" s="236">
        <f t="shared" si="0"/>
        <v>0</v>
      </c>
      <c r="AA3" s="236">
        <f t="shared" si="0"/>
        <v>0</v>
      </c>
      <c r="AB3" s="236">
        <f t="shared" si="0"/>
        <v>0</v>
      </c>
      <c r="AC3" s="236">
        <f t="shared" si="0"/>
        <v>0</v>
      </c>
      <c r="AD3" s="236">
        <f t="shared" si="0"/>
        <v>0</v>
      </c>
      <c r="AE3" s="236">
        <f t="shared" si="0"/>
        <v>0</v>
      </c>
      <c r="AF3" s="236">
        <f t="shared" si="0"/>
        <v>0</v>
      </c>
      <c r="AG3" s="236">
        <f t="shared" si="0"/>
        <v>0</v>
      </c>
      <c r="AH3" s="236">
        <f t="shared" si="0"/>
        <v>0</v>
      </c>
      <c r="AI3" s="236">
        <f t="shared" si="0"/>
        <v>0</v>
      </c>
      <c r="AJ3" s="236">
        <f t="shared" si="0"/>
        <v>0</v>
      </c>
      <c r="AK3" s="236">
        <f t="shared" si="0"/>
        <v>0</v>
      </c>
      <c r="AL3" s="236">
        <f t="shared" si="0"/>
        <v>0</v>
      </c>
      <c r="AM3" s="236">
        <f t="shared" si="0"/>
        <v>0</v>
      </c>
      <c r="AN3" s="236">
        <f t="shared" si="0"/>
        <v>0</v>
      </c>
      <c r="AO3" s="236">
        <f t="shared" si="0"/>
        <v>0</v>
      </c>
      <c r="AP3" s="236">
        <f t="shared" si="0"/>
        <v>0</v>
      </c>
      <c r="AQ3" s="236">
        <f t="shared" si="0"/>
        <v>0</v>
      </c>
      <c r="AR3" s="236">
        <f t="shared" si="0"/>
        <v>0</v>
      </c>
      <c r="AS3" s="236">
        <f t="shared" si="0"/>
        <v>0</v>
      </c>
      <c r="AT3" s="236">
        <f t="shared" si="0"/>
        <v>0</v>
      </c>
      <c r="AU3" s="236">
        <f t="shared" si="0"/>
        <v>0</v>
      </c>
      <c r="AV3" s="236">
        <f t="shared" si="0"/>
        <v>0</v>
      </c>
      <c r="AW3" s="236">
        <f t="shared" si="0"/>
        <v>70676</v>
      </c>
    </row>
    <row r="4" spans="1:49" x14ac:dyDescent="0.3">
      <c r="A4" s="235" t="s">
        <v>168</v>
      </c>
      <c r="B4" s="256">
        <v>1</v>
      </c>
      <c r="C4" s="237" t="s">
        <v>5</v>
      </c>
      <c r="D4" s="238" t="s">
        <v>67</v>
      </c>
      <c r="E4" s="238" t="s">
        <v>166</v>
      </c>
      <c r="F4" s="238" t="s">
        <v>3</v>
      </c>
      <c r="G4" s="238">
        <v>0</v>
      </c>
      <c r="H4" s="238">
        <v>25</v>
      </c>
      <c r="I4" s="238">
        <v>99</v>
      </c>
      <c r="J4" s="238">
        <v>100</v>
      </c>
      <c r="K4" s="238">
        <v>101</v>
      </c>
      <c r="L4" s="238">
        <v>102</v>
      </c>
      <c r="M4" s="238">
        <v>103</v>
      </c>
      <c r="N4" s="238">
        <v>203</v>
      </c>
      <c r="O4" s="238">
        <v>302</v>
      </c>
      <c r="P4" s="238">
        <v>303</v>
      </c>
      <c r="Q4" s="238">
        <v>304</v>
      </c>
      <c r="R4" s="238">
        <v>305</v>
      </c>
      <c r="S4" s="238">
        <v>306</v>
      </c>
      <c r="T4" s="238">
        <v>407</v>
      </c>
      <c r="U4" s="238">
        <v>408</v>
      </c>
      <c r="V4" s="238">
        <v>409</v>
      </c>
      <c r="W4" s="238">
        <v>410</v>
      </c>
      <c r="X4" s="238">
        <v>415</v>
      </c>
      <c r="Y4" s="238">
        <v>416</v>
      </c>
      <c r="Z4" s="238">
        <v>418</v>
      </c>
      <c r="AA4" s="238">
        <v>419</v>
      </c>
      <c r="AB4" s="238">
        <v>420</v>
      </c>
      <c r="AC4" s="238">
        <v>421</v>
      </c>
      <c r="AD4" s="238">
        <v>520</v>
      </c>
      <c r="AE4" s="238">
        <v>521</v>
      </c>
      <c r="AF4" s="238">
        <v>522</v>
      </c>
      <c r="AG4" s="238">
        <v>523</v>
      </c>
      <c r="AH4" s="238">
        <v>524</v>
      </c>
      <c r="AI4" s="238">
        <v>525</v>
      </c>
      <c r="AJ4" s="238">
        <v>526</v>
      </c>
      <c r="AK4" s="238">
        <v>527</v>
      </c>
      <c r="AL4" s="238">
        <v>528</v>
      </c>
      <c r="AM4" s="238">
        <v>629</v>
      </c>
      <c r="AN4" s="238">
        <v>630</v>
      </c>
      <c r="AO4" s="238">
        <v>636</v>
      </c>
      <c r="AP4" s="238">
        <v>637</v>
      </c>
      <c r="AQ4" s="238">
        <v>640</v>
      </c>
      <c r="AR4" s="238">
        <v>642</v>
      </c>
      <c r="AS4" s="238">
        <v>743</v>
      </c>
      <c r="AT4" s="238">
        <v>745</v>
      </c>
      <c r="AU4" s="238">
        <v>746</v>
      </c>
      <c r="AV4" s="238">
        <v>747</v>
      </c>
      <c r="AW4" s="238">
        <v>930</v>
      </c>
    </row>
    <row r="5" spans="1:49" x14ac:dyDescent="0.3">
      <c r="A5" s="235" t="s">
        <v>169</v>
      </c>
      <c r="B5" s="256">
        <v>2</v>
      </c>
      <c r="C5" s="235">
        <v>29</v>
      </c>
      <c r="D5" s="235">
        <v>1</v>
      </c>
      <c r="E5" s="235">
        <v>1</v>
      </c>
      <c r="F5" s="235">
        <v>12.95</v>
      </c>
      <c r="G5" s="235">
        <v>0</v>
      </c>
      <c r="H5" s="235">
        <v>0</v>
      </c>
      <c r="I5" s="235">
        <v>0</v>
      </c>
      <c r="J5" s="235">
        <v>2</v>
      </c>
      <c r="K5" s="235">
        <v>4.45</v>
      </c>
      <c r="L5" s="235">
        <v>0</v>
      </c>
      <c r="M5" s="235">
        <v>0</v>
      </c>
      <c r="N5" s="235">
        <v>0</v>
      </c>
      <c r="O5" s="235">
        <v>0</v>
      </c>
      <c r="P5" s="235">
        <v>2</v>
      </c>
      <c r="Q5" s="235">
        <v>2</v>
      </c>
      <c r="R5" s="235">
        <v>1</v>
      </c>
      <c r="S5" s="235">
        <v>0</v>
      </c>
      <c r="T5" s="235">
        <v>0</v>
      </c>
      <c r="U5" s="235">
        <v>0</v>
      </c>
      <c r="V5" s="235">
        <v>0</v>
      </c>
      <c r="W5" s="235">
        <v>0</v>
      </c>
      <c r="X5" s="235">
        <v>0</v>
      </c>
      <c r="Y5" s="235">
        <v>0</v>
      </c>
      <c r="Z5" s="235">
        <v>0</v>
      </c>
      <c r="AA5" s="235">
        <v>0</v>
      </c>
      <c r="AB5" s="235">
        <v>0</v>
      </c>
      <c r="AC5" s="235">
        <v>0</v>
      </c>
      <c r="AD5" s="235">
        <v>0</v>
      </c>
      <c r="AE5" s="235">
        <v>0</v>
      </c>
      <c r="AF5" s="235">
        <v>0</v>
      </c>
      <c r="AG5" s="235">
        <v>0</v>
      </c>
      <c r="AH5" s="235">
        <v>0</v>
      </c>
      <c r="AI5" s="235">
        <v>0</v>
      </c>
      <c r="AJ5" s="235">
        <v>0</v>
      </c>
      <c r="AK5" s="235">
        <v>0</v>
      </c>
      <c r="AL5" s="235">
        <v>0</v>
      </c>
      <c r="AM5" s="235">
        <v>0</v>
      </c>
      <c r="AN5" s="235">
        <v>0</v>
      </c>
      <c r="AO5" s="235">
        <v>0</v>
      </c>
      <c r="AP5" s="235">
        <v>0</v>
      </c>
      <c r="AQ5" s="235">
        <v>0</v>
      </c>
      <c r="AR5" s="235">
        <v>0</v>
      </c>
      <c r="AS5" s="235">
        <v>0</v>
      </c>
      <c r="AT5" s="235">
        <v>0</v>
      </c>
      <c r="AU5" s="235">
        <v>0</v>
      </c>
      <c r="AV5" s="235">
        <v>0</v>
      </c>
      <c r="AW5" s="235">
        <v>1.5</v>
      </c>
    </row>
    <row r="6" spans="1:49" x14ac:dyDescent="0.3">
      <c r="A6" s="235" t="s">
        <v>170</v>
      </c>
      <c r="B6" s="256">
        <v>3</v>
      </c>
      <c r="C6" s="235">
        <v>29</v>
      </c>
      <c r="D6" s="235">
        <v>1</v>
      </c>
      <c r="E6" s="235">
        <v>2</v>
      </c>
      <c r="F6" s="235">
        <v>2068</v>
      </c>
      <c r="G6" s="235">
        <v>0</v>
      </c>
      <c r="H6" s="235">
        <v>0</v>
      </c>
      <c r="I6" s="235">
        <v>0</v>
      </c>
      <c r="J6" s="235">
        <v>328</v>
      </c>
      <c r="K6" s="235">
        <v>688</v>
      </c>
      <c r="L6" s="235">
        <v>0</v>
      </c>
      <c r="M6" s="235">
        <v>0</v>
      </c>
      <c r="N6" s="235">
        <v>0</v>
      </c>
      <c r="O6" s="235">
        <v>0</v>
      </c>
      <c r="P6" s="235">
        <v>312</v>
      </c>
      <c r="Q6" s="235">
        <v>336</v>
      </c>
      <c r="R6" s="235">
        <v>152</v>
      </c>
      <c r="S6" s="235">
        <v>0</v>
      </c>
      <c r="T6" s="235">
        <v>0</v>
      </c>
      <c r="U6" s="235">
        <v>0</v>
      </c>
      <c r="V6" s="235">
        <v>0</v>
      </c>
      <c r="W6" s="235">
        <v>0</v>
      </c>
      <c r="X6" s="235">
        <v>0</v>
      </c>
      <c r="Y6" s="235">
        <v>0</v>
      </c>
      <c r="Z6" s="235">
        <v>0</v>
      </c>
      <c r="AA6" s="235">
        <v>0</v>
      </c>
      <c r="AB6" s="235">
        <v>0</v>
      </c>
      <c r="AC6" s="235">
        <v>0</v>
      </c>
      <c r="AD6" s="235">
        <v>0</v>
      </c>
      <c r="AE6" s="235">
        <v>0</v>
      </c>
      <c r="AF6" s="235">
        <v>0</v>
      </c>
      <c r="AG6" s="235">
        <v>0</v>
      </c>
      <c r="AH6" s="235">
        <v>0</v>
      </c>
      <c r="AI6" s="235">
        <v>0</v>
      </c>
      <c r="AJ6" s="235">
        <v>0</v>
      </c>
      <c r="AK6" s="235">
        <v>0</v>
      </c>
      <c r="AL6" s="235">
        <v>0</v>
      </c>
      <c r="AM6" s="235">
        <v>0</v>
      </c>
      <c r="AN6" s="235">
        <v>0</v>
      </c>
      <c r="AO6" s="235">
        <v>0</v>
      </c>
      <c r="AP6" s="235">
        <v>0</v>
      </c>
      <c r="AQ6" s="235">
        <v>0</v>
      </c>
      <c r="AR6" s="235">
        <v>0</v>
      </c>
      <c r="AS6" s="235">
        <v>0</v>
      </c>
      <c r="AT6" s="235">
        <v>0</v>
      </c>
      <c r="AU6" s="235">
        <v>0</v>
      </c>
      <c r="AV6" s="235">
        <v>0</v>
      </c>
      <c r="AW6" s="235">
        <v>252</v>
      </c>
    </row>
    <row r="7" spans="1:49" x14ac:dyDescent="0.3">
      <c r="A7" s="235" t="s">
        <v>171</v>
      </c>
      <c r="B7" s="256">
        <v>4</v>
      </c>
      <c r="C7" s="235">
        <v>29</v>
      </c>
      <c r="D7" s="235">
        <v>1</v>
      </c>
      <c r="E7" s="235">
        <v>4</v>
      </c>
      <c r="F7" s="235">
        <v>115.5</v>
      </c>
      <c r="G7" s="235">
        <v>0</v>
      </c>
      <c r="H7" s="235">
        <v>0</v>
      </c>
      <c r="I7" s="235">
        <v>0</v>
      </c>
      <c r="J7" s="235">
        <v>39.5</v>
      </c>
      <c r="K7" s="235">
        <v>76</v>
      </c>
      <c r="L7" s="235">
        <v>0</v>
      </c>
      <c r="M7" s="235">
        <v>0</v>
      </c>
      <c r="N7" s="235">
        <v>0</v>
      </c>
      <c r="O7" s="235">
        <v>0</v>
      </c>
      <c r="P7" s="235">
        <v>0</v>
      </c>
      <c r="Q7" s="235">
        <v>0</v>
      </c>
      <c r="R7" s="235">
        <v>0</v>
      </c>
      <c r="S7" s="235">
        <v>0</v>
      </c>
      <c r="T7" s="235">
        <v>0</v>
      </c>
      <c r="U7" s="235">
        <v>0</v>
      </c>
      <c r="V7" s="235">
        <v>0</v>
      </c>
      <c r="W7" s="235">
        <v>0</v>
      </c>
      <c r="X7" s="235">
        <v>0</v>
      </c>
      <c r="Y7" s="235">
        <v>0</v>
      </c>
      <c r="Z7" s="235">
        <v>0</v>
      </c>
      <c r="AA7" s="235">
        <v>0</v>
      </c>
      <c r="AB7" s="235">
        <v>0</v>
      </c>
      <c r="AC7" s="235">
        <v>0</v>
      </c>
      <c r="AD7" s="235">
        <v>0</v>
      </c>
      <c r="AE7" s="235">
        <v>0</v>
      </c>
      <c r="AF7" s="235">
        <v>0</v>
      </c>
      <c r="AG7" s="235">
        <v>0</v>
      </c>
      <c r="AH7" s="235">
        <v>0</v>
      </c>
      <c r="AI7" s="235">
        <v>0</v>
      </c>
      <c r="AJ7" s="235">
        <v>0</v>
      </c>
      <c r="AK7" s="235">
        <v>0</v>
      </c>
      <c r="AL7" s="235">
        <v>0</v>
      </c>
      <c r="AM7" s="235">
        <v>0</v>
      </c>
      <c r="AN7" s="235">
        <v>0</v>
      </c>
      <c r="AO7" s="235">
        <v>0</v>
      </c>
      <c r="AP7" s="235">
        <v>0</v>
      </c>
      <c r="AQ7" s="235">
        <v>0</v>
      </c>
      <c r="AR7" s="235">
        <v>0</v>
      </c>
      <c r="AS7" s="235">
        <v>0</v>
      </c>
      <c r="AT7" s="235">
        <v>0</v>
      </c>
      <c r="AU7" s="235">
        <v>0</v>
      </c>
      <c r="AV7" s="235">
        <v>0</v>
      </c>
      <c r="AW7" s="235">
        <v>0</v>
      </c>
    </row>
    <row r="8" spans="1:49" x14ac:dyDescent="0.3">
      <c r="A8" s="235" t="s">
        <v>172</v>
      </c>
      <c r="B8" s="256">
        <v>5</v>
      </c>
      <c r="C8" s="235">
        <v>29</v>
      </c>
      <c r="D8" s="235">
        <v>1</v>
      </c>
      <c r="E8" s="235">
        <v>6</v>
      </c>
      <c r="F8" s="235">
        <v>675010</v>
      </c>
      <c r="G8" s="235">
        <v>0</v>
      </c>
      <c r="H8" s="235">
        <v>0</v>
      </c>
      <c r="I8" s="235">
        <v>0</v>
      </c>
      <c r="J8" s="235">
        <v>96389</v>
      </c>
      <c r="K8" s="235">
        <v>403537</v>
      </c>
      <c r="L8" s="235">
        <v>0</v>
      </c>
      <c r="M8" s="235">
        <v>0</v>
      </c>
      <c r="N8" s="235">
        <v>0</v>
      </c>
      <c r="O8" s="235">
        <v>0</v>
      </c>
      <c r="P8" s="235">
        <v>49275</v>
      </c>
      <c r="Q8" s="235">
        <v>48960</v>
      </c>
      <c r="R8" s="235">
        <v>42474</v>
      </c>
      <c r="S8" s="235">
        <v>0</v>
      </c>
      <c r="T8" s="235">
        <v>0</v>
      </c>
      <c r="U8" s="235">
        <v>0</v>
      </c>
      <c r="V8" s="235">
        <v>0</v>
      </c>
      <c r="W8" s="235">
        <v>0</v>
      </c>
      <c r="X8" s="235">
        <v>0</v>
      </c>
      <c r="Y8" s="235">
        <v>0</v>
      </c>
      <c r="Z8" s="235">
        <v>0</v>
      </c>
      <c r="AA8" s="235">
        <v>0</v>
      </c>
      <c r="AB8" s="235">
        <v>0</v>
      </c>
      <c r="AC8" s="235">
        <v>0</v>
      </c>
      <c r="AD8" s="235">
        <v>0</v>
      </c>
      <c r="AE8" s="235">
        <v>0</v>
      </c>
      <c r="AF8" s="235">
        <v>0</v>
      </c>
      <c r="AG8" s="235">
        <v>0</v>
      </c>
      <c r="AH8" s="235">
        <v>0</v>
      </c>
      <c r="AI8" s="235">
        <v>0</v>
      </c>
      <c r="AJ8" s="235">
        <v>0</v>
      </c>
      <c r="AK8" s="235">
        <v>0</v>
      </c>
      <c r="AL8" s="235">
        <v>0</v>
      </c>
      <c r="AM8" s="235">
        <v>0</v>
      </c>
      <c r="AN8" s="235">
        <v>0</v>
      </c>
      <c r="AO8" s="235">
        <v>0</v>
      </c>
      <c r="AP8" s="235">
        <v>0</v>
      </c>
      <c r="AQ8" s="235">
        <v>0</v>
      </c>
      <c r="AR8" s="235">
        <v>0</v>
      </c>
      <c r="AS8" s="235">
        <v>0</v>
      </c>
      <c r="AT8" s="235">
        <v>0</v>
      </c>
      <c r="AU8" s="235">
        <v>0</v>
      </c>
      <c r="AV8" s="235">
        <v>0</v>
      </c>
      <c r="AW8" s="235">
        <v>34375</v>
      </c>
    </row>
    <row r="9" spans="1:49" x14ac:dyDescent="0.3">
      <c r="A9" s="235" t="s">
        <v>173</v>
      </c>
      <c r="B9" s="256">
        <v>6</v>
      </c>
      <c r="C9" s="235">
        <v>29</v>
      </c>
      <c r="D9" s="235">
        <v>1</v>
      </c>
      <c r="E9" s="235">
        <v>9</v>
      </c>
      <c r="F9" s="235">
        <v>19065</v>
      </c>
      <c r="G9" s="235">
        <v>0</v>
      </c>
      <c r="H9" s="235">
        <v>0</v>
      </c>
      <c r="I9" s="235">
        <v>0</v>
      </c>
      <c r="J9" s="235">
        <v>0</v>
      </c>
      <c r="K9" s="235">
        <v>16865</v>
      </c>
      <c r="L9" s="235">
        <v>0</v>
      </c>
      <c r="M9" s="235">
        <v>0</v>
      </c>
      <c r="N9" s="235">
        <v>0</v>
      </c>
      <c r="O9" s="235">
        <v>0</v>
      </c>
      <c r="P9" s="235">
        <v>0</v>
      </c>
      <c r="Q9" s="235">
        <v>0</v>
      </c>
      <c r="R9" s="235">
        <v>1600</v>
      </c>
      <c r="S9" s="235">
        <v>0</v>
      </c>
      <c r="T9" s="235">
        <v>0</v>
      </c>
      <c r="U9" s="235">
        <v>0</v>
      </c>
      <c r="V9" s="235">
        <v>0</v>
      </c>
      <c r="W9" s="235">
        <v>0</v>
      </c>
      <c r="X9" s="235">
        <v>0</v>
      </c>
      <c r="Y9" s="235">
        <v>0</v>
      </c>
      <c r="Z9" s="235">
        <v>0</v>
      </c>
      <c r="AA9" s="235">
        <v>0</v>
      </c>
      <c r="AB9" s="235">
        <v>0</v>
      </c>
      <c r="AC9" s="235">
        <v>0</v>
      </c>
      <c r="AD9" s="235">
        <v>0</v>
      </c>
      <c r="AE9" s="235">
        <v>0</v>
      </c>
      <c r="AF9" s="235">
        <v>0</v>
      </c>
      <c r="AG9" s="235">
        <v>0</v>
      </c>
      <c r="AH9" s="235">
        <v>0</v>
      </c>
      <c r="AI9" s="235">
        <v>0</v>
      </c>
      <c r="AJ9" s="235">
        <v>0</v>
      </c>
      <c r="AK9" s="235">
        <v>0</v>
      </c>
      <c r="AL9" s="235">
        <v>0</v>
      </c>
      <c r="AM9" s="235">
        <v>0</v>
      </c>
      <c r="AN9" s="235">
        <v>0</v>
      </c>
      <c r="AO9" s="235">
        <v>0</v>
      </c>
      <c r="AP9" s="235">
        <v>0</v>
      </c>
      <c r="AQ9" s="235">
        <v>0</v>
      </c>
      <c r="AR9" s="235">
        <v>0</v>
      </c>
      <c r="AS9" s="235">
        <v>0</v>
      </c>
      <c r="AT9" s="235">
        <v>0</v>
      </c>
      <c r="AU9" s="235">
        <v>0</v>
      </c>
      <c r="AV9" s="235">
        <v>0</v>
      </c>
      <c r="AW9" s="235">
        <v>600</v>
      </c>
    </row>
    <row r="10" spans="1:49" x14ac:dyDescent="0.3">
      <c r="A10" s="235" t="s">
        <v>174</v>
      </c>
      <c r="B10" s="256">
        <v>7</v>
      </c>
      <c r="C10" s="235">
        <v>29</v>
      </c>
      <c r="D10" s="235">
        <v>1</v>
      </c>
      <c r="E10" s="235">
        <v>10</v>
      </c>
      <c r="F10" s="235">
        <v>18400</v>
      </c>
      <c r="G10" s="235">
        <v>0</v>
      </c>
      <c r="H10" s="235">
        <v>0</v>
      </c>
      <c r="I10" s="235">
        <v>0</v>
      </c>
      <c r="J10" s="235">
        <v>15000</v>
      </c>
      <c r="K10" s="235">
        <v>0</v>
      </c>
      <c r="L10" s="235">
        <v>0</v>
      </c>
      <c r="M10" s="235">
        <v>0</v>
      </c>
      <c r="N10" s="235">
        <v>0</v>
      </c>
      <c r="O10" s="235">
        <v>3400</v>
      </c>
      <c r="P10" s="235">
        <v>0</v>
      </c>
      <c r="Q10" s="235">
        <v>0</v>
      </c>
      <c r="R10" s="235">
        <v>0</v>
      </c>
      <c r="S10" s="235">
        <v>0</v>
      </c>
      <c r="T10" s="235">
        <v>0</v>
      </c>
      <c r="U10" s="235">
        <v>0</v>
      </c>
      <c r="V10" s="235">
        <v>0</v>
      </c>
      <c r="W10" s="235">
        <v>0</v>
      </c>
      <c r="X10" s="235">
        <v>0</v>
      </c>
      <c r="Y10" s="235">
        <v>0</v>
      </c>
      <c r="Z10" s="235">
        <v>0</v>
      </c>
      <c r="AA10" s="235">
        <v>0</v>
      </c>
      <c r="AB10" s="235">
        <v>0</v>
      </c>
      <c r="AC10" s="235">
        <v>0</v>
      </c>
      <c r="AD10" s="235">
        <v>0</v>
      </c>
      <c r="AE10" s="235">
        <v>0</v>
      </c>
      <c r="AF10" s="235">
        <v>0</v>
      </c>
      <c r="AG10" s="235">
        <v>0</v>
      </c>
      <c r="AH10" s="235">
        <v>0</v>
      </c>
      <c r="AI10" s="235">
        <v>0</v>
      </c>
      <c r="AJ10" s="235">
        <v>0</v>
      </c>
      <c r="AK10" s="235">
        <v>0</v>
      </c>
      <c r="AL10" s="235">
        <v>0</v>
      </c>
      <c r="AM10" s="235">
        <v>0</v>
      </c>
      <c r="AN10" s="235">
        <v>0</v>
      </c>
      <c r="AO10" s="235">
        <v>0</v>
      </c>
      <c r="AP10" s="235">
        <v>0</v>
      </c>
      <c r="AQ10" s="235">
        <v>0</v>
      </c>
      <c r="AR10" s="235">
        <v>0</v>
      </c>
      <c r="AS10" s="235">
        <v>0</v>
      </c>
      <c r="AT10" s="235">
        <v>0</v>
      </c>
      <c r="AU10" s="235">
        <v>0</v>
      </c>
      <c r="AV10" s="235">
        <v>0</v>
      </c>
      <c r="AW10" s="235">
        <v>0</v>
      </c>
    </row>
    <row r="11" spans="1:49" x14ac:dyDescent="0.3">
      <c r="A11" s="235" t="s">
        <v>175</v>
      </c>
      <c r="B11" s="256">
        <v>8</v>
      </c>
      <c r="C11" s="235">
        <v>29</v>
      </c>
      <c r="D11" s="235">
        <v>1</v>
      </c>
      <c r="E11" s="235">
        <v>11</v>
      </c>
      <c r="F11" s="235">
        <v>3646.2639600172765</v>
      </c>
      <c r="G11" s="235">
        <v>0</v>
      </c>
      <c r="H11" s="235">
        <v>0</v>
      </c>
      <c r="I11" s="235">
        <v>0</v>
      </c>
      <c r="J11" s="235">
        <v>1979.5972933506098</v>
      </c>
      <c r="K11" s="235">
        <v>0</v>
      </c>
      <c r="L11" s="235">
        <v>0</v>
      </c>
      <c r="M11" s="235">
        <v>0</v>
      </c>
      <c r="N11" s="235">
        <v>0</v>
      </c>
      <c r="O11" s="235">
        <v>1666.6666666666667</v>
      </c>
      <c r="P11" s="235">
        <v>0</v>
      </c>
      <c r="Q11" s="235">
        <v>0</v>
      </c>
      <c r="R11" s="235">
        <v>0</v>
      </c>
      <c r="S11" s="235">
        <v>0</v>
      </c>
      <c r="T11" s="235">
        <v>0</v>
      </c>
      <c r="U11" s="235">
        <v>0</v>
      </c>
      <c r="V11" s="235">
        <v>0</v>
      </c>
      <c r="W11" s="235">
        <v>0</v>
      </c>
      <c r="X11" s="235">
        <v>0</v>
      </c>
      <c r="Y11" s="235">
        <v>0</v>
      </c>
      <c r="Z11" s="235">
        <v>0</v>
      </c>
      <c r="AA11" s="235">
        <v>0</v>
      </c>
      <c r="AB11" s="235">
        <v>0</v>
      </c>
      <c r="AC11" s="235">
        <v>0</v>
      </c>
      <c r="AD11" s="235">
        <v>0</v>
      </c>
      <c r="AE11" s="235">
        <v>0</v>
      </c>
      <c r="AF11" s="235">
        <v>0</v>
      </c>
      <c r="AG11" s="235">
        <v>0</v>
      </c>
      <c r="AH11" s="235">
        <v>0</v>
      </c>
      <c r="AI11" s="235">
        <v>0</v>
      </c>
      <c r="AJ11" s="235">
        <v>0</v>
      </c>
      <c r="AK11" s="235">
        <v>0</v>
      </c>
      <c r="AL11" s="235">
        <v>0</v>
      </c>
      <c r="AM11" s="235">
        <v>0</v>
      </c>
      <c r="AN11" s="235">
        <v>0</v>
      </c>
      <c r="AO11" s="235">
        <v>0</v>
      </c>
      <c r="AP11" s="235">
        <v>0</v>
      </c>
      <c r="AQ11" s="235">
        <v>0</v>
      </c>
      <c r="AR11" s="235">
        <v>0</v>
      </c>
      <c r="AS11" s="235">
        <v>0</v>
      </c>
      <c r="AT11" s="235">
        <v>0</v>
      </c>
      <c r="AU11" s="235">
        <v>0</v>
      </c>
      <c r="AV11" s="235">
        <v>0</v>
      </c>
      <c r="AW11" s="235">
        <v>0</v>
      </c>
    </row>
    <row r="12" spans="1:49" x14ac:dyDescent="0.3">
      <c r="A12" s="235" t="s">
        <v>176</v>
      </c>
      <c r="B12" s="256">
        <v>9</v>
      </c>
      <c r="C12" s="235">
        <v>29</v>
      </c>
      <c r="D12" s="235">
        <v>2</v>
      </c>
      <c r="E12" s="235">
        <v>1</v>
      </c>
      <c r="F12" s="235">
        <v>12.95</v>
      </c>
      <c r="G12" s="235">
        <v>0</v>
      </c>
      <c r="H12" s="235">
        <v>0</v>
      </c>
      <c r="I12" s="235">
        <v>0</v>
      </c>
      <c r="J12" s="235">
        <v>1</v>
      </c>
      <c r="K12" s="235">
        <v>5.45</v>
      </c>
      <c r="L12" s="235">
        <v>0</v>
      </c>
      <c r="M12" s="235">
        <v>0</v>
      </c>
      <c r="N12" s="235">
        <v>0</v>
      </c>
      <c r="O12" s="235">
        <v>0</v>
      </c>
      <c r="P12" s="235">
        <v>2</v>
      </c>
      <c r="Q12" s="235">
        <v>2</v>
      </c>
      <c r="R12" s="235">
        <v>1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v>0</v>
      </c>
      <c r="AF12" s="235">
        <v>0</v>
      </c>
      <c r="AG12" s="235">
        <v>0</v>
      </c>
      <c r="AH12" s="235">
        <v>0</v>
      </c>
      <c r="AI12" s="235">
        <v>0</v>
      </c>
      <c r="AJ12" s="235">
        <v>0</v>
      </c>
      <c r="AK12" s="235">
        <v>0</v>
      </c>
      <c r="AL12" s="235">
        <v>0</v>
      </c>
      <c r="AM12" s="235">
        <v>0</v>
      </c>
      <c r="AN12" s="235">
        <v>0</v>
      </c>
      <c r="AO12" s="235">
        <v>0</v>
      </c>
      <c r="AP12" s="235">
        <v>0</v>
      </c>
      <c r="AQ12" s="235">
        <v>0</v>
      </c>
      <c r="AR12" s="235">
        <v>0</v>
      </c>
      <c r="AS12" s="235">
        <v>0</v>
      </c>
      <c r="AT12" s="235">
        <v>0</v>
      </c>
      <c r="AU12" s="235">
        <v>0</v>
      </c>
      <c r="AV12" s="235">
        <v>0</v>
      </c>
      <c r="AW12" s="235">
        <v>1.5</v>
      </c>
    </row>
    <row r="13" spans="1:49" x14ac:dyDescent="0.3">
      <c r="A13" s="235" t="s">
        <v>177</v>
      </c>
      <c r="B13" s="256">
        <v>10</v>
      </c>
      <c r="C13" s="235">
        <v>29</v>
      </c>
      <c r="D13" s="235">
        <v>2</v>
      </c>
      <c r="E13" s="235">
        <v>2</v>
      </c>
      <c r="F13" s="235">
        <v>1952.4</v>
      </c>
      <c r="G13" s="235">
        <v>0</v>
      </c>
      <c r="H13" s="235">
        <v>0</v>
      </c>
      <c r="I13" s="235">
        <v>0</v>
      </c>
      <c r="J13" s="235">
        <v>168</v>
      </c>
      <c r="K13" s="235">
        <v>776.4</v>
      </c>
      <c r="L13" s="235">
        <v>0</v>
      </c>
      <c r="M13" s="235">
        <v>0</v>
      </c>
      <c r="N13" s="235">
        <v>0</v>
      </c>
      <c r="O13" s="235">
        <v>0</v>
      </c>
      <c r="P13" s="235">
        <v>288</v>
      </c>
      <c r="Q13" s="235">
        <v>312</v>
      </c>
      <c r="R13" s="235">
        <v>160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0</v>
      </c>
      <c r="Z13" s="235">
        <v>0</v>
      </c>
      <c r="AA13" s="235">
        <v>0</v>
      </c>
      <c r="AB13" s="235">
        <v>0</v>
      </c>
      <c r="AC13" s="235">
        <v>0</v>
      </c>
      <c r="AD13" s="235">
        <v>0</v>
      </c>
      <c r="AE13" s="235">
        <v>0</v>
      </c>
      <c r="AF13" s="235">
        <v>0</v>
      </c>
      <c r="AG13" s="235">
        <v>0</v>
      </c>
      <c r="AH13" s="235">
        <v>0</v>
      </c>
      <c r="AI13" s="235">
        <v>0</v>
      </c>
      <c r="AJ13" s="235">
        <v>0</v>
      </c>
      <c r="AK13" s="235">
        <v>0</v>
      </c>
      <c r="AL13" s="235">
        <v>0</v>
      </c>
      <c r="AM13" s="235">
        <v>0</v>
      </c>
      <c r="AN13" s="235">
        <v>0</v>
      </c>
      <c r="AO13" s="235">
        <v>0</v>
      </c>
      <c r="AP13" s="235">
        <v>0</v>
      </c>
      <c r="AQ13" s="235">
        <v>0</v>
      </c>
      <c r="AR13" s="235">
        <v>0</v>
      </c>
      <c r="AS13" s="235">
        <v>0</v>
      </c>
      <c r="AT13" s="235">
        <v>0</v>
      </c>
      <c r="AU13" s="235">
        <v>0</v>
      </c>
      <c r="AV13" s="235">
        <v>0</v>
      </c>
      <c r="AW13" s="235">
        <v>248</v>
      </c>
    </row>
    <row r="14" spans="1:49" x14ac:dyDescent="0.3">
      <c r="A14" s="235" t="s">
        <v>178</v>
      </c>
      <c r="B14" s="256">
        <v>11</v>
      </c>
      <c r="C14" s="235">
        <v>29</v>
      </c>
      <c r="D14" s="235">
        <v>2</v>
      </c>
      <c r="E14" s="235">
        <v>4</v>
      </c>
      <c r="F14" s="235">
        <v>92</v>
      </c>
      <c r="G14" s="235">
        <v>0</v>
      </c>
      <c r="H14" s="235">
        <v>0</v>
      </c>
      <c r="I14" s="235">
        <v>0</v>
      </c>
      <c r="J14" s="235">
        <v>20</v>
      </c>
      <c r="K14" s="235">
        <v>72</v>
      </c>
      <c r="L14" s="235">
        <v>0</v>
      </c>
      <c r="M14" s="235">
        <v>0</v>
      </c>
      <c r="N14" s="235">
        <v>0</v>
      </c>
      <c r="O14" s="235">
        <v>0</v>
      </c>
      <c r="P14" s="235">
        <v>0</v>
      </c>
      <c r="Q14" s="235">
        <v>0</v>
      </c>
      <c r="R14" s="235">
        <v>0</v>
      </c>
      <c r="S14" s="235">
        <v>0</v>
      </c>
      <c r="T14" s="235">
        <v>0</v>
      </c>
      <c r="U14" s="235">
        <v>0</v>
      </c>
      <c r="V14" s="235">
        <v>0</v>
      </c>
      <c r="W14" s="235">
        <v>0</v>
      </c>
      <c r="X14" s="235">
        <v>0</v>
      </c>
      <c r="Y14" s="235">
        <v>0</v>
      </c>
      <c r="Z14" s="235">
        <v>0</v>
      </c>
      <c r="AA14" s="235">
        <v>0</v>
      </c>
      <c r="AB14" s="235">
        <v>0</v>
      </c>
      <c r="AC14" s="235">
        <v>0</v>
      </c>
      <c r="AD14" s="235">
        <v>0</v>
      </c>
      <c r="AE14" s="235">
        <v>0</v>
      </c>
      <c r="AF14" s="235">
        <v>0</v>
      </c>
      <c r="AG14" s="235">
        <v>0</v>
      </c>
      <c r="AH14" s="235">
        <v>0</v>
      </c>
      <c r="AI14" s="235">
        <v>0</v>
      </c>
      <c r="AJ14" s="235">
        <v>0</v>
      </c>
      <c r="AK14" s="235">
        <v>0</v>
      </c>
      <c r="AL14" s="235">
        <v>0</v>
      </c>
      <c r="AM14" s="235">
        <v>0</v>
      </c>
      <c r="AN14" s="235">
        <v>0</v>
      </c>
      <c r="AO14" s="235">
        <v>0</v>
      </c>
      <c r="AP14" s="235">
        <v>0</v>
      </c>
      <c r="AQ14" s="235">
        <v>0</v>
      </c>
      <c r="AR14" s="235">
        <v>0</v>
      </c>
      <c r="AS14" s="235">
        <v>0</v>
      </c>
      <c r="AT14" s="235">
        <v>0</v>
      </c>
      <c r="AU14" s="235">
        <v>0</v>
      </c>
      <c r="AV14" s="235">
        <v>0</v>
      </c>
      <c r="AW14" s="235">
        <v>0</v>
      </c>
    </row>
    <row r="15" spans="1:49" x14ac:dyDescent="0.3">
      <c r="A15" s="235" t="s">
        <v>179</v>
      </c>
      <c r="B15" s="256">
        <v>12</v>
      </c>
      <c r="C15" s="235">
        <v>29</v>
      </c>
      <c r="D15" s="235">
        <v>2</v>
      </c>
      <c r="E15" s="235">
        <v>6</v>
      </c>
      <c r="F15" s="235">
        <v>666401</v>
      </c>
      <c r="G15" s="235">
        <v>0</v>
      </c>
      <c r="H15" s="235">
        <v>0</v>
      </c>
      <c r="I15" s="235">
        <v>0</v>
      </c>
      <c r="J15" s="235">
        <v>47998</v>
      </c>
      <c r="K15" s="235">
        <v>440477</v>
      </c>
      <c r="L15" s="235">
        <v>0</v>
      </c>
      <c r="M15" s="235">
        <v>0</v>
      </c>
      <c r="N15" s="235">
        <v>0</v>
      </c>
      <c r="O15" s="235">
        <v>0</v>
      </c>
      <c r="P15" s="235">
        <v>49617</v>
      </c>
      <c r="Q15" s="235">
        <v>50938</v>
      </c>
      <c r="R15" s="235">
        <v>42873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5">
        <v>0</v>
      </c>
      <c r="AE15" s="235">
        <v>0</v>
      </c>
      <c r="AF15" s="235">
        <v>0</v>
      </c>
      <c r="AG15" s="235">
        <v>0</v>
      </c>
      <c r="AH15" s="235">
        <v>0</v>
      </c>
      <c r="AI15" s="235">
        <v>0</v>
      </c>
      <c r="AJ15" s="235">
        <v>0</v>
      </c>
      <c r="AK15" s="235">
        <v>0</v>
      </c>
      <c r="AL15" s="235">
        <v>0</v>
      </c>
      <c r="AM15" s="235">
        <v>0</v>
      </c>
      <c r="AN15" s="235">
        <v>0</v>
      </c>
      <c r="AO15" s="235">
        <v>0</v>
      </c>
      <c r="AP15" s="235">
        <v>0</v>
      </c>
      <c r="AQ15" s="235">
        <v>0</v>
      </c>
      <c r="AR15" s="235">
        <v>0</v>
      </c>
      <c r="AS15" s="235">
        <v>0</v>
      </c>
      <c r="AT15" s="235">
        <v>0</v>
      </c>
      <c r="AU15" s="235">
        <v>0</v>
      </c>
      <c r="AV15" s="235">
        <v>0</v>
      </c>
      <c r="AW15" s="235">
        <v>34498</v>
      </c>
    </row>
    <row r="16" spans="1:49" x14ac:dyDescent="0.3">
      <c r="A16" s="235" t="s">
        <v>167</v>
      </c>
      <c r="B16" s="256">
        <v>2016</v>
      </c>
      <c r="C16" s="235">
        <v>29</v>
      </c>
      <c r="D16" s="235">
        <v>2</v>
      </c>
      <c r="E16" s="235">
        <v>9</v>
      </c>
      <c r="F16" s="235">
        <v>24003</v>
      </c>
      <c r="G16" s="235">
        <v>0</v>
      </c>
      <c r="H16" s="235">
        <v>0</v>
      </c>
      <c r="I16" s="235">
        <v>0</v>
      </c>
      <c r="J16" s="235">
        <v>0</v>
      </c>
      <c r="K16" s="235">
        <v>20803</v>
      </c>
      <c r="L16" s="235">
        <v>0</v>
      </c>
      <c r="M16" s="235">
        <v>0</v>
      </c>
      <c r="N16" s="235">
        <v>0</v>
      </c>
      <c r="O16" s="235">
        <v>0</v>
      </c>
      <c r="P16" s="235">
        <v>0</v>
      </c>
      <c r="Q16" s="235">
        <v>0</v>
      </c>
      <c r="R16" s="235">
        <v>2500</v>
      </c>
      <c r="S16" s="235">
        <v>0</v>
      </c>
      <c r="T16" s="235">
        <v>0</v>
      </c>
      <c r="U16" s="235">
        <v>0</v>
      </c>
      <c r="V16" s="235">
        <v>0</v>
      </c>
      <c r="W16" s="235">
        <v>0</v>
      </c>
      <c r="X16" s="235">
        <v>0</v>
      </c>
      <c r="Y16" s="235">
        <v>0</v>
      </c>
      <c r="Z16" s="235">
        <v>0</v>
      </c>
      <c r="AA16" s="235">
        <v>0</v>
      </c>
      <c r="AB16" s="235">
        <v>0</v>
      </c>
      <c r="AC16" s="235">
        <v>0</v>
      </c>
      <c r="AD16" s="235">
        <v>0</v>
      </c>
      <c r="AE16" s="235">
        <v>0</v>
      </c>
      <c r="AF16" s="235">
        <v>0</v>
      </c>
      <c r="AG16" s="235">
        <v>0</v>
      </c>
      <c r="AH16" s="235">
        <v>0</v>
      </c>
      <c r="AI16" s="235">
        <v>0</v>
      </c>
      <c r="AJ16" s="235">
        <v>0</v>
      </c>
      <c r="AK16" s="235">
        <v>0</v>
      </c>
      <c r="AL16" s="235">
        <v>0</v>
      </c>
      <c r="AM16" s="235">
        <v>0</v>
      </c>
      <c r="AN16" s="235">
        <v>0</v>
      </c>
      <c r="AO16" s="235">
        <v>0</v>
      </c>
      <c r="AP16" s="235">
        <v>0</v>
      </c>
      <c r="AQ16" s="235">
        <v>0</v>
      </c>
      <c r="AR16" s="235">
        <v>0</v>
      </c>
      <c r="AS16" s="235">
        <v>0</v>
      </c>
      <c r="AT16" s="235">
        <v>0</v>
      </c>
      <c r="AU16" s="235">
        <v>0</v>
      </c>
      <c r="AV16" s="235">
        <v>0</v>
      </c>
      <c r="AW16" s="235">
        <v>700</v>
      </c>
    </row>
    <row r="17" spans="3:49" x14ac:dyDescent="0.3">
      <c r="C17" s="235">
        <v>29</v>
      </c>
      <c r="D17" s="235">
        <v>2</v>
      </c>
      <c r="E17" s="235">
        <v>10</v>
      </c>
      <c r="F17" s="235">
        <v>2000</v>
      </c>
      <c r="G17" s="235">
        <v>0</v>
      </c>
      <c r="H17" s="235">
        <v>0</v>
      </c>
      <c r="I17" s="235">
        <v>0</v>
      </c>
      <c r="J17" s="235">
        <v>0</v>
      </c>
      <c r="K17" s="235">
        <v>0</v>
      </c>
      <c r="L17" s="235">
        <v>0</v>
      </c>
      <c r="M17" s="235">
        <v>0</v>
      </c>
      <c r="N17" s="235">
        <v>0</v>
      </c>
      <c r="O17" s="235">
        <v>2000</v>
      </c>
      <c r="P17" s="235">
        <v>0</v>
      </c>
      <c r="Q17" s="235">
        <v>0</v>
      </c>
      <c r="R17" s="235">
        <v>0</v>
      </c>
      <c r="S17" s="235">
        <v>0</v>
      </c>
      <c r="T17" s="235">
        <v>0</v>
      </c>
      <c r="U17" s="235">
        <v>0</v>
      </c>
      <c r="V17" s="235">
        <v>0</v>
      </c>
      <c r="W17" s="235">
        <v>0</v>
      </c>
      <c r="X17" s="235">
        <v>0</v>
      </c>
      <c r="Y17" s="235">
        <v>0</v>
      </c>
      <c r="Z17" s="235">
        <v>0</v>
      </c>
      <c r="AA17" s="235">
        <v>0</v>
      </c>
      <c r="AB17" s="235">
        <v>0</v>
      </c>
      <c r="AC17" s="235">
        <v>0</v>
      </c>
      <c r="AD17" s="235">
        <v>0</v>
      </c>
      <c r="AE17" s="235">
        <v>0</v>
      </c>
      <c r="AF17" s="235">
        <v>0</v>
      </c>
      <c r="AG17" s="235">
        <v>0</v>
      </c>
      <c r="AH17" s="235">
        <v>0</v>
      </c>
      <c r="AI17" s="235">
        <v>0</v>
      </c>
      <c r="AJ17" s="235">
        <v>0</v>
      </c>
      <c r="AK17" s="235">
        <v>0</v>
      </c>
      <c r="AL17" s="235">
        <v>0</v>
      </c>
      <c r="AM17" s="235">
        <v>0</v>
      </c>
      <c r="AN17" s="235">
        <v>0</v>
      </c>
      <c r="AO17" s="235">
        <v>0</v>
      </c>
      <c r="AP17" s="235">
        <v>0</v>
      </c>
      <c r="AQ17" s="235">
        <v>0</v>
      </c>
      <c r="AR17" s="235">
        <v>0</v>
      </c>
      <c r="AS17" s="235">
        <v>0</v>
      </c>
      <c r="AT17" s="235">
        <v>0</v>
      </c>
      <c r="AU17" s="235">
        <v>0</v>
      </c>
      <c r="AV17" s="235">
        <v>0</v>
      </c>
      <c r="AW17" s="235">
        <v>0</v>
      </c>
    </row>
    <row r="18" spans="3:49" x14ac:dyDescent="0.3">
      <c r="C18" s="235">
        <v>29</v>
      </c>
      <c r="D18" s="235">
        <v>2</v>
      </c>
      <c r="E18" s="235">
        <v>11</v>
      </c>
      <c r="F18" s="235">
        <v>3646.2639600172765</v>
      </c>
      <c r="G18" s="235">
        <v>0</v>
      </c>
      <c r="H18" s="235">
        <v>0</v>
      </c>
      <c r="I18" s="235">
        <v>0</v>
      </c>
      <c r="J18" s="235">
        <v>1979.5972933506098</v>
      </c>
      <c r="K18" s="235">
        <v>0</v>
      </c>
      <c r="L18" s="235">
        <v>0</v>
      </c>
      <c r="M18" s="235">
        <v>0</v>
      </c>
      <c r="N18" s="235">
        <v>0</v>
      </c>
      <c r="O18" s="235">
        <v>1666.6666666666667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v>0</v>
      </c>
      <c r="AF18" s="235">
        <v>0</v>
      </c>
      <c r="AG18" s="235">
        <v>0</v>
      </c>
      <c r="AH18" s="235">
        <v>0</v>
      </c>
      <c r="AI18" s="235">
        <v>0</v>
      </c>
      <c r="AJ18" s="235">
        <v>0</v>
      </c>
      <c r="AK18" s="235">
        <v>0</v>
      </c>
      <c r="AL18" s="235">
        <v>0</v>
      </c>
      <c r="AM18" s="235">
        <v>0</v>
      </c>
      <c r="AN18" s="235">
        <v>0</v>
      </c>
      <c r="AO18" s="235">
        <v>0</v>
      </c>
      <c r="AP18" s="235">
        <v>0</v>
      </c>
      <c r="AQ18" s="235">
        <v>0</v>
      </c>
      <c r="AR18" s="235">
        <v>0</v>
      </c>
      <c r="AS18" s="235">
        <v>0</v>
      </c>
      <c r="AT18" s="235">
        <v>0</v>
      </c>
      <c r="AU18" s="235">
        <v>0</v>
      </c>
      <c r="AV18" s="235">
        <v>0</v>
      </c>
      <c r="AW18" s="235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3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3" bestFit="1" customWidth="1"/>
    <col min="2" max="2" width="7.77734375" style="109" customWidth="1"/>
    <col min="3" max="3" width="5.44140625" style="133" hidden="1" customWidth="1"/>
    <col min="4" max="4" width="7.77734375" style="109" customWidth="1"/>
    <col min="5" max="5" width="5.44140625" style="133" hidden="1" customWidth="1"/>
    <col min="6" max="6" width="7.77734375" style="109" customWidth="1"/>
    <col min="7" max="7" width="7.77734375" style="214" customWidth="1"/>
    <col min="8" max="8" width="7.77734375" style="109" customWidth="1"/>
    <col min="9" max="9" width="5.44140625" style="133" hidden="1" customWidth="1"/>
    <col min="10" max="10" width="7.77734375" style="109" customWidth="1"/>
    <col min="11" max="11" width="5.44140625" style="133" hidden="1" customWidth="1"/>
    <col min="12" max="12" width="7.77734375" style="109" customWidth="1"/>
    <col min="13" max="13" width="7.77734375" style="214" customWidth="1"/>
    <col min="14" max="14" width="7.77734375" style="109" customWidth="1"/>
    <col min="15" max="15" width="5" style="133" hidden="1" customWidth="1"/>
    <col min="16" max="16" width="7.77734375" style="109" customWidth="1"/>
    <col min="17" max="17" width="5" style="133" hidden="1" customWidth="1"/>
    <col min="18" max="18" width="7.77734375" style="109" customWidth="1"/>
    <col min="19" max="19" width="7.77734375" style="214" customWidth="1"/>
    <col min="20" max="16384" width="8.88671875" style="133"/>
  </cols>
  <sheetData>
    <row r="1" spans="1:19" ht="18.600000000000001" customHeight="1" thickBot="1" x14ac:dyDescent="0.4">
      <c r="A1" s="387" t="s">
        <v>997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4.4" customHeight="1" thickBot="1" x14ac:dyDescent="0.35">
      <c r="A2" s="239" t="s">
        <v>251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</row>
    <row r="3" spans="1:19" ht="14.4" customHeight="1" thickBot="1" x14ac:dyDescent="0.35">
      <c r="A3" s="224" t="s">
        <v>132</v>
      </c>
      <c r="B3" s="225">
        <f>SUBTOTAL(9,B6:B1048576)/2</f>
        <v>591521</v>
      </c>
      <c r="C3" s="226">
        <f t="shared" ref="C3:R3" si="0">SUBTOTAL(9,C6:C1048576)</f>
        <v>4</v>
      </c>
      <c r="D3" s="226">
        <f>SUBTOTAL(9,D6:D1048576)/2</f>
        <v>658800</v>
      </c>
      <c r="E3" s="226">
        <f t="shared" si="0"/>
        <v>5.0428370660777233</v>
      </c>
      <c r="F3" s="226">
        <f>SUBTOTAL(9,F6:F1048576)/2</f>
        <v>712235.64000000013</v>
      </c>
      <c r="G3" s="227">
        <f>IF(B3&lt;&gt;0,F3/B3,"")</f>
        <v>1.2040749863487521</v>
      </c>
      <c r="H3" s="228">
        <f t="shared" si="0"/>
        <v>6360.0800000000008</v>
      </c>
      <c r="I3" s="226">
        <f t="shared" si="0"/>
        <v>1</v>
      </c>
      <c r="J3" s="226">
        <f t="shared" si="0"/>
        <v>7213.7300000000023</v>
      </c>
      <c r="K3" s="226">
        <f t="shared" si="0"/>
        <v>1.1342200098111976</v>
      </c>
      <c r="L3" s="226">
        <f t="shared" si="0"/>
        <v>5899.5000000000027</v>
      </c>
      <c r="M3" s="229">
        <f>IF(H3&lt;&gt;0,L3/H3,"")</f>
        <v>0.9275826719160768</v>
      </c>
      <c r="N3" s="225">
        <f t="shared" si="0"/>
        <v>0</v>
      </c>
      <c r="O3" s="226">
        <f t="shared" si="0"/>
        <v>0</v>
      </c>
      <c r="P3" s="226">
        <f t="shared" si="0"/>
        <v>0</v>
      </c>
      <c r="Q3" s="226">
        <f t="shared" si="0"/>
        <v>0</v>
      </c>
      <c r="R3" s="226">
        <f t="shared" si="0"/>
        <v>0</v>
      </c>
      <c r="S3" s="227" t="str">
        <f>IF(N3&lt;&gt;0,R3/N3,"")</f>
        <v/>
      </c>
    </row>
    <row r="4" spans="1:19" ht="14.4" customHeight="1" x14ac:dyDescent="0.3">
      <c r="A4" s="388" t="s">
        <v>220</v>
      </c>
      <c r="B4" s="389" t="s">
        <v>100</v>
      </c>
      <c r="C4" s="390"/>
      <c r="D4" s="390"/>
      <c r="E4" s="390"/>
      <c r="F4" s="390"/>
      <c r="G4" s="391"/>
      <c r="H4" s="389" t="s">
        <v>101</v>
      </c>
      <c r="I4" s="390"/>
      <c r="J4" s="390"/>
      <c r="K4" s="390"/>
      <c r="L4" s="390"/>
      <c r="M4" s="391"/>
      <c r="N4" s="389" t="s">
        <v>102</v>
      </c>
      <c r="O4" s="390"/>
      <c r="P4" s="390"/>
      <c r="Q4" s="390"/>
      <c r="R4" s="390"/>
      <c r="S4" s="391"/>
    </row>
    <row r="5" spans="1:19" ht="14.4" customHeight="1" thickBot="1" x14ac:dyDescent="0.35">
      <c r="A5" s="593"/>
      <c r="B5" s="594">
        <v>2014</v>
      </c>
      <c r="C5" s="595"/>
      <c r="D5" s="595">
        <v>2015</v>
      </c>
      <c r="E5" s="595"/>
      <c r="F5" s="595">
        <v>2016</v>
      </c>
      <c r="G5" s="596" t="s">
        <v>2</v>
      </c>
      <c r="H5" s="594">
        <v>2014</v>
      </c>
      <c r="I5" s="595"/>
      <c r="J5" s="595">
        <v>2015</v>
      </c>
      <c r="K5" s="595"/>
      <c r="L5" s="595">
        <v>2016</v>
      </c>
      <c r="M5" s="596" t="s">
        <v>2</v>
      </c>
      <c r="N5" s="594">
        <v>2014</v>
      </c>
      <c r="O5" s="595"/>
      <c r="P5" s="595">
        <v>2015</v>
      </c>
      <c r="Q5" s="595"/>
      <c r="R5" s="595">
        <v>2016</v>
      </c>
      <c r="S5" s="596" t="s">
        <v>2</v>
      </c>
    </row>
    <row r="6" spans="1:19" ht="14.4" customHeight="1" thickBot="1" x14ac:dyDescent="0.35">
      <c r="A6" s="599" t="s">
        <v>996</v>
      </c>
      <c r="B6" s="597">
        <v>591521</v>
      </c>
      <c r="C6" s="598">
        <v>1</v>
      </c>
      <c r="D6" s="597">
        <v>658800</v>
      </c>
      <c r="E6" s="598">
        <v>1.1137389881339801</v>
      </c>
      <c r="F6" s="597">
        <v>712235.64</v>
      </c>
      <c r="G6" s="293">
        <v>1.2040749863487519</v>
      </c>
      <c r="H6" s="597">
        <v>6360.0800000000008</v>
      </c>
      <c r="I6" s="598">
        <v>1</v>
      </c>
      <c r="J6" s="597">
        <v>7213.7300000000023</v>
      </c>
      <c r="K6" s="598">
        <v>1.1342200098111976</v>
      </c>
      <c r="L6" s="597">
        <v>5899.5000000000027</v>
      </c>
      <c r="M6" s="293">
        <v>0.9275826719160768</v>
      </c>
      <c r="N6" s="597"/>
      <c r="O6" s="598"/>
      <c r="P6" s="597"/>
      <c r="Q6" s="598"/>
      <c r="R6" s="597"/>
      <c r="S6" s="294"/>
    </row>
    <row r="7" spans="1:19" ht="14.4" customHeight="1" thickBot="1" x14ac:dyDescent="0.35"/>
    <row r="8" spans="1:19" ht="14.4" customHeight="1" x14ac:dyDescent="0.3">
      <c r="A8" s="550" t="s">
        <v>434</v>
      </c>
      <c r="B8" s="600">
        <v>290285</v>
      </c>
      <c r="C8" s="449">
        <v>1</v>
      </c>
      <c r="D8" s="600">
        <v>295278</v>
      </c>
      <c r="E8" s="449">
        <v>1.017200337599256</v>
      </c>
      <c r="F8" s="600">
        <v>347536.66999999993</v>
      </c>
      <c r="G8" s="472">
        <v>1.1972257264412558</v>
      </c>
      <c r="H8" s="600"/>
      <c r="I8" s="449"/>
      <c r="J8" s="600"/>
      <c r="K8" s="449"/>
      <c r="L8" s="600"/>
      <c r="M8" s="472"/>
      <c r="N8" s="600"/>
      <c r="O8" s="449"/>
      <c r="P8" s="600"/>
      <c r="Q8" s="449"/>
      <c r="R8" s="600"/>
      <c r="S8" s="125"/>
    </row>
    <row r="9" spans="1:19" ht="14.4" customHeight="1" x14ac:dyDescent="0.3">
      <c r="A9" s="551" t="s">
        <v>439</v>
      </c>
      <c r="B9" s="601">
        <v>290865</v>
      </c>
      <c r="C9" s="527">
        <v>1</v>
      </c>
      <c r="D9" s="601">
        <v>345647</v>
      </c>
      <c r="E9" s="527">
        <v>1.1883416705344403</v>
      </c>
      <c r="F9" s="601">
        <v>361816.97000000009</v>
      </c>
      <c r="G9" s="532">
        <v>1.2439343681776773</v>
      </c>
      <c r="H9" s="601"/>
      <c r="I9" s="527"/>
      <c r="J9" s="601"/>
      <c r="K9" s="527"/>
      <c r="L9" s="601"/>
      <c r="M9" s="532"/>
      <c r="N9" s="601"/>
      <c r="O9" s="527"/>
      <c r="P9" s="601"/>
      <c r="Q9" s="527"/>
      <c r="R9" s="601"/>
      <c r="S9" s="533"/>
    </row>
    <row r="10" spans="1:19" ht="14.4" customHeight="1" thickBot="1" x14ac:dyDescent="0.35">
      <c r="A10" s="603" t="s">
        <v>442</v>
      </c>
      <c r="B10" s="602">
        <v>10371</v>
      </c>
      <c r="C10" s="519">
        <v>1</v>
      </c>
      <c r="D10" s="602">
        <v>17875</v>
      </c>
      <c r="E10" s="519">
        <v>1.7235560698100472</v>
      </c>
      <c r="F10" s="602">
        <v>2882</v>
      </c>
      <c r="G10" s="524">
        <v>0.27789027094783531</v>
      </c>
      <c r="H10" s="602"/>
      <c r="I10" s="519"/>
      <c r="J10" s="602"/>
      <c r="K10" s="519"/>
      <c r="L10" s="602"/>
      <c r="M10" s="524"/>
      <c r="N10" s="602"/>
      <c r="O10" s="519"/>
      <c r="P10" s="602"/>
      <c r="Q10" s="519"/>
      <c r="R10" s="602"/>
      <c r="S10" s="525"/>
    </row>
    <row r="11" spans="1:19" ht="14.4" customHeight="1" x14ac:dyDescent="0.3">
      <c r="A11" s="491" t="s">
        <v>550</v>
      </c>
    </row>
    <row r="12" spans="1:19" ht="14.4" customHeight="1" x14ac:dyDescent="0.3">
      <c r="A12" s="492" t="s">
        <v>551</v>
      </c>
    </row>
    <row r="13" spans="1:19" ht="14.4" customHeight="1" x14ac:dyDescent="0.3">
      <c r="A13" s="491" t="s">
        <v>998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4" bestFit="1" customWidth="1"/>
    <col min="2" max="2" width="11.6640625" style="154" hidden="1" customWidth="1"/>
    <col min="3" max="4" width="11" style="156" customWidth="1"/>
    <col min="5" max="5" width="11" style="157" customWidth="1"/>
    <col min="6" max="16384" width="8.88671875" style="154"/>
  </cols>
  <sheetData>
    <row r="1" spans="1:5" ht="18.600000000000001" thickBot="1" x14ac:dyDescent="0.4">
      <c r="A1" s="315" t="s">
        <v>124</v>
      </c>
      <c r="B1" s="315"/>
      <c r="C1" s="316"/>
      <c r="D1" s="316"/>
      <c r="E1" s="316"/>
    </row>
    <row r="2" spans="1:5" ht="14.4" customHeight="1" thickBot="1" x14ac:dyDescent="0.35">
      <c r="A2" s="239" t="s">
        <v>251</v>
      </c>
      <c r="B2" s="155"/>
    </row>
    <row r="3" spans="1:5" ht="14.4" customHeight="1" thickBot="1" x14ac:dyDescent="0.35">
      <c r="A3" s="158"/>
      <c r="C3" s="159" t="s">
        <v>108</v>
      </c>
      <c r="D3" s="160" t="s">
        <v>73</v>
      </c>
      <c r="E3" s="161" t="s">
        <v>75</v>
      </c>
    </row>
    <row r="4" spans="1:5" ht="14.4" customHeight="1" thickBot="1" x14ac:dyDescent="0.35">
      <c r="A4" s="162" t="str">
        <f>HYPERLINK("#HI!A1","NÁKLADY CELKEM (v tisících Kč)")</f>
        <v>NÁKLADY CELKEM (v tisících Kč)</v>
      </c>
      <c r="B4" s="163"/>
      <c r="C4" s="164">
        <f ca="1">IF(ISERROR(VLOOKUP("Náklady celkem",INDIRECT("HI!$A:$G"),6,0)),0,VLOOKUP("Náklady celkem",INDIRECT("HI!$A:$G"),6,0))</f>
        <v>2454.4076239151918</v>
      </c>
      <c r="D4" s="164">
        <f ca="1">IF(ISERROR(VLOOKUP("Náklady celkem",INDIRECT("HI!$A:$G"),5,0)),0,VLOOKUP("Náklady celkem",INDIRECT("HI!$A:$G"),5,0))</f>
        <v>2253.9274</v>
      </c>
      <c r="E4" s="165">
        <f ca="1">IF(C4=0,0,D4/C4)</f>
        <v>0.918318285046967</v>
      </c>
    </row>
    <row r="5" spans="1:5" ht="14.4" customHeight="1" x14ac:dyDescent="0.3">
      <c r="A5" s="166" t="s">
        <v>153</v>
      </c>
      <c r="B5" s="167"/>
      <c r="C5" s="168"/>
      <c r="D5" s="168"/>
      <c r="E5" s="169"/>
    </row>
    <row r="6" spans="1:5" ht="14.4" customHeight="1" x14ac:dyDescent="0.3">
      <c r="A6" s="170" t="s">
        <v>158</v>
      </c>
      <c r="B6" s="171"/>
      <c r="C6" s="172"/>
      <c r="D6" s="172"/>
      <c r="E6" s="169"/>
    </row>
    <row r="7" spans="1:5" ht="14.4" customHeight="1" x14ac:dyDescent="0.3">
      <c r="A7" s="30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71" t="s">
        <v>112</v>
      </c>
      <c r="C7" s="172">
        <f>IF(ISERROR(HI!F5),"",HI!F5)</f>
        <v>32.303327762615339</v>
      </c>
      <c r="D7" s="172">
        <f>IF(ISERROR(HI!E5),"",HI!E5)</f>
        <v>18.447600000000001</v>
      </c>
      <c r="E7" s="169">
        <f t="shared" ref="E7:E14" si="0">IF(C7=0,0,D7/C7)</f>
        <v>0.57107429103169427</v>
      </c>
    </row>
    <row r="8" spans="1:5" ht="14.4" customHeight="1" x14ac:dyDescent="0.3">
      <c r="A8" s="302" t="str">
        <f>HYPERLINK("#'LŽ Statim'!A1","Podíl statimových žádanek (max. 30%)")</f>
        <v>Podíl statimových žádanek (max. 30%)</v>
      </c>
      <c r="B8" s="300" t="s">
        <v>215</v>
      </c>
      <c r="C8" s="301">
        <v>0.3</v>
      </c>
      <c r="D8" s="301">
        <f>IF('LŽ Statim'!G3="",0,'LŽ Statim'!G3)</f>
        <v>0</v>
      </c>
      <c r="E8" s="169">
        <f>IF(C8=0,0,D8/C8)</f>
        <v>0</v>
      </c>
    </row>
    <row r="9" spans="1:5" ht="14.4" customHeight="1" x14ac:dyDescent="0.3">
      <c r="A9" s="174" t="s">
        <v>154</v>
      </c>
      <c r="B9" s="171"/>
      <c r="C9" s="172"/>
      <c r="D9" s="172"/>
      <c r="E9" s="169"/>
    </row>
    <row r="10" spans="1:5" ht="14.4" customHeight="1" x14ac:dyDescent="0.3">
      <c r="A10" s="302" t="str">
        <f>HYPERLINK("#'Léky Recepty'!A1","Záchyt v lékárně (Úhrada Kč, min. 60%)")</f>
        <v>Záchyt v lékárně (Úhrada Kč, min. 60%)</v>
      </c>
      <c r="B10" s="171" t="s">
        <v>117</v>
      </c>
      <c r="C10" s="173">
        <v>0.6</v>
      </c>
      <c r="D10" s="173">
        <f>IF(ISERROR(VLOOKUP("Celkem",'Léky Recepty'!B:H,5,0)),0,VLOOKUP("Celkem",'Léky Recepty'!B:H,5,0))</f>
        <v>0.74338763817225317</v>
      </c>
      <c r="E10" s="169">
        <f t="shared" si="0"/>
        <v>1.2389793969537553</v>
      </c>
    </row>
    <row r="11" spans="1:5" ht="14.4" customHeight="1" x14ac:dyDescent="0.3">
      <c r="A11" s="302" t="str">
        <f>HYPERLINK("#'LRp PL'!A1","Plnění pozitivního listu (min. 80%)")</f>
        <v>Plnění pozitivního listu (min. 80%)</v>
      </c>
      <c r="B11" s="171" t="s">
        <v>147</v>
      </c>
      <c r="C11" s="173">
        <v>0.8</v>
      </c>
      <c r="D11" s="173">
        <f>IF(ISERROR(VLOOKUP("Celkem",'LRp PL'!A:F,5,0)),0,VLOOKUP("Celkem",'LRp PL'!A:F,5,0))</f>
        <v>0.99564151132443657</v>
      </c>
      <c r="E11" s="169">
        <f t="shared" si="0"/>
        <v>1.2445518891555456</v>
      </c>
    </row>
    <row r="12" spans="1:5" ht="14.4" customHeight="1" x14ac:dyDescent="0.3">
      <c r="A12" s="174" t="s">
        <v>155</v>
      </c>
      <c r="B12" s="171"/>
      <c r="C12" s="172"/>
      <c r="D12" s="172"/>
      <c r="E12" s="169"/>
    </row>
    <row r="13" spans="1:5" ht="14.4" customHeight="1" x14ac:dyDescent="0.3">
      <c r="A13" s="175" t="s">
        <v>159</v>
      </c>
      <c r="B13" s="171"/>
      <c r="C13" s="168"/>
      <c r="D13" s="168"/>
      <c r="E13" s="169"/>
    </row>
    <row r="14" spans="1:5" ht="14.4" customHeight="1" x14ac:dyDescent="0.3">
      <c r="A14" s="17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71" t="s">
        <v>112</v>
      </c>
      <c r="C14" s="172">
        <f>IF(ISERROR(HI!F6),"",HI!F6)</f>
        <v>388.27444746230731</v>
      </c>
      <c r="D14" s="172">
        <f>IF(ISERROR(HI!E6),"",HI!E6)</f>
        <v>116.79112000000001</v>
      </c>
      <c r="E14" s="169">
        <f t="shared" si="0"/>
        <v>0.30079527706066156</v>
      </c>
    </row>
    <row r="15" spans="1:5" ht="14.4" customHeight="1" thickBot="1" x14ac:dyDescent="0.35">
      <c r="A15" s="177" t="str">
        <f>HYPERLINK("#HI!A1","Osobní náklady")</f>
        <v>Osobní náklady</v>
      </c>
      <c r="B15" s="171"/>
      <c r="C15" s="168">
        <f ca="1">IF(ISERROR(VLOOKUP("Osobní náklady (Kč) *",INDIRECT("HI!$A:$G"),6,0)),0,VLOOKUP("Osobní náklady (Kč) *",INDIRECT("HI!$A:$G"),6,0))</f>
        <v>1765.167153244885</v>
      </c>
      <c r="D15" s="168">
        <f ca="1">IF(ISERROR(VLOOKUP("Osobní náklady (Kč) *",INDIRECT("HI!$A:$G"),5,0)),0,VLOOKUP("Osobní náklady (Kč) *",INDIRECT("HI!$A:$G"),5,0))</f>
        <v>1817.60995</v>
      </c>
      <c r="E15" s="169">
        <f ca="1">IF(C15=0,0,D15/C15)</f>
        <v>1.0297098190722109</v>
      </c>
    </row>
    <row r="16" spans="1:5" ht="14.4" customHeight="1" thickBot="1" x14ac:dyDescent="0.35">
      <c r="A16" s="181"/>
      <c r="B16" s="182"/>
      <c r="C16" s="183"/>
      <c r="D16" s="183"/>
      <c r="E16" s="184"/>
    </row>
    <row r="17" spans="1:5" ht="14.4" customHeight="1" thickBot="1" x14ac:dyDescent="0.35">
      <c r="A17" s="185" t="str">
        <f>HYPERLINK("#HI!A1","VÝNOSY CELKEM (v tisících)")</f>
        <v>VÝNOSY CELKEM (v tisících)</v>
      </c>
      <c r="B17" s="186"/>
      <c r="C17" s="187">
        <f ca="1">IF(ISERROR(VLOOKUP("Výnosy celkem",INDIRECT("HI!$A:$G"),6,0)),0,VLOOKUP("Výnosy celkem",INDIRECT("HI!$A:$G"),6,0))</f>
        <v>591.52099999999996</v>
      </c>
      <c r="D17" s="187">
        <f ca="1">IF(ISERROR(VLOOKUP("Výnosy celkem",INDIRECT("HI!$A:$G"),5,0)),0,VLOOKUP("Výnosy celkem",INDIRECT("HI!$A:$G"),5,0))</f>
        <v>712.2356400000001</v>
      </c>
      <c r="E17" s="188">
        <f t="shared" ref="E17:E22" ca="1" si="1">IF(C17=0,0,D17/C17)</f>
        <v>1.2040749863487521</v>
      </c>
    </row>
    <row r="18" spans="1:5" ht="14.4" customHeight="1" x14ac:dyDescent="0.3">
      <c r="A18" s="189" t="str">
        <f>HYPERLINK("#HI!A1","Ambulance (body za výkony + Kč za ZUM a ZULP)")</f>
        <v>Ambulance (body za výkony + Kč za ZUM a ZULP)</v>
      </c>
      <c r="B18" s="167"/>
      <c r="C18" s="168">
        <f ca="1">IF(ISERROR(VLOOKUP("Ambulance *",INDIRECT("HI!$A:$G"),6,0)),0,VLOOKUP("Ambulance *",INDIRECT("HI!$A:$G"),6,0))</f>
        <v>591.52099999999996</v>
      </c>
      <c r="D18" s="168">
        <f ca="1">IF(ISERROR(VLOOKUP("Ambulance *",INDIRECT("HI!$A:$G"),5,0)),0,VLOOKUP("Ambulance *",INDIRECT("HI!$A:$G"),5,0))</f>
        <v>712.2356400000001</v>
      </c>
      <c r="E18" s="169">
        <f t="shared" ca="1" si="1"/>
        <v>1.2040749863487521</v>
      </c>
    </row>
    <row r="19" spans="1:5" ht="14.4" customHeight="1" x14ac:dyDescent="0.3">
      <c r="A19" s="190" t="str">
        <f>HYPERLINK("#'ZV Vykáz.-A'!A1","Zdravotní výkony vykázané u ambulantních pacientů (min. 100 %)")</f>
        <v>Zdravotní výkony vykázané u ambulantních pacientů (min. 100 %)</v>
      </c>
      <c r="B19" s="154" t="s">
        <v>126</v>
      </c>
      <c r="C19" s="173">
        <v>1</v>
      </c>
      <c r="D19" s="173">
        <f>IF(ISERROR(VLOOKUP("Celkem:",'ZV Vykáz.-A'!$A:$S,7,0)),"",VLOOKUP("Celkem:",'ZV Vykáz.-A'!$A:$S,7,0))</f>
        <v>1.2040749863487521</v>
      </c>
      <c r="E19" s="169">
        <f t="shared" si="1"/>
        <v>1.2040749863487521</v>
      </c>
    </row>
    <row r="20" spans="1:5" ht="14.4" customHeight="1" x14ac:dyDescent="0.3">
      <c r="A20" s="190" t="str">
        <f>HYPERLINK("#'ZV Vykáz.-H'!A1","Zdravotní výkony vykázané u hospitalizovaných pacientů (max. 85 %)")</f>
        <v>Zdravotní výkony vykázané u hospitalizovaných pacientů (max. 85 %)</v>
      </c>
      <c r="B20" s="154" t="s">
        <v>128</v>
      </c>
      <c r="C20" s="173">
        <v>0.85</v>
      </c>
      <c r="D20" s="173">
        <f>IF(ISERROR(VLOOKUP("Celkem:",'ZV Vykáz.-H'!$A:$S,7,0)),"",VLOOKUP("Celkem:",'ZV Vykáz.-H'!$A:$S,7,0))</f>
        <v>0.61123439667128987</v>
      </c>
      <c r="E20" s="169">
        <f t="shared" si="1"/>
        <v>0.71909929020151753</v>
      </c>
    </row>
    <row r="21" spans="1:5" ht="14.4" customHeight="1" x14ac:dyDescent="0.3">
      <c r="A21" s="191" t="str">
        <f>HYPERLINK("#HI!A1","Hospitalizace (casemix * 30000)")</f>
        <v>Hospitalizace (casemix * 30000)</v>
      </c>
      <c r="B21" s="171"/>
      <c r="C21" s="168">
        <f ca="1">IF(ISERROR(VLOOKUP("Hospitalizace *",INDIRECT("HI!$A:$G"),6,0)),0,VLOOKUP("Hospitalizace *",INDIRECT("HI!$A:$G"),6,0))</f>
        <v>0</v>
      </c>
      <c r="D21" s="168">
        <f ca="1">IF(ISERROR(VLOOKUP("Hospitalizace *",INDIRECT("HI!$A:$G"),5,0)),0,VLOOKUP("Hospitalizace *",INDIRECT("HI!$A:$G"),5,0))</f>
        <v>0</v>
      </c>
      <c r="E21" s="169">
        <f ca="1">IF(C21=0,0,D21/C21)</f>
        <v>0</v>
      </c>
    </row>
    <row r="22" spans="1:5" ht="27.6" x14ac:dyDescent="0.3">
      <c r="A22" s="192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2" s="171" t="s">
        <v>123</v>
      </c>
      <c r="C22" s="173" t="e">
        <f>IF(#REF!&gt;1,95%,95%-2*ABS(#REF!-#REF!))</f>
        <v>#REF!</v>
      </c>
      <c r="D22" s="173" t="str">
        <f>IF(ISERROR(VLOOKUP("Celkem:",'ZV Vyžád.'!$A:$M,7,0)),"",VLOOKUP("Celkem:",'ZV Vyžád.'!$A:$M,7,0))</f>
        <v/>
      </c>
      <c r="E22" s="169" t="e">
        <f t="shared" si="1"/>
        <v>#REF!</v>
      </c>
    </row>
    <row r="23" spans="1:5" ht="14.4" customHeight="1" thickBot="1" x14ac:dyDescent="0.35">
      <c r="A23" s="193" t="s">
        <v>156</v>
      </c>
      <c r="B23" s="178"/>
      <c r="C23" s="179"/>
      <c r="D23" s="179"/>
      <c r="E23" s="180"/>
    </row>
    <row r="24" spans="1:5" ht="14.4" customHeight="1" thickBot="1" x14ac:dyDescent="0.35">
      <c r="A24" s="194"/>
      <c r="B24" s="195"/>
      <c r="C24" s="196"/>
      <c r="D24" s="196"/>
      <c r="E24" s="197"/>
    </row>
    <row r="25" spans="1:5" ht="14.4" customHeight="1" thickBot="1" x14ac:dyDescent="0.35">
      <c r="A25" s="198" t="s">
        <v>157</v>
      </c>
      <c r="B25" s="199"/>
      <c r="C25" s="200"/>
      <c r="D25" s="200"/>
      <c r="E25" s="201"/>
    </row>
  </sheetData>
  <mergeCells count="1">
    <mergeCell ref="A1:E1"/>
  </mergeCells>
  <conditionalFormatting sqref="E5">
    <cfRule type="cellIs" dxfId="6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7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5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1">
    <cfRule type="cellIs" dxfId="64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3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cellIs" dxfId="62" priority="20" operator="lessThan">
      <formula>1</formula>
    </cfRule>
  </conditionalFormatting>
  <conditionalFormatting sqref="E8">
    <cfRule type="cellIs" dxfId="61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22 E4 E7 E14 E20">
    <cfRule type="cellIs" dxfId="60" priority="63" operator="greaterThan">
      <formula>1</formula>
    </cfRule>
    <cfRule type="iconSet" priority="6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3" bestFit="1" customWidth="1"/>
    <col min="2" max="4" width="7.77734375" style="211" customWidth="1"/>
    <col min="5" max="7" width="7.77734375" style="109" customWidth="1"/>
    <col min="8" max="16384" width="8.88671875" style="133"/>
  </cols>
  <sheetData>
    <row r="1" spans="1:7" ht="18.600000000000001" customHeight="1" thickBot="1" x14ac:dyDescent="0.4">
      <c r="A1" s="387" t="s">
        <v>1002</v>
      </c>
      <c r="B1" s="315"/>
      <c r="C1" s="315"/>
      <c r="D1" s="315"/>
      <c r="E1" s="315"/>
      <c r="F1" s="315"/>
      <c r="G1" s="315"/>
    </row>
    <row r="2" spans="1:7" ht="14.4" customHeight="1" thickBot="1" x14ac:dyDescent="0.35">
      <c r="A2" s="239" t="s">
        <v>251</v>
      </c>
      <c r="B2" s="114"/>
      <c r="C2" s="114"/>
      <c r="D2" s="114"/>
      <c r="E2" s="114"/>
      <c r="F2" s="114"/>
      <c r="G2" s="114"/>
    </row>
    <row r="3" spans="1:7" ht="14.4" customHeight="1" thickBot="1" x14ac:dyDescent="0.35">
      <c r="A3" s="224" t="s">
        <v>132</v>
      </c>
      <c r="B3" s="305">
        <f t="shared" ref="B3:G3" si="0">SUBTOTAL(9,B6:B1048576)</f>
        <v>3651</v>
      </c>
      <c r="C3" s="306">
        <f t="shared" si="0"/>
        <v>4123</v>
      </c>
      <c r="D3" s="306">
        <f t="shared" si="0"/>
        <v>4249</v>
      </c>
      <c r="E3" s="228">
        <f t="shared" si="0"/>
        <v>591521</v>
      </c>
      <c r="F3" s="226">
        <f t="shared" si="0"/>
        <v>658800</v>
      </c>
      <c r="G3" s="307">
        <f t="shared" si="0"/>
        <v>712235.64</v>
      </c>
    </row>
    <row r="4" spans="1:7" ht="14.4" customHeight="1" x14ac:dyDescent="0.3">
      <c r="A4" s="388" t="s">
        <v>139</v>
      </c>
      <c r="B4" s="389" t="s">
        <v>217</v>
      </c>
      <c r="C4" s="390"/>
      <c r="D4" s="390"/>
      <c r="E4" s="392" t="s">
        <v>100</v>
      </c>
      <c r="F4" s="393"/>
      <c r="G4" s="394"/>
    </row>
    <row r="5" spans="1:7" ht="14.4" customHeight="1" thickBot="1" x14ac:dyDescent="0.35">
      <c r="A5" s="593"/>
      <c r="B5" s="594">
        <v>2014</v>
      </c>
      <c r="C5" s="595">
        <v>2015</v>
      </c>
      <c r="D5" s="595">
        <v>2016</v>
      </c>
      <c r="E5" s="594">
        <v>2014</v>
      </c>
      <c r="F5" s="595">
        <v>2015</v>
      </c>
      <c r="G5" s="595">
        <v>2016</v>
      </c>
    </row>
    <row r="6" spans="1:7" ht="14.4" customHeight="1" x14ac:dyDescent="0.3">
      <c r="A6" s="550" t="s">
        <v>999</v>
      </c>
      <c r="B6" s="452">
        <v>11</v>
      </c>
      <c r="C6" s="452">
        <v>1255</v>
      </c>
      <c r="D6" s="452">
        <v>39</v>
      </c>
      <c r="E6" s="600">
        <v>1111</v>
      </c>
      <c r="F6" s="600">
        <v>4217</v>
      </c>
      <c r="G6" s="604">
        <v>6540</v>
      </c>
    </row>
    <row r="7" spans="1:7" ht="14.4" customHeight="1" x14ac:dyDescent="0.3">
      <c r="A7" s="551" t="s">
        <v>553</v>
      </c>
      <c r="B7" s="539">
        <v>187</v>
      </c>
      <c r="C7" s="539">
        <v>719</v>
      </c>
      <c r="D7" s="539">
        <v>139</v>
      </c>
      <c r="E7" s="601">
        <v>31630</v>
      </c>
      <c r="F7" s="601">
        <v>171687</v>
      </c>
      <c r="G7" s="605">
        <v>15194.99</v>
      </c>
    </row>
    <row r="8" spans="1:7" ht="14.4" customHeight="1" x14ac:dyDescent="0.3">
      <c r="A8" s="551" t="s">
        <v>555</v>
      </c>
      <c r="B8" s="539">
        <v>624</v>
      </c>
      <c r="C8" s="539">
        <v>328</v>
      </c>
      <c r="D8" s="539">
        <v>710</v>
      </c>
      <c r="E8" s="601">
        <v>91460</v>
      </c>
      <c r="F8" s="601">
        <v>83484</v>
      </c>
      <c r="G8" s="605">
        <v>121989.67</v>
      </c>
    </row>
    <row r="9" spans="1:7" ht="14.4" customHeight="1" x14ac:dyDescent="0.3">
      <c r="A9" s="551" t="s">
        <v>1000</v>
      </c>
      <c r="B9" s="539">
        <v>350</v>
      </c>
      <c r="C9" s="539">
        <v>1</v>
      </c>
      <c r="D9" s="539">
        <v>23</v>
      </c>
      <c r="E9" s="601">
        <v>55764</v>
      </c>
      <c r="F9" s="601">
        <v>118</v>
      </c>
      <c r="G9" s="605">
        <v>7342.66</v>
      </c>
    </row>
    <row r="10" spans="1:7" ht="14.4" customHeight="1" x14ac:dyDescent="0.3">
      <c r="A10" s="551" t="s">
        <v>1001</v>
      </c>
      <c r="B10" s="539">
        <v>690</v>
      </c>
      <c r="C10" s="539">
        <v>75</v>
      </c>
      <c r="D10" s="539">
        <v>1079</v>
      </c>
      <c r="E10" s="601">
        <v>127630</v>
      </c>
      <c r="F10" s="601">
        <v>16395</v>
      </c>
      <c r="G10" s="605">
        <v>216685.66</v>
      </c>
    </row>
    <row r="11" spans="1:7" ht="14.4" customHeight="1" x14ac:dyDescent="0.3">
      <c r="A11" s="551" t="s">
        <v>556</v>
      </c>
      <c r="B11" s="539">
        <v>443</v>
      </c>
      <c r="C11" s="539">
        <v>365</v>
      </c>
      <c r="D11" s="539">
        <v>413</v>
      </c>
      <c r="E11" s="601">
        <v>48596</v>
      </c>
      <c r="F11" s="601">
        <v>84856</v>
      </c>
      <c r="G11" s="605">
        <v>65610.009999999995</v>
      </c>
    </row>
    <row r="12" spans="1:7" ht="14.4" customHeight="1" x14ac:dyDescent="0.3">
      <c r="A12" s="551" t="s">
        <v>557</v>
      </c>
      <c r="B12" s="539">
        <v>367</v>
      </c>
      <c r="C12" s="539">
        <v>227</v>
      </c>
      <c r="D12" s="539">
        <v>377</v>
      </c>
      <c r="E12" s="601">
        <v>78064</v>
      </c>
      <c r="F12" s="601">
        <v>52285</v>
      </c>
      <c r="G12" s="605">
        <v>59480.33</v>
      </c>
    </row>
    <row r="13" spans="1:7" ht="14.4" customHeight="1" x14ac:dyDescent="0.3">
      <c r="A13" s="551" t="s">
        <v>559</v>
      </c>
      <c r="B13" s="539">
        <v>648</v>
      </c>
      <c r="C13" s="539">
        <v>855</v>
      </c>
      <c r="D13" s="539">
        <v>991</v>
      </c>
      <c r="E13" s="601">
        <v>113225</v>
      </c>
      <c r="F13" s="601">
        <v>175418</v>
      </c>
      <c r="G13" s="605">
        <v>149691.33000000002</v>
      </c>
    </row>
    <row r="14" spans="1:7" ht="14.4" customHeight="1" thickBot="1" x14ac:dyDescent="0.35">
      <c r="A14" s="603" t="s">
        <v>558</v>
      </c>
      <c r="B14" s="541">
        <v>331</v>
      </c>
      <c r="C14" s="541">
        <v>298</v>
      </c>
      <c r="D14" s="541">
        <v>478</v>
      </c>
      <c r="E14" s="602">
        <v>44041</v>
      </c>
      <c r="F14" s="602">
        <v>70340</v>
      </c>
      <c r="G14" s="606">
        <v>69700.990000000005</v>
      </c>
    </row>
    <row r="15" spans="1:7" ht="14.4" customHeight="1" x14ac:dyDescent="0.3">
      <c r="A15" s="491" t="s">
        <v>550</v>
      </c>
    </row>
    <row r="16" spans="1:7" ht="14.4" customHeight="1" x14ac:dyDescent="0.3">
      <c r="A16" s="492" t="s">
        <v>551</v>
      </c>
    </row>
    <row r="17" spans="1:1" ht="14.4" customHeight="1" x14ac:dyDescent="0.3">
      <c r="A17" s="491" t="s">
        <v>998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136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3" bestFit="1" customWidth="1"/>
    <col min="2" max="2" width="6.109375" style="133" customWidth="1"/>
    <col min="3" max="3" width="2.109375" style="133" bestFit="1" customWidth="1"/>
    <col min="4" max="4" width="8" style="133" customWidth="1"/>
    <col min="5" max="5" width="50.88671875" style="133" bestFit="1" customWidth="1"/>
    <col min="6" max="7" width="11.109375" style="211" customWidth="1"/>
    <col min="8" max="9" width="9.33203125" style="133" hidden="1" customWidth="1"/>
    <col min="10" max="11" width="11.109375" style="211" customWidth="1"/>
    <col min="12" max="13" width="9.33203125" style="133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3"/>
  </cols>
  <sheetData>
    <row r="1" spans="1:17" ht="18.600000000000001" customHeight="1" thickBot="1" x14ac:dyDescent="0.4">
      <c r="A1" s="315" t="s">
        <v>1166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</row>
    <row r="2" spans="1:17" ht="14.4" customHeight="1" thickBot="1" x14ac:dyDescent="0.35">
      <c r="A2" s="239" t="s">
        <v>251</v>
      </c>
      <c r="B2" s="310"/>
      <c r="C2" s="134"/>
      <c r="D2" s="304"/>
      <c r="E2" s="134"/>
      <c r="F2" s="232"/>
      <c r="G2" s="232"/>
      <c r="H2" s="134"/>
      <c r="I2" s="134"/>
      <c r="J2" s="232"/>
      <c r="K2" s="232"/>
      <c r="L2" s="134"/>
      <c r="M2" s="134"/>
      <c r="N2" s="232"/>
      <c r="O2" s="232"/>
      <c r="P2" s="233"/>
      <c r="Q2" s="232"/>
    </row>
    <row r="3" spans="1:17" ht="14.4" customHeight="1" thickBot="1" x14ac:dyDescent="0.35">
      <c r="E3" s="87" t="s">
        <v>132</v>
      </c>
      <c r="F3" s="103">
        <f t="shared" ref="F3:O3" si="0">SUBTOTAL(9,F6:F1048576)</f>
        <v>3692.3000000000006</v>
      </c>
      <c r="G3" s="104">
        <f t="shared" si="0"/>
        <v>597881.07999999996</v>
      </c>
      <c r="H3" s="74"/>
      <c r="I3" s="74"/>
      <c r="J3" s="104">
        <f t="shared" si="0"/>
        <v>4169.6099999999997</v>
      </c>
      <c r="K3" s="104">
        <f t="shared" si="0"/>
        <v>666013.7300000001</v>
      </c>
      <c r="L3" s="74"/>
      <c r="M3" s="74"/>
      <c r="N3" s="104">
        <f t="shared" si="0"/>
        <v>4281.9999999999991</v>
      </c>
      <c r="O3" s="104">
        <f t="shared" si="0"/>
        <v>718135.1399999999</v>
      </c>
      <c r="P3" s="75">
        <f>IF(G3=0,0,O3/G3)</f>
        <v>1.2011337438542125</v>
      </c>
      <c r="Q3" s="105">
        <f>IF(N3=0,0,O3/N3)</f>
        <v>167.7102148528725</v>
      </c>
    </row>
    <row r="4" spans="1:17" ht="14.4" customHeight="1" x14ac:dyDescent="0.3">
      <c r="A4" s="396" t="s">
        <v>96</v>
      </c>
      <c r="B4" s="403" t="s">
        <v>0</v>
      </c>
      <c r="C4" s="397" t="s">
        <v>97</v>
      </c>
      <c r="D4" s="402" t="s">
        <v>71</v>
      </c>
      <c r="E4" s="398" t="s">
        <v>70</v>
      </c>
      <c r="F4" s="399">
        <v>2014</v>
      </c>
      <c r="G4" s="400"/>
      <c r="H4" s="102"/>
      <c r="I4" s="102"/>
      <c r="J4" s="399">
        <v>2015</v>
      </c>
      <c r="K4" s="400"/>
      <c r="L4" s="102"/>
      <c r="M4" s="102"/>
      <c r="N4" s="399">
        <v>2016</v>
      </c>
      <c r="O4" s="400"/>
      <c r="P4" s="401" t="s">
        <v>2</v>
      </c>
      <c r="Q4" s="395" t="s">
        <v>99</v>
      </c>
    </row>
    <row r="5" spans="1:17" ht="14.4" customHeight="1" thickBot="1" x14ac:dyDescent="0.35">
      <c r="A5" s="607"/>
      <c r="B5" s="608"/>
      <c r="C5" s="609"/>
      <c r="D5" s="610"/>
      <c r="E5" s="611"/>
      <c r="F5" s="612" t="s">
        <v>72</v>
      </c>
      <c r="G5" s="613" t="s">
        <v>14</v>
      </c>
      <c r="H5" s="614"/>
      <c r="I5" s="614"/>
      <c r="J5" s="612" t="s">
        <v>72</v>
      </c>
      <c r="K5" s="613" t="s">
        <v>14</v>
      </c>
      <c r="L5" s="614"/>
      <c r="M5" s="614"/>
      <c r="N5" s="612" t="s">
        <v>72</v>
      </c>
      <c r="O5" s="613" t="s">
        <v>14</v>
      </c>
      <c r="P5" s="615"/>
      <c r="Q5" s="616"/>
    </row>
    <row r="6" spans="1:17" ht="14.4" customHeight="1" x14ac:dyDescent="0.3">
      <c r="A6" s="511" t="s">
        <v>1003</v>
      </c>
      <c r="B6" s="449" t="s">
        <v>434</v>
      </c>
      <c r="C6" s="449" t="s">
        <v>1004</v>
      </c>
      <c r="D6" s="449" t="s">
        <v>1005</v>
      </c>
      <c r="E6" s="449" t="s">
        <v>1006</v>
      </c>
      <c r="F6" s="452"/>
      <c r="G6" s="452"/>
      <c r="H6" s="449"/>
      <c r="I6" s="449"/>
      <c r="J6" s="452">
        <v>0.2</v>
      </c>
      <c r="K6" s="452">
        <v>23.22</v>
      </c>
      <c r="L6" s="449"/>
      <c r="M6" s="449">
        <v>116.1</v>
      </c>
      <c r="N6" s="452"/>
      <c r="O6" s="452"/>
      <c r="P6" s="472"/>
      <c r="Q6" s="538"/>
    </row>
    <row r="7" spans="1:17" ht="14.4" customHeight="1" x14ac:dyDescent="0.3">
      <c r="A7" s="526" t="s">
        <v>1003</v>
      </c>
      <c r="B7" s="527" t="s">
        <v>434</v>
      </c>
      <c r="C7" s="527" t="s">
        <v>1004</v>
      </c>
      <c r="D7" s="527" t="s">
        <v>1007</v>
      </c>
      <c r="E7" s="527" t="s">
        <v>1008</v>
      </c>
      <c r="F7" s="539">
        <v>2.6000000000000005</v>
      </c>
      <c r="G7" s="539">
        <v>410.54000000000013</v>
      </c>
      <c r="H7" s="527">
        <v>1</v>
      </c>
      <c r="I7" s="527">
        <v>157.9</v>
      </c>
      <c r="J7" s="539">
        <v>0.90000000000000013</v>
      </c>
      <c r="K7" s="539">
        <v>135.92000000000002</v>
      </c>
      <c r="L7" s="527">
        <v>0.33107614361572557</v>
      </c>
      <c r="M7" s="527">
        <v>151.02222222222221</v>
      </c>
      <c r="N7" s="539">
        <v>0.2</v>
      </c>
      <c r="O7" s="539">
        <v>30.2</v>
      </c>
      <c r="P7" s="532">
        <v>7.3561650509085572E-2</v>
      </c>
      <c r="Q7" s="540">
        <v>151</v>
      </c>
    </row>
    <row r="8" spans="1:17" ht="14.4" customHeight="1" x14ac:dyDescent="0.3">
      <c r="A8" s="526" t="s">
        <v>1003</v>
      </c>
      <c r="B8" s="527" t="s">
        <v>434</v>
      </c>
      <c r="C8" s="527" t="s">
        <v>1004</v>
      </c>
      <c r="D8" s="527" t="s">
        <v>1009</v>
      </c>
      <c r="E8" s="527" t="s">
        <v>1010</v>
      </c>
      <c r="F8" s="539">
        <v>0.2</v>
      </c>
      <c r="G8" s="539">
        <v>53.02</v>
      </c>
      <c r="H8" s="527">
        <v>1</v>
      </c>
      <c r="I8" s="527">
        <v>265.10000000000002</v>
      </c>
      <c r="J8" s="539"/>
      <c r="K8" s="539"/>
      <c r="L8" s="527"/>
      <c r="M8" s="527"/>
      <c r="N8" s="539"/>
      <c r="O8" s="539"/>
      <c r="P8" s="532"/>
      <c r="Q8" s="540"/>
    </row>
    <row r="9" spans="1:17" ht="14.4" customHeight="1" x14ac:dyDescent="0.3">
      <c r="A9" s="526" t="s">
        <v>1003</v>
      </c>
      <c r="B9" s="527" t="s">
        <v>434</v>
      </c>
      <c r="C9" s="527" t="s">
        <v>1004</v>
      </c>
      <c r="D9" s="527" t="s">
        <v>1011</v>
      </c>
      <c r="E9" s="527" t="s">
        <v>1012</v>
      </c>
      <c r="F9" s="539">
        <v>0.1</v>
      </c>
      <c r="G9" s="539">
        <v>10.54</v>
      </c>
      <c r="H9" s="527">
        <v>1</v>
      </c>
      <c r="I9" s="527">
        <v>105.39999999999999</v>
      </c>
      <c r="J9" s="539"/>
      <c r="K9" s="539"/>
      <c r="L9" s="527"/>
      <c r="M9" s="527"/>
      <c r="N9" s="539"/>
      <c r="O9" s="539"/>
      <c r="P9" s="532"/>
      <c r="Q9" s="540"/>
    </row>
    <row r="10" spans="1:17" ht="14.4" customHeight="1" x14ac:dyDescent="0.3">
      <c r="A10" s="526" t="s">
        <v>1003</v>
      </c>
      <c r="B10" s="527" t="s">
        <v>434</v>
      </c>
      <c r="C10" s="527" t="s">
        <v>1004</v>
      </c>
      <c r="D10" s="527" t="s">
        <v>1013</v>
      </c>
      <c r="E10" s="527" t="s">
        <v>1014</v>
      </c>
      <c r="F10" s="539">
        <v>0.1</v>
      </c>
      <c r="G10" s="539">
        <v>10.08</v>
      </c>
      <c r="H10" s="527">
        <v>1</v>
      </c>
      <c r="I10" s="527">
        <v>100.8</v>
      </c>
      <c r="J10" s="539"/>
      <c r="K10" s="539"/>
      <c r="L10" s="527"/>
      <c r="M10" s="527"/>
      <c r="N10" s="539"/>
      <c r="O10" s="539"/>
      <c r="P10" s="532"/>
      <c r="Q10" s="540"/>
    </row>
    <row r="11" spans="1:17" ht="14.4" customHeight="1" x14ac:dyDescent="0.3">
      <c r="A11" s="526" t="s">
        <v>1003</v>
      </c>
      <c r="B11" s="527" t="s">
        <v>434</v>
      </c>
      <c r="C11" s="527" t="s">
        <v>1004</v>
      </c>
      <c r="D11" s="527" t="s">
        <v>1015</v>
      </c>
      <c r="E11" s="527" t="s">
        <v>1016</v>
      </c>
      <c r="F11" s="539"/>
      <c r="G11" s="539"/>
      <c r="H11" s="527"/>
      <c r="I11" s="527"/>
      <c r="J11" s="539">
        <v>0.1</v>
      </c>
      <c r="K11" s="539">
        <v>14.49</v>
      </c>
      <c r="L11" s="527"/>
      <c r="M11" s="527">
        <v>144.9</v>
      </c>
      <c r="N11" s="539"/>
      <c r="O11" s="539"/>
      <c r="P11" s="532"/>
      <c r="Q11" s="540"/>
    </row>
    <row r="12" spans="1:17" ht="14.4" customHeight="1" x14ac:dyDescent="0.3">
      <c r="A12" s="526" t="s">
        <v>1003</v>
      </c>
      <c r="B12" s="527" t="s">
        <v>434</v>
      </c>
      <c r="C12" s="527" t="s">
        <v>1017</v>
      </c>
      <c r="D12" s="527" t="s">
        <v>1018</v>
      </c>
      <c r="E12" s="527" t="s">
        <v>1019</v>
      </c>
      <c r="F12" s="539">
        <v>4</v>
      </c>
      <c r="G12" s="539">
        <v>360.64</v>
      </c>
      <c r="H12" s="527">
        <v>1</v>
      </c>
      <c r="I12" s="527">
        <v>90.16</v>
      </c>
      <c r="J12" s="539"/>
      <c r="K12" s="539"/>
      <c r="L12" s="527"/>
      <c r="M12" s="527"/>
      <c r="N12" s="539"/>
      <c r="O12" s="539"/>
      <c r="P12" s="532"/>
      <c r="Q12" s="540"/>
    </row>
    <row r="13" spans="1:17" ht="14.4" customHeight="1" x14ac:dyDescent="0.3">
      <c r="A13" s="526" t="s">
        <v>1003</v>
      </c>
      <c r="B13" s="527" t="s">
        <v>434</v>
      </c>
      <c r="C13" s="527" t="s">
        <v>1017</v>
      </c>
      <c r="D13" s="527" t="s">
        <v>1020</v>
      </c>
      <c r="E13" s="527" t="s">
        <v>1021</v>
      </c>
      <c r="F13" s="539">
        <v>1</v>
      </c>
      <c r="G13" s="539">
        <v>58.6</v>
      </c>
      <c r="H13" s="527">
        <v>1</v>
      </c>
      <c r="I13" s="527">
        <v>58.6</v>
      </c>
      <c r="J13" s="539"/>
      <c r="K13" s="539"/>
      <c r="L13" s="527"/>
      <c r="M13" s="527"/>
      <c r="N13" s="539"/>
      <c r="O13" s="539"/>
      <c r="P13" s="532"/>
      <c r="Q13" s="540"/>
    </row>
    <row r="14" spans="1:17" ht="14.4" customHeight="1" x14ac:dyDescent="0.3">
      <c r="A14" s="526" t="s">
        <v>1003</v>
      </c>
      <c r="B14" s="527" t="s">
        <v>434</v>
      </c>
      <c r="C14" s="527" t="s">
        <v>1022</v>
      </c>
      <c r="D14" s="527" t="s">
        <v>1023</v>
      </c>
      <c r="E14" s="527" t="s">
        <v>1024</v>
      </c>
      <c r="F14" s="539">
        <v>2</v>
      </c>
      <c r="G14" s="539">
        <v>146</v>
      </c>
      <c r="H14" s="527">
        <v>1</v>
      </c>
      <c r="I14" s="527">
        <v>73</v>
      </c>
      <c r="J14" s="539"/>
      <c r="K14" s="539"/>
      <c r="L14" s="527"/>
      <c r="M14" s="527"/>
      <c r="N14" s="539"/>
      <c r="O14" s="539"/>
      <c r="P14" s="532"/>
      <c r="Q14" s="540"/>
    </row>
    <row r="15" spans="1:17" ht="14.4" customHeight="1" x14ac:dyDescent="0.3">
      <c r="A15" s="526" t="s">
        <v>1003</v>
      </c>
      <c r="B15" s="527" t="s">
        <v>434</v>
      </c>
      <c r="C15" s="527" t="s">
        <v>1022</v>
      </c>
      <c r="D15" s="527" t="s">
        <v>1025</v>
      </c>
      <c r="E15" s="527" t="s">
        <v>1026</v>
      </c>
      <c r="F15" s="539">
        <v>1</v>
      </c>
      <c r="G15" s="539">
        <v>156</v>
      </c>
      <c r="H15" s="527">
        <v>1</v>
      </c>
      <c r="I15" s="527">
        <v>156</v>
      </c>
      <c r="J15" s="539"/>
      <c r="K15" s="539"/>
      <c r="L15" s="527"/>
      <c r="M15" s="527"/>
      <c r="N15" s="539"/>
      <c r="O15" s="539"/>
      <c r="P15" s="532"/>
      <c r="Q15" s="540"/>
    </row>
    <row r="16" spans="1:17" ht="14.4" customHeight="1" x14ac:dyDescent="0.3">
      <c r="A16" s="526" t="s">
        <v>1003</v>
      </c>
      <c r="B16" s="527" t="s">
        <v>434</v>
      </c>
      <c r="C16" s="527" t="s">
        <v>1022</v>
      </c>
      <c r="D16" s="527" t="s">
        <v>1027</v>
      </c>
      <c r="E16" s="527" t="s">
        <v>1028</v>
      </c>
      <c r="F16" s="539">
        <v>91</v>
      </c>
      <c r="G16" s="539">
        <v>7280</v>
      </c>
      <c r="H16" s="527">
        <v>1</v>
      </c>
      <c r="I16" s="527">
        <v>80</v>
      </c>
      <c r="J16" s="539">
        <v>171</v>
      </c>
      <c r="K16" s="539">
        <v>13851</v>
      </c>
      <c r="L16" s="527">
        <v>1.90260989010989</v>
      </c>
      <c r="M16" s="527">
        <v>81</v>
      </c>
      <c r="N16" s="539">
        <v>148</v>
      </c>
      <c r="O16" s="539">
        <v>12284</v>
      </c>
      <c r="P16" s="532">
        <v>1.6873626373626374</v>
      </c>
      <c r="Q16" s="540">
        <v>83</v>
      </c>
    </row>
    <row r="17" spans="1:17" ht="14.4" customHeight="1" x14ac:dyDescent="0.3">
      <c r="A17" s="526" t="s">
        <v>1003</v>
      </c>
      <c r="B17" s="527" t="s">
        <v>434</v>
      </c>
      <c r="C17" s="527" t="s">
        <v>1022</v>
      </c>
      <c r="D17" s="527" t="s">
        <v>1029</v>
      </c>
      <c r="E17" s="527" t="s">
        <v>1030</v>
      </c>
      <c r="F17" s="539">
        <v>373</v>
      </c>
      <c r="G17" s="539">
        <v>38419</v>
      </c>
      <c r="H17" s="527">
        <v>1</v>
      </c>
      <c r="I17" s="527">
        <v>103</v>
      </c>
      <c r="J17" s="539">
        <v>312</v>
      </c>
      <c r="K17" s="539">
        <v>32448</v>
      </c>
      <c r="L17" s="527">
        <v>0.84458210781123921</v>
      </c>
      <c r="M17" s="527">
        <v>104</v>
      </c>
      <c r="N17" s="539">
        <v>279</v>
      </c>
      <c r="O17" s="539">
        <v>29574</v>
      </c>
      <c r="P17" s="532">
        <v>0.76977537156094644</v>
      </c>
      <c r="Q17" s="540">
        <v>106</v>
      </c>
    </row>
    <row r="18" spans="1:17" ht="14.4" customHeight="1" x14ac:dyDescent="0.3">
      <c r="A18" s="526" t="s">
        <v>1003</v>
      </c>
      <c r="B18" s="527" t="s">
        <v>434</v>
      </c>
      <c r="C18" s="527" t="s">
        <v>1022</v>
      </c>
      <c r="D18" s="527" t="s">
        <v>1031</v>
      </c>
      <c r="E18" s="527" t="s">
        <v>1032</v>
      </c>
      <c r="F18" s="539">
        <v>406</v>
      </c>
      <c r="G18" s="539">
        <v>13804</v>
      </c>
      <c r="H18" s="527">
        <v>1</v>
      </c>
      <c r="I18" s="527">
        <v>34</v>
      </c>
      <c r="J18" s="539">
        <v>49</v>
      </c>
      <c r="K18" s="539">
        <v>1715</v>
      </c>
      <c r="L18" s="527">
        <v>0.12423935091277891</v>
      </c>
      <c r="M18" s="527">
        <v>35</v>
      </c>
      <c r="N18" s="539">
        <v>39</v>
      </c>
      <c r="O18" s="539">
        <v>1443</v>
      </c>
      <c r="P18" s="532">
        <v>0.10453491741524196</v>
      </c>
      <c r="Q18" s="540">
        <v>37</v>
      </c>
    </row>
    <row r="19" spans="1:17" ht="14.4" customHeight="1" x14ac:dyDescent="0.3">
      <c r="A19" s="526" t="s">
        <v>1003</v>
      </c>
      <c r="B19" s="527" t="s">
        <v>434</v>
      </c>
      <c r="C19" s="527" t="s">
        <v>1022</v>
      </c>
      <c r="D19" s="527" t="s">
        <v>1033</v>
      </c>
      <c r="E19" s="527" t="s">
        <v>1034</v>
      </c>
      <c r="F19" s="539"/>
      <c r="G19" s="539"/>
      <c r="H19" s="527"/>
      <c r="I19" s="527"/>
      <c r="J19" s="539">
        <v>2</v>
      </c>
      <c r="K19" s="539">
        <v>10</v>
      </c>
      <c r="L19" s="527"/>
      <c r="M19" s="527">
        <v>5</v>
      </c>
      <c r="N19" s="539"/>
      <c r="O19" s="539"/>
      <c r="P19" s="532"/>
      <c r="Q19" s="540"/>
    </row>
    <row r="20" spans="1:17" ht="14.4" customHeight="1" x14ac:dyDescent="0.3">
      <c r="A20" s="526" t="s">
        <v>1003</v>
      </c>
      <c r="B20" s="527" t="s">
        <v>434</v>
      </c>
      <c r="C20" s="527" t="s">
        <v>1022</v>
      </c>
      <c r="D20" s="527" t="s">
        <v>1035</v>
      </c>
      <c r="E20" s="527" t="s">
        <v>1036</v>
      </c>
      <c r="F20" s="539"/>
      <c r="G20" s="539"/>
      <c r="H20" s="527"/>
      <c r="I20" s="527"/>
      <c r="J20" s="539">
        <v>1</v>
      </c>
      <c r="K20" s="539">
        <v>5</v>
      </c>
      <c r="L20" s="527"/>
      <c r="M20" s="527">
        <v>5</v>
      </c>
      <c r="N20" s="539">
        <v>1</v>
      </c>
      <c r="O20" s="539">
        <v>5</v>
      </c>
      <c r="P20" s="532"/>
      <c r="Q20" s="540">
        <v>5</v>
      </c>
    </row>
    <row r="21" spans="1:17" ht="14.4" customHeight="1" x14ac:dyDescent="0.3">
      <c r="A21" s="526" t="s">
        <v>1003</v>
      </c>
      <c r="B21" s="527" t="s">
        <v>434</v>
      </c>
      <c r="C21" s="527" t="s">
        <v>1022</v>
      </c>
      <c r="D21" s="527" t="s">
        <v>1037</v>
      </c>
      <c r="E21" s="527" t="s">
        <v>1038</v>
      </c>
      <c r="F21" s="539">
        <v>10</v>
      </c>
      <c r="G21" s="539">
        <v>6380</v>
      </c>
      <c r="H21" s="527">
        <v>1</v>
      </c>
      <c r="I21" s="527">
        <v>638</v>
      </c>
      <c r="J21" s="539"/>
      <c r="K21" s="539"/>
      <c r="L21" s="527"/>
      <c r="M21" s="527"/>
      <c r="N21" s="539"/>
      <c r="O21" s="539"/>
      <c r="P21" s="532"/>
      <c r="Q21" s="540"/>
    </row>
    <row r="22" spans="1:17" ht="14.4" customHeight="1" x14ac:dyDescent="0.3">
      <c r="A22" s="526" t="s">
        <v>1003</v>
      </c>
      <c r="B22" s="527" t="s">
        <v>434</v>
      </c>
      <c r="C22" s="527" t="s">
        <v>1022</v>
      </c>
      <c r="D22" s="527" t="s">
        <v>1039</v>
      </c>
      <c r="E22" s="527" t="s">
        <v>1040</v>
      </c>
      <c r="F22" s="539">
        <v>11</v>
      </c>
      <c r="G22" s="539">
        <v>1716</v>
      </c>
      <c r="H22" s="527">
        <v>1</v>
      </c>
      <c r="I22" s="527">
        <v>156</v>
      </c>
      <c r="J22" s="539">
        <v>1</v>
      </c>
      <c r="K22" s="539">
        <v>159</v>
      </c>
      <c r="L22" s="527">
        <v>9.2657342657342656E-2</v>
      </c>
      <c r="M22" s="527">
        <v>159</v>
      </c>
      <c r="N22" s="539"/>
      <c r="O22" s="539"/>
      <c r="P22" s="532"/>
      <c r="Q22" s="540"/>
    </row>
    <row r="23" spans="1:17" ht="14.4" customHeight="1" x14ac:dyDescent="0.3">
      <c r="A23" s="526" t="s">
        <v>1003</v>
      </c>
      <c r="B23" s="527" t="s">
        <v>434</v>
      </c>
      <c r="C23" s="527" t="s">
        <v>1022</v>
      </c>
      <c r="D23" s="527" t="s">
        <v>1041</v>
      </c>
      <c r="E23" s="527" t="s">
        <v>1030</v>
      </c>
      <c r="F23" s="539">
        <v>4</v>
      </c>
      <c r="G23" s="539">
        <v>764</v>
      </c>
      <c r="H23" s="527">
        <v>1</v>
      </c>
      <c r="I23" s="527">
        <v>191</v>
      </c>
      <c r="J23" s="539"/>
      <c r="K23" s="539"/>
      <c r="L23" s="527"/>
      <c r="M23" s="527"/>
      <c r="N23" s="539"/>
      <c r="O23" s="539"/>
      <c r="P23" s="532"/>
      <c r="Q23" s="540"/>
    </row>
    <row r="24" spans="1:17" ht="14.4" customHeight="1" x14ac:dyDescent="0.3">
      <c r="A24" s="526" t="s">
        <v>1003</v>
      </c>
      <c r="B24" s="527" t="s">
        <v>434</v>
      </c>
      <c r="C24" s="527" t="s">
        <v>1022</v>
      </c>
      <c r="D24" s="527" t="s">
        <v>1042</v>
      </c>
      <c r="E24" s="527" t="s">
        <v>1043</v>
      </c>
      <c r="F24" s="539">
        <v>319</v>
      </c>
      <c r="G24" s="539">
        <v>74008</v>
      </c>
      <c r="H24" s="527">
        <v>1</v>
      </c>
      <c r="I24" s="527">
        <v>232</v>
      </c>
      <c r="J24" s="539">
        <v>314</v>
      </c>
      <c r="K24" s="539">
        <v>73790</v>
      </c>
      <c r="L24" s="527">
        <v>0.99705437250027029</v>
      </c>
      <c r="M24" s="527">
        <v>235</v>
      </c>
      <c r="N24" s="539">
        <v>334</v>
      </c>
      <c r="O24" s="539">
        <v>83834</v>
      </c>
      <c r="P24" s="532">
        <v>1.1327694303318561</v>
      </c>
      <c r="Q24" s="540">
        <v>251</v>
      </c>
    </row>
    <row r="25" spans="1:17" ht="14.4" customHeight="1" x14ac:dyDescent="0.3">
      <c r="A25" s="526" t="s">
        <v>1003</v>
      </c>
      <c r="B25" s="527" t="s">
        <v>434</v>
      </c>
      <c r="C25" s="527" t="s">
        <v>1022</v>
      </c>
      <c r="D25" s="527" t="s">
        <v>1044</v>
      </c>
      <c r="E25" s="527" t="s">
        <v>1045</v>
      </c>
      <c r="F25" s="539">
        <v>718</v>
      </c>
      <c r="G25" s="539">
        <v>83288</v>
      </c>
      <c r="H25" s="527">
        <v>1</v>
      </c>
      <c r="I25" s="527">
        <v>116</v>
      </c>
      <c r="J25" s="539">
        <v>1056</v>
      </c>
      <c r="K25" s="539">
        <v>124608</v>
      </c>
      <c r="L25" s="527">
        <v>1.4961098837767746</v>
      </c>
      <c r="M25" s="527">
        <v>118</v>
      </c>
      <c r="N25" s="539">
        <v>1125</v>
      </c>
      <c r="O25" s="539">
        <v>141750</v>
      </c>
      <c r="P25" s="532">
        <v>1.7019258476611276</v>
      </c>
      <c r="Q25" s="540">
        <v>126</v>
      </c>
    </row>
    <row r="26" spans="1:17" ht="14.4" customHeight="1" x14ac:dyDescent="0.3">
      <c r="A26" s="526" t="s">
        <v>1003</v>
      </c>
      <c r="B26" s="527" t="s">
        <v>434</v>
      </c>
      <c r="C26" s="527" t="s">
        <v>1022</v>
      </c>
      <c r="D26" s="527" t="s">
        <v>1046</v>
      </c>
      <c r="E26" s="527" t="s">
        <v>1047</v>
      </c>
      <c r="F26" s="539">
        <v>5</v>
      </c>
      <c r="G26" s="539">
        <v>2635</v>
      </c>
      <c r="H26" s="527">
        <v>1</v>
      </c>
      <c r="I26" s="527">
        <v>527</v>
      </c>
      <c r="J26" s="539">
        <v>1</v>
      </c>
      <c r="K26" s="539">
        <v>532</v>
      </c>
      <c r="L26" s="527">
        <v>0.20189753320683113</v>
      </c>
      <c r="M26" s="527">
        <v>532</v>
      </c>
      <c r="N26" s="539">
        <v>1</v>
      </c>
      <c r="O26" s="539">
        <v>540</v>
      </c>
      <c r="P26" s="532">
        <v>0.2049335863377609</v>
      </c>
      <c r="Q26" s="540">
        <v>540</v>
      </c>
    </row>
    <row r="27" spans="1:17" ht="14.4" customHeight="1" x14ac:dyDescent="0.3">
      <c r="A27" s="526" t="s">
        <v>1003</v>
      </c>
      <c r="B27" s="527" t="s">
        <v>434</v>
      </c>
      <c r="C27" s="527" t="s">
        <v>1022</v>
      </c>
      <c r="D27" s="527" t="s">
        <v>1048</v>
      </c>
      <c r="E27" s="527" t="s">
        <v>1049</v>
      </c>
      <c r="F27" s="539">
        <v>12</v>
      </c>
      <c r="G27" s="539">
        <v>5772</v>
      </c>
      <c r="H27" s="527">
        <v>1</v>
      </c>
      <c r="I27" s="527">
        <v>481</v>
      </c>
      <c r="J27" s="539">
        <v>4</v>
      </c>
      <c r="K27" s="539">
        <v>1944</v>
      </c>
      <c r="L27" s="527">
        <v>0.33679833679833682</v>
      </c>
      <c r="M27" s="527">
        <v>486</v>
      </c>
      <c r="N27" s="539"/>
      <c r="O27" s="539"/>
      <c r="P27" s="532"/>
      <c r="Q27" s="540"/>
    </row>
    <row r="28" spans="1:17" ht="14.4" customHeight="1" x14ac:dyDescent="0.3">
      <c r="A28" s="526" t="s">
        <v>1003</v>
      </c>
      <c r="B28" s="527" t="s">
        <v>434</v>
      </c>
      <c r="C28" s="527" t="s">
        <v>1022</v>
      </c>
      <c r="D28" s="527" t="s">
        <v>1050</v>
      </c>
      <c r="E28" s="527" t="s">
        <v>1051</v>
      </c>
      <c r="F28" s="539">
        <v>10</v>
      </c>
      <c r="G28" s="539">
        <v>6590</v>
      </c>
      <c r="H28" s="527">
        <v>1</v>
      </c>
      <c r="I28" s="527">
        <v>659</v>
      </c>
      <c r="J28" s="539">
        <v>3</v>
      </c>
      <c r="K28" s="539">
        <v>1998</v>
      </c>
      <c r="L28" s="527">
        <v>0.3031866464339909</v>
      </c>
      <c r="M28" s="527">
        <v>666</v>
      </c>
      <c r="N28" s="539"/>
      <c r="O28" s="539"/>
      <c r="P28" s="532"/>
      <c r="Q28" s="540"/>
    </row>
    <row r="29" spans="1:17" ht="14.4" customHeight="1" x14ac:dyDescent="0.3">
      <c r="A29" s="526" t="s">
        <v>1003</v>
      </c>
      <c r="B29" s="527" t="s">
        <v>434</v>
      </c>
      <c r="C29" s="527" t="s">
        <v>1022</v>
      </c>
      <c r="D29" s="527" t="s">
        <v>1052</v>
      </c>
      <c r="E29" s="527" t="s">
        <v>1053</v>
      </c>
      <c r="F29" s="539">
        <v>7</v>
      </c>
      <c r="G29" s="539">
        <v>7007</v>
      </c>
      <c r="H29" s="527">
        <v>1</v>
      </c>
      <c r="I29" s="527">
        <v>1001</v>
      </c>
      <c r="J29" s="539">
        <v>2</v>
      </c>
      <c r="K29" s="539">
        <v>2024</v>
      </c>
      <c r="L29" s="527">
        <v>0.28885400313971743</v>
      </c>
      <c r="M29" s="527">
        <v>1012</v>
      </c>
      <c r="N29" s="539">
        <v>1</v>
      </c>
      <c r="O29" s="539">
        <v>1031</v>
      </c>
      <c r="P29" s="532">
        <v>0.14713857571000427</v>
      </c>
      <c r="Q29" s="540">
        <v>1031</v>
      </c>
    </row>
    <row r="30" spans="1:17" ht="14.4" customHeight="1" x14ac:dyDescent="0.3">
      <c r="A30" s="526" t="s">
        <v>1003</v>
      </c>
      <c r="B30" s="527" t="s">
        <v>434</v>
      </c>
      <c r="C30" s="527" t="s">
        <v>1022</v>
      </c>
      <c r="D30" s="527" t="s">
        <v>1054</v>
      </c>
      <c r="E30" s="527" t="s">
        <v>1055</v>
      </c>
      <c r="F30" s="539">
        <v>1</v>
      </c>
      <c r="G30" s="539">
        <v>932</v>
      </c>
      <c r="H30" s="527">
        <v>1</v>
      </c>
      <c r="I30" s="527">
        <v>932</v>
      </c>
      <c r="J30" s="539"/>
      <c r="K30" s="539"/>
      <c r="L30" s="527"/>
      <c r="M30" s="527"/>
      <c r="N30" s="539"/>
      <c r="O30" s="539"/>
      <c r="P30" s="532"/>
      <c r="Q30" s="540"/>
    </row>
    <row r="31" spans="1:17" ht="14.4" customHeight="1" x14ac:dyDescent="0.3">
      <c r="A31" s="526" t="s">
        <v>1003</v>
      </c>
      <c r="B31" s="527" t="s">
        <v>434</v>
      </c>
      <c r="C31" s="527" t="s">
        <v>1022</v>
      </c>
      <c r="D31" s="527" t="s">
        <v>1056</v>
      </c>
      <c r="E31" s="527" t="s">
        <v>1057</v>
      </c>
      <c r="F31" s="539">
        <v>1</v>
      </c>
      <c r="G31" s="539">
        <v>155</v>
      </c>
      <c r="H31" s="527">
        <v>1</v>
      </c>
      <c r="I31" s="527">
        <v>155</v>
      </c>
      <c r="J31" s="539"/>
      <c r="K31" s="539"/>
      <c r="L31" s="527"/>
      <c r="M31" s="527"/>
      <c r="N31" s="539"/>
      <c r="O31" s="539"/>
      <c r="P31" s="532"/>
      <c r="Q31" s="540"/>
    </row>
    <row r="32" spans="1:17" ht="14.4" customHeight="1" x14ac:dyDescent="0.3">
      <c r="A32" s="526" t="s">
        <v>1003</v>
      </c>
      <c r="B32" s="527" t="s">
        <v>434</v>
      </c>
      <c r="C32" s="527" t="s">
        <v>1022</v>
      </c>
      <c r="D32" s="527" t="s">
        <v>1058</v>
      </c>
      <c r="E32" s="527" t="s">
        <v>1059</v>
      </c>
      <c r="F32" s="539">
        <v>2</v>
      </c>
      <c r="G32" s="539">
        <v>0</v>
      </c>
      <c r="H32" s="527"/>
      <c r="I32" s="527">
        <v>0</v>
      </c>
      <c r="J32" s="539"/>
      <c r="K32" s="539"/>
      <c r="L32" s="527"/>
      <c r="M32" s="527"/>
      <c r="N32" s="539"/>
      <c r="O32" s="539"/>
      <c r="P32" s="532"/>
      <c r="Q32" s="540"/>
    </row>
    <row r="33" spans="1:17" ht="14.4" customHeight="1" x14ac:dyDescent="0.3">
      <c r="A33" s="526" t="s">
        <v>1003</v>
      </c>
      <c r="B33" s="527" t="s">
        <v>434</v>
      </c>
      <c r="C33" s="527" t="s">
        <v>1022</v>
      </c>
      <c r="D33" s="527" t="s">
        <v>1060</v>
      </c>
      <c r="E33" s="527" t="s">
        <v>1061</v>
      </c>
      <c r="F33" s="539">
        <v>809</v>
      </c>
      <c r="G33" s="539">
        <v>0</v>
      </c>
      <c r="H33" s="527"/>
      <c r="I33" s="527">
        <v>0</v>
      </c>
      <c r="J33" s="539">
        <v>1159</v>
      </c>
      <c r="K33" s="539">
        <v>0</v>
      </c>
      <c r="L33" s="527"/>
      <c r="M33" s="527">
        <v>0</v>
      </c>
      <c r="N33" s="539">
        <v>1238</v>
      </c>
      <c r="O33" s="539">
        <v>41266.670000000006</v>
      </c>
      <c r="P33" s="532"/>
      <c r="Q33" s="540">
        <v>33.333336025848148</v>
      </c>
    </row>
    <row r="34" spans="1:17" ht="14.4" customHeight="1" x14ac:dyDescent="0.3">
      <c r="A34" s="526" t="s">
        <v>1003</v>
      </c>
      <c r="B34" s="527" t="s">
        <v>434</v>
      </c>
      <c r="C34" s="527" t="s">
        <v>1022</v>
      </c>
      <c r="D34" s="527" t="s">
        <v>1062</v>
      </c>
      <c r="E34" s="527" t="s">
        <v>1063</v>
      </c>
      <c r="F34" s="539">
        <v>1</v>
      </c>
      <c r="G34" s="539">
        <v>0</v>
      </c>
      <c r="H34" s="527"/>
      <c r="I34" s="527">
        <v>0</v>
      </c>
      <c r="J34" s="539"/>
      <c r="K34" s="539"/>
      <c r="L34" s="527"/>
      <c r="M34" s="527"/>
      <c r="N34" s="539"/>
      <c r="O34" s="539"/>
      <c r="P34" s="532"/>
      <c r="Q34" s="540"/>
    </row>
    <row r="35" spans="1:17" ht="14.4" customHeight="1" x14ac:dyDescent="0.3">
      <c r="A35" s="526" t="s">
        <v>1003</v>
      </c>
      <c r="B35" s="527" t="s">
        <v>434</v>
      </c>
      <c r="C35" s="527" t="s">
        <v>1022</v>
      </c>
      <c r="D35" s="527" t="s">
        <v>1064</v>
      </c>
      <c r="E35" s="527" t="s">
        <v>1065</v>
      </c>
      <c r="F35" s="539">
        <v>73</v>
      </c>
      <c r="G35" s="539">
        <v>7738</v>
      </c>
      <c r="H35" s="527">
        <v>1</v>
      </c>
      <c r="I35" s="527">
        <v>106</v>
      </c>
      <c r="J35" s="539">
        <v>71</v>
      </c>
      <c r="K35" s="539">
        <v>7668</v>
      </c>
      <c r="L35" s="527">
        <v>0.99095373481519777</v>
      </c>
      <c r="M35" s="527">
        <v>108</v>
      </c>
      <c r="N35" s="539">
        <v>50</v>
      </c>
      <c r="O35" s="539">
        <v>5800</v>
      </c>
      <c r="P35" s="532">
        <v>0.74954768674075989</v>
      </c>
      <c r="Q35" s="540">
        <v>116</v>
      </c>
    </row>
    <row r="36" spans="1:17" ht="14.4" customHeight="1" x14ac:dyDescent="0.3">
      <c r="A36" s="526" t="s">
        <v>1003</v>
      </c>
      <c r="B36" s="527" t="s">
        <v>434</v>
      </c>
      <c r="C36" s="527" t="s">
        <v>1022</v>
      </c>
      <c r="D36" s="527" t="s">
        <v>1066</v>
      </c>
      <c r="E36" s="527" t="s">
        <v>1067</v>
      </c>
      <c r="F36" s="539">
        <v>36</v>
      </c>
      <c r="G36" s="539">
        <v>2916</v>
      </c>
      <c r="H36" s="527">
        <v>1</v>
      </c>
      <c r="I36" s="527">
        <v>81</v>
      </c>
      <c r="J36" s="539">
        <v>18</v>
      </c>
      <c r="K36" s="539">
        <v>1476</v>
      </c>
      <c r="L36" s="527">
        <v>0.50617283950617287</v>
      </c>
      <c r="M36" s="527">
        <v>82</v>
      </c>
      <c r="N36" s="539">
        <v>8</v>
      </c>
      <c r="O36" s="539">
        <v>688</v>
      </c>
      <c r="P36" s="532">
        <v>0.23593964334705075</v>
      </c>
      <c r="Q36" s="540">
        <v>86</v>
      </c>
    </row>
    <row r="37" spans="1:17" ht="14.4" customHeight="1" x14ac:dyDescent="0.3">
      <c r="A37" s="526" t="s">
        <v>1003</v>
      </c>
      <c r="B37" s="527" t="s">
        <v>434</v>
      </c>
      <c r="C37" s="527" t="s">
        <v>1022</v>
      </c>
      <c r="D37" s="527" t="s">
        <v>1068</v>
      </c>
      <c r="E37" s="527" t="s">
        <v>1069</v>
      </c>
      <c r="F37" s="539"/>
      <c r="G37" s="539"/>
      <c r="H37" s="527"/>
      <c r="I37" s="527"/>
      <c r="J37" s="539">
        <v>19</v>
      </c>
      <c r="K37" s="539">
        <v>589</v>
      </c>
      <c r="L37" s="527"/>
      <c r="M37" s="527">
        <v>31</v>
      </c>
      <c r="N37" s="539">
        <v>12</v>
      </c>
      <c r="O37" s="539">
        <v>384</v>
      </c>
      <c r="P37" s="532"/>
      <c r="Q37" s="540">
        <v>32</v>
      </c>
    </row>
    <row r="38" spans="1:17" ht="14.4" customHeight="1" x14ac:dyDescent="0.3">
      <c r="A38" s="526" t="s">
        <v>1003</v>
      </c>
      <c r="B38" s="527" t="s">
        <v>434</v>
      </c>
      <c r="C38" s="527" t="s">
        <v>1022</v>
      </c>
      <c r="D38" s="527" t="s">
        <v>1070</v>
      </c>
      <c r="E38" s="527" t="s">
        <v>1071</v>
      </c>
      <c r="F38" s="539">
        <v>2</v>
      </c>
      <c r="G38" s="539">
        <v>0</v>
      </c>
      <c r="H38" s="527"/>
      <c r="I38" s="527">
        <v>0</v>
      </c>
      <c r="J38" s="539">
        <v>4</v>
      </c>
      <c r="K38" s="539">
        <v>0</v>
      </c>
      <c r="L38" s="527"/>
      <c r="M38" s="527">
        <v>0</v>
      </c>
      <c r="N38" s="539"/>
      <c r="O38" s="539"/>
      <c r="P38" s="532"/>
      <c r="Q38" s="540"/>
    </row>
    <row r="39" spans="1:17" ht="14.4" customHeight="1" x14ac:dyDescent="0.3">
      <c r="A39" s="526" t="s">
        <v>1003</v>
      </c>
      <c r="B39" s="527" t="s">
        <v>434</v>
      </c>
      <c r="C39" s="527" t="s">
        <v>1022</v>
      </c>
      <c r="D39" s="527" t="s">
        <v>1072</v>
      </c>
      <c r="E39" s="527" t="s">
        <v>1073</v>
      </c>
      <c r="F39" s="539">
        <v>26</v>
      </c>
      <c r="G39" s="539">
        <v>12610</v>
      </c>
      <c r="H39" s="527">
        <v>1</v>
      </c>
      <c r="I39" s="527">
        <v>485</v>
      </c>
      <c r="J39" s="539">
        <v>18</v>
      </c>
      <c r="K39" s="539">
        <v>8856</v>
      </c>
      <c r="L39" s="527">
        <v>0.70229976209357647</v>
      </c>
      <c r="M39" s="527">
        <v>492</v>
      </c>
      <c r="N39" s="539">
        <v>30</v>
      </c>
      <c r="O39" s="539">
        <v>15150</v>
      </c>
      <c r="P39" s="532">
        <v>1.2014274385408406</v>
      </c>
      <c r="Q39" s="540">
        <v>505</v>
      </c>
    </row>
    <row r="40" spans="1:17" ht="14.4" customHeight="1" x14ac:dyDescent="0.3">
      <c r="A40" s="526" t="s">
        <v>1003</v>
      </c>
      <c r="B40" s="527" t="s">
        <v>434</v>
      </c>
      <c r="C40" s="527" t="s">
        <v>1022</v>
      </c>
      <c r="D40" s="527" t="s">
        <v>1074</v>
      </c>
      <c r="E40" s="527" t="s">
        <v>1075</v>
      </c>
      <c r="F40" s="539">
        <v>1</v>
      </c>
      <c r="G40" s="539">
        <v>69</v>
      </c>
      <c r="H40" s="527">
        <v>1</v>
      </c>
      <c r="I40" s="527">
        <v>69</v>
      </c>
      <c r="J40" s="539">
        <v>2</v>
      </c>
      <c r="K40" s="539">
        <v>140</v>
      </c>
      <c r="L40" s="527">
        <v>2.0289855072463769</v>
      </c>
      <c r="M40" s="527">
        <v>70</v>
      </c>
      <c r="N40" s="539"/>
      <c r="O40" s="539"/>
      <c r="P40" s="532"/>
      <c r="Q40" s="540"/>
    </row>
    <row r="41" spans="1:17" ht="14.4" customHeight="1" x14ac:dyDescent="0.3">
      <c r="A41" s="526" t="s">
        <v>1003</v>
      </c>
      <c r="B41" s="527" t="s">
        <v>434</v>
      </c>
      <c r="C41" s="527" t="s">
        <v>1022</v>
      </c>
      <c r="D41" s="527" t="s">
        <v>1076</v>
      </c>
      <c r="E41" s="527" t="s">
        <v>1047</v>
      </c>
      <c r="F41" s="539"/>
      <c r="G41" s="539"/>
      <c r="H41" s="527"/>
      <c r="I41" s="527"/>
      <c r="J41" s="539">
        <v>1</v>
      </c>
      <c r="K41" s="539">
        <v>675</v>
      </c>
      <c r="L41" s="527"/>
      <c r="M41" s="527">
        <v>675</v>
      </c>
      <c r="N41" s="539"/>
      <c r="O41" s="539"/>
      <c r="P41" s="532"/>
      <c r="Q41" s="540"/>
    </row>
    <row r="42" spans="1:17" ht="14.4" customHeight="1" x14ac:dyDescent="0.3">
      <c r="A42" s="526" t="s">
        <v>1003</v>
      </c>
      <c r="B42" s="527" t="s">
        <v>434</v>
      </c>
      <c r="C42" s="527" t="s">
        <v>1022</v>
      </c>
      <c r="D42" s="527" t="s">
        <v>1077</v>
      </c>
      <c r="E42" s="527" t="s">
        <v>1078</v>
      </c>
      <c r="F42" s="539">
        <v>1</v>
      </c>
      <c r="G42" s="539">
        <v>86</v>
      </c>
      <c r="H42" s="527">
        <v>1</v>
      </c>
      <c r="I42" s="527">
        <v>86</v>
      </c>
      <c r="J42" s="539"/>
      <c r="K42" s="539"/>
      <c r="L42" s="527"/>
      <c r="M42" s="527"/>
      <c r="N42" s="539">
        <v>1</v>
      </c>
      <c r="O42" s="539">
        <v>162</v>
      </c>
      <c r="P42" s="532">
        <v>1.8837209302325582</v>
      </c>
      <c r="Q42" s="540">
        <v>162</v>
      </c>
    </row>
    <row r="43" spans="1:17" ht="14.4" customHeight="1" x14ac:dyDescent="0.3">
      <c r="A43" s="526" t="s">
        <v>1003</v>
      </c>
      <c r="B43" s="527" t="s">
        <v>434</v>
      </c>
      <c r="C43" s="527" t="s">
        <v>1022</v>
      </c>
      <c r="D43" s="527" t="s">
        <v>1079</v>
      </c>
      <c r="E43" s="527" t="s">
        <v>1080</v>
      </c>
      <c r="F43" s="539"/>
      <c r="G43" s="539"/>
      <c r="H43" s="527"/>
      <c r="I43" s="527"/>
      <c r="J43" s="539">
        <v>1</v>
      </c>
      <c r="K43" s="539">
        <v>436</v>
      </c>
      <c r="L43" s="527"/>
      <c r="M43" s="527">
        <v>436</v>
      </c>
      <c r="N43" s="539"/>
      <c r="O43" s="539"/>
      <c r="P43" s="532"/>
      <c r="Q43" s="540"/>
    </row>
    <row r="44" spans="1:17" ht="14.4" customHeight="1" x14ac:dyDescent="0.3">
      <c r="A44" s="526" t="s">
        <v>1003</v>
      </c>
      <c r="B44" s="527" t="s">
        <v>434</v>
      </c>
      <c r="C44" s="527" t="s">
        <v>1022</v>
      </c>
      <c r="D44" s="527" t="s">
        <v>1081</v>
      </c>
      <c r="E44" s="527" t="s">
        <v>1082</v>
      </c>
      <c r="F44" s="539">
        <v>2</v>
      </c>
      <c r="G44" s="539">
        <v>2086</v>
      </c>
      <c r="H44" s="527">
        <v>1</v>
      </c>
      <c r="I44" s="527">
        <v>1043</v>
      </c>
      <c r="J44" s="539">
        <v>1</v>
      </c>
      <c r="K44" s="539">
        <v>1050</v>
      </c>
      <c r="L44" s="527">
        <v>0.50335570469798663</v>
      </c>
      <c r="M44" s="527">
        <v>1050</v>
      </c>
      <c r="N44" s="539"/>
      <c r="O44" s="539"/>
      <c r="P44" s="532"/>
      <c r="Q44" s="540"/>
    </row>
    <row r="45" spans="1:17" ht="14.4" customHeight="1" x14ac:dyDescent="0.3">
      <c r="A45" s="526" t="s">
        <v>1003</v>
      </c>
      <c r="B45" s="527" t="s">
        <v>434</v>
      </c>
      <c r="C45" s="527" t="s">
        <v>1022</v>
      </c>
      <c r="D45" s="527" t="s">
        <v>1083</v>
      </c>
      <c r="E45" s="527" t="s">
        <v>1084</v>
      </c>
      <c r="F45" s="539">
        <v>2</v>
      </c>
      <c r="G45" s="539">
        <v>236</v>
      </c>
      <c r="H45" s="527">
        <v>1</v>
      </c>
      <c r="I45" s="527">
        <v>118</v>
      </c>
      <c r="J45" s="539"/>
      <c r="K45" s="539"/>
      <c r="L45" s="527"/>
      <c r="M45" s="527"/>
      <c r="N45" s="539"/>
      <c r="O45" s="539"/>
      <c r="P45" s="532"/>
      <c r="Q45" s="540"/>
    </row>
    <row r="46" spans="1:17" ht="14.4" customHeight="1" x14ac:dyDescent="0.3">
      <c r="A46" s="526" t="s">
        <v>1003</v>
      </c>
      <c r="B46" s="527" t="s">
        <v>434</v>
      </c>
      <c r="C46" s="527" t="s">
        <v>1022</v>
      </c>
      <c r="D46" s="527" t="s">
        <v>1085</v>
      </c>
      <c r="E46" s="527" t="s">
        <v>1086</v>
      </c>
      <c r="F46" s="539"/>
      <c r="G46" s="539"/>
      <c r="H46" s="527"/>
      <c r="I46" s="527"/>
      <c r="J46" s="539">
        <v>1</v>
      </c>
      <c r="K46" s="539">
        <v>57</v>
      </c>
      <c r="L46" s="527"/>
      <c r="M46" s="527">
        <v>57</v>
      </c>
      <c r="N46" s="539"/>
      <c r="O46" s="539"/>
      <c r="P46" s="532"/>
      <c r="Q46" s="540"/>
    </row>
    <row r="47" spans="1:17" ht="14.4" customHeight="1" x14ac:dyDescent="0.3">
      <c r="A47" s="526" t="s">
        <v>1003</v>
      </c>
      <c r="B47" s="527" t="s">
        <v>434</v>
      </c>
      <c r="C47" s="527" t="s">
        <v>1022</v>
      </c>
      <c r="D47" s="527" t="s">
        <v>1087</v>
      </c>
      <c r="E47" s="527" t="s">
        <v>1088</v>
      </c>
      <c r="F47" s="539">
        <v>8</v>
      </c>
      <c r="G47" s="539">
        <v>704</v>
      </c>
      <c r="H47" s="527">
        <v>1</v>
      </c>
      <c r="I47" s="527">
        <v>88</v>
      </c>
      <c r="J47" s="539"/>
      <c r="K47" s="539"/>
      <c r="L47" s="527"/>
      <c r="M47" s="527"/>
      <c r="N47" s="539">
        <v>1</v>
      </c>
      <c r="O47" s="539">
        <v>91</v>
      </c>
      <c r="P47" s="532">
        <v>0.12926136363636365</v>
      </c>
      <c r="Q47" s="540">
        <v>91</v>
      </c>
    </row>
    <row r="48" spans="1:17" ht="14.4" customHeight="1" x14ac:dyDescent="0.3">
      <c r="A48" s="526" t="s">
        <v>1003</v>
      </c>
      <c r="B48" s="527" t="s">
        <v>434</v>
      </c>
      <c r="C48" s="527" t="s">
        <v>1022</v>
      </c>
      <c r="D48" s="527" t="s">
        <v>1089</v>
      </c>
      <c r="E48" s="527" t="s">
        <v>1090</v>
      </c>
      <c r="F48" s="539">
        <v>2</v>
      </c>
      <c r="G48" s="539">
        <v>354</v>
      </c>
      <c r="H48" s="527">
        <v>1</v>
      </c>
      <c r="I48" s="527">
        <v>177</v>
      </c>
      <c r="J48" s="539">
        <v>2</v>
      </c>
      <c r="K48" s="539">
        <v>358</v>
      </c>
      <c r="L48" s="527">
        <v>1.0112994350282485</v>
      </c>
      <c r="M48" s="527">
        <v>179</v>
      </c>
      <c r="N48" s="539">
        <v>6</v>
      </c>
      <c r="O48" s="539">
        <v>1098</v>
      </c>
      <c r="P48" s="532">
        <v>3.1016949152542375</v>
      </c>
      <c r="Q48" s="540">
        <v>183</v>
      </c>
    </row>
    <row r="49" spans="1:17" ht="14.4" customHeight="1" x14ac:dyDescent="0.3">
      <c r="A49" s="526" t="s">
        <v>1003</v>
      </c>
      <c r="B49" s="527" t="s">
        <v>434</v>
      </c>
      <c r="C49" s="527" t="s">
        <v>1022</v>
      </c>
      <c r="D49" s="527" t="s">
        <v>1091</v>
      </c>
      <c r="E49" s="527" t="s">
        <v>1092</v>
      </c>
      <c r="F49" s="539"/>
      <c r="G49" s="539"/>
      <c r="H49" s="527"/>
      <c r="I49" s="527"/>
      <c r="J49" s="539"/>
      <c r="K49" s="539"/>
      <c r="L49" s="527"/>
      <c r="M49" s="527"/>
      <c r="N49" s="539">
        <v>2</v>
      </c>
      <c r="O49" s="539">
        <v>1296</v>
      </c>
      <c r="P49" s="532"/>
      <c r="Q49" s="540">
        <v>648</v>
      </c>
    </row>
    <row r="50" spans="1:17" ht="14.4" customHeight="1" x14ac:dyDescent="0.3">
      <c r="A50" s="526" t="s">
        <v>1003</v>
      </c>
      <c r="B50" s="527" t="s">
        <v>434</v>
      </c>
      <c r="C50" s="527" t="s">
        <v>1022</v>
      </c>
      <c r="D50" s="527" t="s">
        <v>1093</v>
      </c>
      <c r="E50" s="527" t="s">
        <v>1094</v>
      </c>
      <c r="F50" s="539">
        <v>2</v>
      </c>
      <c r="G50" s="539">
        <v>238</v>
      </c>
      <c r="H50" s="527">
        <v>1</v>
      </c>
      <c r="I50" s="527">
        <v>119</v>
      </c>
      <c r="J50" s="539">
        <v>17</v>
      </c>
      <c r="K50" s="539">
        <v>2057</v>
      </c>
      <c r="L50" s="527">
        <v>8.6428571428571423</v>
      </c>
      <c r="M50" s="527">
        <v>121</v>
      </c>
      <c r="N50" s="539">
        <v>17</v>
      </c>
      <c r="O50" s="539">
        <v>2091</v>
      </c>
      <c r="P50" s="532">
        <v>8.7857142857142865</v>
      </c>
      <c r="Q50" s="540">
        <v>123</v>
      </c>
    </row>
    <row r="51" spans="1:17" ht="14.4" customHeight="1" x14ac:dyDescent="0.3">
      <c r="A51" s="526" t="s">
        <v>1003</v>
      </c>
      <c r="B51" s="527" t="s">
        <v>434</v>
      </c>
      <c r="C51" s="527" t="s">
        <v>1022</v>
      </c>
      <c r="D51" s="527" t="s">
        <v>1095</v>
      </c>
      <c r="E51" s="527" t="s">
        <v>1096</v>
      </c>
      <c r="F51" s="539">
        <v>1</v>
      </c>
      <c r="G51" s="539">
        <v>351</v>
      </c>
      <c r="H51" s="527">
        <v>1</v>
      </c>
      <c r="I51" s="527">
        <v>351</v>
      </c>
      <c r="J51" s="539">
        <v>10</v>
      </c>
      <c r="K51" s="539">
        <v>3560</v>
      </c>
      <c r="L51" s="527">
        <v>10.142450142450143</v>
      </c>
      <c r="M51" s="527">
        <v>356</v>
      </c>
      <c r="N51" s="539">
        <v>5</v>
      </c>
      <c r="O51" s="539">
        <v>1820</v>
      </c>
      <c r="P51" s="532">
        <v>5.1851851851851851</v>
      </c>
      <c r="Q51" s="540">
        <v>364</v>
      </c>
    </row>
    <row r="52" spans="1:17" ht="14.4" customHeight="1" x14ac:dyDescent="0.3">
      <c r="A52" s="526" t="s">
        <v>1003</v>
      </c>
      <c r="B52" s="527" t="s">
        <v>434</v>
      </c>
      <c r="C52" s="527" t="s">
        <v>1022</v>
      </c>
      <c r="D52" s="527" t="s">
        <v>1097</v>
      </c>
      <c r="E52" s="527" t="s">
        <v>1098</v>
      </c>
      <c r="F52" s="539">
        <v>22</v>
      </c>
      <c r="G52" s="539">
        <v>4400</v>
      </c>
      <c r="H52" s="527">
        <v>1</v>
      </c>
      <c r="I52" s="527">
        <v>200</v>
      </c>
      <c r="J52" s="539">
        <v>17</v>
      </c>
      <c r="K52" s="539">
        <v>3434</v>
      </c>
      <c r="L52" s="527">
        <v>0.7804545454545454</v>
      </c>
      <c r="M52" s="527">
        <v>202</v>
      </c>
      <c r="N52" s="539">
        <v>15</v>
      </c>
      <c r="O52" s="539">
        <v>3120</v>
      </c>
      <c r="P52" s="532">
        <v>0.70909090909090911</v>
      </c>
      <c r="Q52" s="540">
        <v>208</v>
      </c>
    </row>
    <row r="53" spans="1:17" ht="14.4" customHeight="1" x14ac:dyDescent="0.3">
      <c r="A53" s="526" t="s">
        <v>1003</v>
      </c>
      <c r="B53" s="527" t="s">
        <v>434</v>
      </c>
      <c r="C53" s="527" t="s">
        <v>1022</v>
      </c>
      <c r="D53" s="527" t="s">
        <v>1099</v>
      </c>
      <c r="E53" s="527" t="s">
        <v>1100</v>
      </c>
      <c r="F53" s="539">
        <v>2</v>
      </c>
      <c r="G53" s="539">
        <v>482</v>
      </c>
      <c r="H53" s="527">
        <v>1</v>
      </c>
      <c r="I53" s="527">
        <v>241</v>
      </c>
      <c r="J53" s="539"/>
      <c r="K53" s="539"/>
      <c r="L53" s="527"/>
      <c r="M53" s="527"/>
      <c r="N53" s="539"/>
      <c r="O53" s="539"/>
      <c r="P53" s="532"/>
      <c r="Q53" s="540"/>
    </row>
    <row r="54" spans="1:17" ht="14.4" customHeight="1" x14ac:dyDescent="0.3">
      <c r="A54" s="526" t="s">
        <v>1003</v>
      </c>
      <c r="B54" s="527" t="s">
        <v>434</v>
      </c>
      <c r="C54" s="527" t="s">
        <v>1022</v>
      </c>
      <c r="D54" s="527" t="s">
        <v>1101</v>
      </c>
      <c r="E54" s="527" t="s">
        <v>1102</v>
      </c>
      <c r="F54" s="539">
        <v>1</v>
      </c>
      <c r="G54" s="539">
        <v>851</v>
      </c>
      <c r="H54" s="527">
        <v>1</v>
      </c>
      <c r="I54" s="527">
        <v>851</v>
      </c>
      <c r="J54" s="539"/>
      <c r="K54" s="539"/>
      <c r="L54" s="527"/>
      <c r="M54" s="527"/>
      <c r="N54" s="539"/>
      <c r="O54" s="539"/>
      <c r="P54" s="532"/>
      <c r="Q54" s="540"/>
    </row>
    <row r="55" spans="1:17" ht="14.4" customHeight="1" x14ac:dyDescent="0.3">
      <c r="A55" s="526" t="s">
        <v>1003</v>
      </c>
      <c r="B55" s="527" t="s">
        <v>434</v>
      </c>
      <c r="C55" s="527" t="s">
        <v>1022</v>
      </c>
      <c r="D55" s="527" t="s">
        <v>1103</v>
      </c>
      <c r="E55" s="527" t="s">
        <v>1104</v>
      </c>
      <c r="F55" s="539">
        <v>4</v>
      </c>
      <c r="G55" s="539">
        <v>1244</v>
      </c>
      <c r="H55" s="527">
        <v>1</v>
      </c>
      <c r="I55" s="527">
        <v>311</v>
      </c>
      <c r="J55" s="539"/>
      <c r="K55" s="539"/>
      <c r="L55" s="527"/>
      <c r="M55" s="527"/>
      <c r="N55" s="539"/>
      <c r="O55" s="539"/>
      <c r="P55" s="532"/>
      <c r="Q55" s="540"/>
    </row>
    <row r="56" spans="1:17" ht="14.4" customHeight="1" x14ac:dyDescent="0.3">
      <c r="A56" s="526" t="s">
        <v>1003</v>
      </c>
      <c r="B56" s="527" t="s">
        <v>434</v>
      </c>
      <c r="C56" s="527" t="s">
        <v>1022</v>
      </c>
      <c r="D56" s="527" t="s">
        <v>1105</v>
      </c>
      <c r="E56" s="527" t="s">
        <v>1106</v>
      </c>
      <c r="F56" s="539">
        <v>2</v>
      </c>
      <c r="G56" s="539">
        <v>1616</v>
      </c>
      <c r="H56" s="527">
        <v>1</v>
      </c>
      <c r="I56" s="527">
        <v>808</v>
      </c>
      <c r="J56" s="539"/>
      <c r="K56" s="539"/>
      <c r="L56" s="527"/>
      <c r="M56" s="527"/>
      <c r="N56" s="539"/>
      <c r="O56" s="539"/>
      <c r="P56" s="532"/>
      <c r="Q56" s="540"/>
    </row>
    <row r="57" spans="1:17" ht="14.4" customHeight="1" x14ac:dyDescent="0.3">
      <c r="A57" s="526" t="s">
        <v>1003</v>
      </c>
      <c r="B57" s="527" t="s">
        <v>434</v>
      </c>
      <c r="C57" s="527" t="s">
        <v>1022</v>
      </c>
      <c r="D57" s="527" t="s">
        <v>1107</v>
      </c>
      <c r="E57" s="527" t="s">
        <v>1108</v>
      </c>
      <c r="F57" s="539">
        <v>6</v>
      </c>
      <c r="G57" s="539">
        <v>5124</v>
      </c>
      <c r="H57" s="527">
        <v>1</v>
      </c>
      <c r="I57" s="527">
        <v>854</v>
      </c>
      <c r="J57" s="539">
        <v>11</v>
      </c>
      <c r="K57" s="539">
        <v>9482</v>
      </c>
      <c r="L57" s="527">
        <v>1.8505074160811865</v>
      </c>
      <c r="M57" s="527">
        <v>862</v>
      </c>
      <c r="N57" s="539">
        <v>4</v>
      </c>
      <c r="O57" s="539">
        <v>3508</v>
      </c>
      <c r="P57" s="532">
        <v>0.68462138953942231</v>
      </c>
      <c r="Q57" s="540">
        <v>877</v>
      </c>
    </row>
    <row r="58" spans="1:17" ht="14.4" customHeight="1" x14ac:dyDescent="0.3">
      <c r="A58" s="526" t="s">
        <v>1003</v>
      </c>
      <c r="B58" s="527" t="s">
        <v>434</v>
      </c>
      <c r="C58" s="527" t="s">
        <v>1022</v>
      </c>
      <c r="D58" s="527" t="s">
        <v>1109</v>
      </c>
      <c r="E58" s="527" t="s">
        <v>1110</v>
      </c>
      <c r="F58" s="539">
        <v>2</v>
      </c>
      <c r="G58" s="539">
        <v>128</v>
      </c>
      <c r="H58" s="527">
        <v>1</v>
      </c>
      <c r="I58" s="527">
        <v>64</v>
      </c>
      <c r="J58" s="539">
        <v>3</v>
      </c>
      <c r="K58" s="539">
        <v>195</v>
      </c>
      <c r="L58" s="527">
        <v>1.5234375</v>
      </c>
      <c r="M58" s="527">
        <v>65</v>
      </c>
      <c r="N58" s="539">
        <v>4</v>
      </c>
      <c r="O58" s="539">
        <v>268</v>
      </c>
      <c r="P58" s="532">
        <v>2.09375</v>
      </c>
      <c r="Q58" s="540">
        <v>67</v>
      </c>
    </row>
    <row r="59" spans="1:17" ht="14.4" customHeight="1" x14ac:dyDescent="0.3">
      <c r="A59" s="526" t="s">
        <v>1003</v>
      </c>
      <c r="B59" s="527" t="s">
        <v>434</v>
      </c>
      <c r="C59" s="527" t="s">
        <v>1022</v>
      </c>
      <c r="D59" s="527" t="s">
        <v>1111</v>
      </c>
      <c r="E59" s="527" t="s">
        <v>1112</v>
      </c>
      <c r="F59" s="539"/>
      <c r="G59" s="539"/>
      <c r="H59" s="527"/>
      <c r="I59" s="527"/>
      <c r="J59" s="539">
        <v>2</v>
      </c>
      <c r="K59" s="539">
        <v>2054</v>
      </c>
      <c r="L59" s="527"/>
      <c r="M59" s="527">
        <v>1027</v>
      </c>
      <c r="N59" s="539"/>
      <c r="O59" s="539"/>
      <c r="P59" s="532"/>
      <c r="Q59" s="540"/>
    </row>
    <row r="60" spans="1:17" ht="14.4" customHeight="1" x14ac:dyDescent="0.3">
      <c r="A60" s="526" t="s">
        <v>1003</v>
      </c>
      <c r="B60" s="527" t="s">
        <v>434</v>
      </c>
      <c r="C60" s="527" t="s">
        <v>1022</v>
      </c>
      <c r="D60" s="527" t="s">
        <v>1113</v>
      </c>
      <c r="E60" s="527" t="s">
        <v>1114</v>
      </c>
      <c r="F60" s="539"/>
      <c r="G60" s="539"/>
      <c r="H60" s="527"/>
      <c r="I60" s="527"/>
      <c r="J60" s="539">
        <v>1</v>
      </c>
      <c r="K60" s="539">
        <v>107</v>
      </c>
      <c r="L60" s="527"/>
      <c r="M60" s="527">
        <v>107</v>
      </c>
      <c r="N60" s="539">
        <v>3</v>
      </c>
      <c r="O60" s="539">
        <v>333</v>
      </c>
      <c r="P60" s="532"/>
      <c r="Q60" s="540">
        <v>111</v>
      </c>
    </row>
    <row r="61" spans="1:17" ht="14.4" customHeight="1" x14ac:dyDescent="0.3">
      <c r="A61" s="526" t="s">
        <v>1003</v>
      </c>
      <c r="B61" s="527" t="s">
        <v>439</v>
      </c>
      <c r="C61" s="527" t="s">
        <v>1004</v>
      </c>
      <c r="D61" s="527" t="s">
        <v>1005</v>
      </c>
      <c r="E61" s="527" t="s">
        <v>1006</v>
      </c>
      <c r="F61" s="539">
        <v>4.8000000000000007</v>
      </c>
      <c r="G61" s="539">
        <v>541.43999999999994</v>
      </c>
      <c r="H61" s="527">
        <v>1</v>
      </c>
      <c r="I61" s="527">
        <v>112.79999999999997</v>
      </c>
      <c r="J61" s="539">
        <v>11.6</v>
      </c>
      <c r="K61" s="539">
        <v>1346.76</v>
      </c>
      <c r="L61" s="527">
        <v>2.4873670212765959</v>
      </c>
      <c r="M61" s="527">
        <v>116.10000000000001</v>
      </c>
      <c r="N61" s="539">
        <v>0.2</v>
      </c>
      <c r="O61" s="539">
        <v>23.22</v>
      </c>
      <c r="P61" s="532">
        <v>4.2885638297872342E-2</v>
      </c>
      <c r="Q61" s="540">
        <v>116.1</v>
      </c>
    </row>
    <row r="62" spans="1:17" ht="14.4" customHeight="1" x14ac:dyDescent="0.3">
      <c r="A62" s="526" t="s">
        <v>1003</v>
      </c>
      <c r="B62" s="527" t="s">
        <v>439</v>
      </c>
      <c r="C62" s="527" t="s">
        <v>1004</v>
      </c>
      <c r="D62" s="527" t="s">
        <v>1007</v>
      </c>
      <c r="E62" s="527" t="s">
        <v>1008</v>
      </c>
      <c r="F62" s="539">
        <v>24.3</v>
      </c>
      <c r="G62" s="539">
        <v>3837.1799999999994</v>
      </c>
      <c r="H62" s="527">
        <v>1</v>
      </c>
      <c r="I62" s="527">
        <v>157.90864197530863</v>
      </c>
      <c r="J62" s="539">
        <v>27.209999999999994</v>
      </c>
      <c r="K62" s="539">
        <v>4109.5300000000007</v>
      </c>
      <c r="L62" s="527">
        <v>1.0709766026092082</v>
      </c>
      <c r="M62" s="527">
        <v>151.03013597941938</v>
      </c>
      <c r="N62" s="539">
        <v>23.600000000000005</v>
      </c>
      <c r="O62" s="539">
        <v>3564.1300000000006</v>
      </c>
      <c r="P62" s="532">
        <v>0.92884097175529978</v>
      </c>
      <c r="Q62" s="540">
        <v>151.02245762711863</v>
      </c>
    </row>
    <row r="63" spans="1:17" ht="14.4" customHeight="1" x14ac:dyDescent="0.3">
      <c r="A63" s="526" t="s">
        <v>1003</v>
      </c>
      <c r="B63" s="527" t="s">
        <v>439</v>
      </c>
      <c r="C63" s="527" t="s">
        <v>1004</v>
      </c>
      <c r="D63" s="527" t="s">
        <v>1009</v>
      </c>
      <c r="E63" s="527" t="s">
        <v>1010</v>
      </c>
      <c r="F63" s="539">
        <v>3.8000000000000012</v>
      </c>
      <c r="G63" s="539">
        <v>1007.3799999999999</v>
      </c>
      <c r="H63" s="527">
        <v>1</v>
      </c>
      <c r="I63" s="527">
        <v>265.09999999999991</v>
      </c>
      <c r="J63" s="539">
        <v>5.8</v>
      </c>
      <c r="K63" s="539">
        <v>1470.5900000000001</v>
      </c>
      <c r="L63" s="527">
        <v>1.4598165538327148</v>
      </c>
      <c r="M63" s="527">
        <v>253.55000000000004</v>
      </c>
      <c r="N63" s="539">
        <v>8.8000000000000025</v>
      </c>
      <c r="O63" s="539">
        <v>2231.2400000000002</v>
      </c>
      <c r="P63" s="532">
        <v>2.2148940816772225</v>
      </c>
      <c r="Q63" s="540">
        <v>253.54999999999995</v>
      </c>
    </row>
    <row r="64" spans="1:17" ht="14.4" customHeight="1" x14ac:dyDescent="0.3">
      <c r="A64" s="526" t="s">
        <v>1003</v>
      </c>
      <c r="B64" s="527" t="s">
        <v>439</v>
      </c>
      <c r="C64" s="527" t="s">
        <v>1004</v>
      </c>
      <c r="D64" s="527" t="s">
        <v>1115</v>
      </c>
      <c r="E64" s="527" t="s">
        <v>1116</v>
      </c>
      <c r="F64" s="539">
        <v>0.1</v>
      </c>
      <c r="G64" s="539">
        <v>40.42</v>
      </c>
      <c r="H64" s="527">
        <v>1</v>
      </c>
      <c r="I64" s="527">
        <v>404.2</v>
      </c>
      <c r="J64" s="539"/>
      <c r="K64" s="539"/>
      <c r="L64" s="527"/>
      <c r="M64" s="527"/>
      <c r="N64" s="539"/>
      <c r="O64" s="539"/>
      <c r="P64" s="532"/>
      <c r="Q64" s="540"/>
    </row>
    <row r="65" spans="1:17" ht="14.4" customHeight="1" x14ac:dyDescent="0.3">
      <c r="A65" s="526" t="s">
        <v>1003</v>
      </c>
      <c r="B65" s="527" t="s">
        <v>439</v>
      </c>
      <c r="C65" s="527" t="s">
        <v>1004</v>
      </c>
      <c r="D65" s="527" t="s">
        <v>1013</v>
      </c>
      <c r="E65" s="527" t="s">
        <v>1014</v>
      </c>
      <c r="F65" s="539">
        <v>0.30000000000000004</v>
      </c>
      <c r="G65" s="539">
        <v>30.240000000000002</v>
      </c>
      <c r="H65" s="527">
        <v>1</v>
      </c>
      <c r="I65" s="527">
        <v>100.8</v>
      </c>
      <c r="J65" s="539">
        <v>0.30000000000000004</v>
      </c>
      <c r="K65" s="539">
        <v>40.650000000000006</v>
      </c>
      <c r="L65" s="527">
        <v>1.3442460317460319</v>
      </c>
      <c r="M65" s="527">
        <v>135.5</v>
      </c>
      <c r="N65" s="539"/>
      <c r="O65" s="539"/>
      <c r="P65" s="532"/>
      <c r="Q65" s="540"/>
    </row>
    <row r="66" spans="1:17" ht="14.4" customHeight="1" x14ac:dyDescent="0.3">
      <c r="A66" s="526" t="s">
        <v>1003</v>
      </c>
      <c r="B66" s="527" t="s">
        <v>439</v>
      </c>
      <c r="C66" s="527" t="s">
        <v>1004</v>
      </c>
      <c r="D66" s="527" t="s">
        <v>1117</v>
      </c>
      <c r="E66" s="527" t="s">
        <v>449</v>
      </c>
      <c r="F66" s="539"/>
      <c r="G66" s="539"/>
      <c r="H66" s="527"/>
      <c r="I66" s="527"/>
      <c r="J66" s="539">
        <v>0.2</v>
      </c>
      <c r="K66" s="539">
        <v>6.76</v>
      </c>
      <c r="L66" s="527"/>
      <c r="M66" s="527">
        <v>33.799999999999997</v>
      </c>
      <c r="N66" s="539"/>
      <c r="O66" s="539"/>
      <c r="P66" s="532"/>
      <c r="Q66" s="540"/>
    </row>
    <row r="67" spans="1:17" ht="14.4" customHeight="1" x14ac:dyDescent="0.3">
      <c r="A67" s="526" t="s">
        <v>1003</v>
      </c>
      <c r="B67" s="527" t="s">
        <v>439</v>
      </c>
      <c r="C67" s="527" t="s">
        <v>1022</v>
      </c>
      <c r="D67" s="527" t="s">
        <v>1118</v>
      </c>
      <c r="E67" s="527" t="s">
        <v>1119</v>
      </c>
      <c r="F67" s="539">
        <v>3</v>
      </c>
      <c r="G67" s="539">
        <v>384</v>
      </c>
      <c r="H67" s="527">
        <v>1</v>
      </c>
      <c r="I67" s="527">
        <v>128</v>
      </c>
      <c r="J67" s="539"/>
      <c r="K67" s="539"/>
      <c r="L67" s="527"/>
      <c r="M67" s="527"/>
      <c r="N67" s="539"/>
      <c r="O67" s="539"/>
      <c r="P67" s="532"/>
      <c r="Q67" s="540"/>
    </row>
    <row r="68" spans="1:17" ht="14.4" customHeight="1" x14ac:dyDescent="0.3">
      <c r="A68" s="526" t="s">
        <v>1003</v>
      </c>
      <c r="B68" s="527" t="s">
        <v>439</v>
      </c>
      <c r="C68" s="527" t="s">
        <v>1022</v>
      </c>
      <c r="D68" s="527" t="s">
        <v>1023</v>
      </c>
      <c r="E68" s="527" t="s">
        <v>1024</v>
      </c>
      <c r="F68" s="539"/>
      <c r="G68" s="539"/>
      <c r="H68" s="527"/>
      <c r="I68" s="527"/>
      <c r="J68" s="539">
        <v>1</v>
      </c>
      <c r="K68" s="539">
        <v>74</v>
      </c>
      <c r="L68" s="527"/>
      <c r="M68" s="527">
        <v>74</v>
      </c>
      <c r="N68" s="539"/>
      <c r="O68" s="539"/>
      <c r="P68" s="532"/>
      <c r="Q68" s="540"/>
    </row>
    <row r="69" spans="1:17" ht="14.4" customHeight="1" x14ac:dyDescent="0.3">
      <c r="A69" s="526" t="s">
        <v>1003</v>
      </c>
      <c r="B69" s="527" t="s">
        <v>439</v>
      </c>
      <c r="C69" s="527" t="s">
        <v>1022</v>
      </c>
      <c r="D69" s="527" t="s">
        <v>1027</v>
      </c>
      <c r="E69" s="527" t="s">
        <v>1028</v>
      </c>
      <c r="F69" s="539"/>
      <c r="G69" s="539"/>
      <c r="H69" s="527"/>
      <c r="I69" s="527"/>
      <c r="J69" s="539">
        <v>1</v>
      </c>
      <c r="K69" s="539">
        <v>81</v>
      </c>
      <c r="L69" s="527"/>
      <c r="M69" s="527">
        <v>81</v>
      </c>
      <c r="N69" s="539">
        <v>2</v>
      </c>
      <c r="O69" s="539">
        <v>166</v>
      </c>
      <c r="P69" s="532"/>
      <c r="Q69" s="540">
        <v>83</v>
      </c>
    </row>
    <row r="70" spans="1:17" ht="14.4" customHeight="1" x14ac:dyDescent="0.3">
      <c r="A70" s="526" t="s">
        <v>1003</v>
      </c>
      <c r="B70" s="527" t="s">
        <v>439</v>
      </c>
      <c r="C70" s="527" t="s">
        <v>1022</v>
      </c>
      <c r="D70" s="527" t="s">
        <v>1029</v>
      </c>
      <c r="E70" s="527" t="s">
        <v>1030</v>
      </c>
      <c r="F70" s="539">
        <v>2</v>
      </c>
      <c r="G70" s="539">
        <v>206</v>
      </c>
      <c r="H70" s="527">
        <v>1</v>
      </c>
      <c r="I70" s="527">
        <v>103</v>
      </c>
      <c r="J70" s="539">
        <v>2</v>
      </c>
      <c r="K70" s="539">
        <v>208</v>
      </c>
      <c r="L70" s="527">
        <v>1.0097087378640777</v>
      </c>
      <c r="M70" s="527">
        <v>104</v>
      </c>
      <c r="N70" s="539">
        <v>1</v>
      </c>
      <c r="O70" s="539">
        <v>106</v>
      </c>
      <c r="P70" s="532">
        <v>0.5145631067961165</v>
      </c>
      <c r="Q70" s="540">
        <v>106</v>
      </c>
    </row>
    <row r="71" spans="1:17" ht="14.4" customHeight="1" x14ac:dyDescent="0.3">
      <c r="A71" s="526" t="s">
        <v>1003</v>
      </c>
      <c r="B71" s="527" t="s">
        <v>439</v>
      </c>
      <c r="C71" s="527" t="s">
        <v>1022</v>
      </c>
      <c r="D71" s="527" t="s">
        <v>1031</v>
      </c>
      <c r="E71" s="527" t="s">
        <v>1032</v>
      </c>
      <c r="F71" s="539">
        <v>37</v>
      </c>
      <c r="G71" s="539">
        <v>1258</v>
      </c>
      <c r="H71" s="527">
        <v>1</v>
      </c>
      <c r="I71" s="527">
        <v>34</v>
      </c>
      <c r="J71" s="539">
        <v>34</v>
      </c>
      <c r="K71" s="539">
        <v>1190</v>
      </c>
      <c r="L71" s="527">
        <v>0.94594594594594594</v>
      </c>
      <c r="M71" s="527">
        <v>35</v>
      </c>
      <c r="N71" s="539">
        <v>25</v>
      </c>
      <c r="O71" s="539">
        <v>925</v>
      </c>
      <c r="P71" s="532">
        <v>0.73529411764705888</v>
      </c>
      <c r="Q71" s="540">
        <v>37</v>
      </c>
    </row>
    <row r="72" spans="1:17" ht="14.4" customHeight="1" x14ac:dyDescent="0.3">
      <c r="A72" s="526" t="s">
        <v>1003</v>
      </c>
      <c r="B72" s="527" t="s">
        <v>439</v>
      </c>
      <c r="C72" s="527" t="s">
        <v>1022</v>
      </c>
      <c r="D72" s="527" t="s">
        <v>1033</v>
      </c>
      <c r="E72" s="527" t="s">
        <v>1034</v>
      </c>
      <c r="F72" s="539"/>
      <c r="G72" s="539"/>
      <c r="H72" s="527"/>
      <c r="I72" s="527"/>
      <c r="J72" s="539"/>
      <c r="K72" s="539"/>
      <c r="L72" s="527"/>
      <c r="M72" s="527"/>
      <c r="N72" s="539">
        <v>1</v>
      </c>
      <c r="O72" s="539">
        <v>5</v>
      </c>
      <c r="P72" s="532"/>
      <c r="Q72" s="540">
        <v>5</v>
      </c>
    </row>
    <row r="73" spans="1:17" ht="14.4" customHeight="1" x14ac:dyDescent="0.3">
      <c r="A73" s="526" t="s">
        <v>1003</v>
      </c>
      <c r="B73" s="527" t="s">
        <v>439</v>
      </c>
      <c r="C73" s="527" t="s">
        <v>1022</v>
      </c>
      <c r="D73" s="527" t="s">
        <v>1037</v>
      </c>
      <c r="E73" s="527" t="s">
        <v>1038</v>
      </c>
      <c r="F73" s="539">
        <v>8</v>
      </c>
      <c r="G73" s="539">
        <v>5104</v>
      </c>
      <c r="H73" s="527">
        <v>1</v>
      </c>
      <c r="I73" s="527">
        <v>638</v>
      </c>
      <c r="J73" s="539">
        <v>10</v>
      </c>
      <c r="K73" s="539">
        <v>6420</v>
      </c>
      <c r="L73" s="527">
        <v>1.2578369905956113</v>
      </c>
      <c r="M73" s="527">
        <v>642</v>
      </c>
      <c r="N73" s="539">
        <v>10</v>
      </c>
      <c r="O73" s="539">
        <v>6650</v>
      </c>
      <c r="P73" s="532">
        <v>1.3028996865203761</v>
      </c>
      <c r="Q73" s="540">
        <v>665</v>
      </c>
    </row>
    <row r="74" spans="1:17" ht="14.4" customHeight="1" x14ac:dyDescent="0.3">
      <c r="A74" s="526" t="s">
        <v>1003</v>
      </c>
      <c r="B74" s="527" t="s">
        <v>439</v>
      </c>
      <c r="C74" s="527" t="s">
        <v>1022</v>
      </c>
      <c r="D74" s="527" t="s">
        <v>1042</v>
      </c>
      <c r="E74" s="527" t="s">
        <v>1043</v>
      </c>
      <c r="F74" s="539">
        <v>46</v>
      </c>
      <c r="G74" s="539">
        <v>10672</v>
      </c>
      <c r="H74" s="527">
        <v>1</v>
      </c>
      <c r="I74" s="527">
        <v>232</v>
      </c>
      <c r="J74" s="539">
        <v>1</v>
      </c>
      <c r="K74" s="539">
        <v>235</v>
      </c>
      <c r="L74" s="527">
        <v>2.202023988005997E-2</v>
      </c>
      <c r="M74" s="527">
        <v>235</v>
      </c>
      <c r="N74" s="539">
        <v>8</v>
      </c>
      <c r="O74" s="539">
        <v>2008</v>
      </c>
      <c r="P74" s="532">
        <v>0.18815592203898052</v>
      </c>
      <c r="Q74" s="540">
        <v>251</v>
      </c>
    </row>
    <row r="75" spans="1:17" ht="14.4" customHeight="1" x14ac:dyDescent="0.3">
      <c r="A75" s="526" t="s">
        <v>1003</v>
      </c>
      <c r="B75" s="527" t="s">
        <v>439</v>
      </c>
      <c r="C75" s="527" t="s">
        <v>1022</v>
      </c>
      <c r="D75" s="527" t="s">
        <v>1044</v>
      </c>
      <c r="E75" s="527" t="s">
        <v>1045</v>
      </c>
      <c r="F75" s="539">
        <v>49</v>
      </c>
      <c r="G75" s="539">
        <v>5684</v>
      </c>
      <c r="H75" s="527">
        <v>1</v>
      </c>
      <c r="I75" s="527">
        <v>116</v>
      </c>
      <c r="J75" s="539">
        <v>95</v>
      </c>
      <c r="K75" s="539">
        <v>11210</v>
      </c>
      <c r="L75" s="527">
        <v>1.9722026741731176</v>
      </c>
      <c r="M75" s="527">
        <v>118</v>
      </c>
      <c r="N75" s="539">
        <v>140</v>
      </c>
      <c r="O75" s="539">
        <v>17640</v>
      </c>
      <c r="P75" s="532">
        <v>3.103448275862069</v>
      </c>
      <c r="Q75" s="540">
        <v>126</v>
      </c>
    </row>
    <row r="76" spans="1:17" ht="14.4" customHeight="1" x14ac:dyDescent="0.3">
      <c r="A76" s="526" t="s">
        <v>1003</v>
      </c>
      <c r="B76" s="527" t="s">
        <v>439</v>
      </c>
      <c r="C76" s="527" t="s">
        <v>1022</v>
      </c>
      <c r="D76" s="527" t="s">
        <v>1046</v>
      </c>
      <c r="E76" s="527" t="s">
        <v>1047</v>
      </c>
      <c r="F76" s="539">
        <v>2</v>
      </c>
      <c r="G76" s="539">
        <v>1054</v>
      </c>
      <c r="H76" s="527">
        <v>1</v>
      </c>
      <c r="I76" s="527">
        <v>527</v>
      </c>
      <c r="J76" s="539">
        <v>1</v>
      </c>
      <c r="K76" s="539">
        <v>532</v>
      </c>
      <c r="L76" s="527">
        <v>0.50474383301707781</v>
      </c>
      <c r="M76" s="527">
        <v>532</v>
      </c>
      <c r="N76" s="539"/>
      <c r="O76" s="539"/>
      <c r="P76" s="532"/>
      <c r="Q76" s="540"/>
    </row>
    <row r="77" spans="1:17" ht="14.4" customHeight="1" x14ac:dyDescent="0.3">
      <c r="A77" s="526" t="s">
        <v>1003</v>
      </c>
      <c r="B77" s="527" t="s">
        <v>439</v>
      </c>
      <c r="C77" s="527" t="s">
        <v>1022</v>
      </c>
      <c r="D77" s="527" t="s">
        <v>1120</v>
      </c>
      <c r="E77" s="527" t="s">
        <v>1121</v>
      </c>
      <c r="F77" s="539">
        <v>1</v>
      </c>
      <c r="G77" s="539">
        <v>1481</v>
      </c>
      <c r="H77" s="527">
        <v>1</v>
      </c>
      <c r="I77" s="527">
        <v>1481</v>
      </c>
      <c r="J77" s="539">
        <v>2</v>
      </c>
      <c r="K77" s="539">
        <v>2990</v>
      </c>
      <c r="L77" s="527">
        <v>2.0189061444969614</v>
      </c>
      <c r="M77" s="527">
        <v>1495</v>
      </c>
      <c r="N77" s="539">
        <v>3</v>
      </c>
      <c r="O77" s="539">
        <v>4629</v>
      </c>
      <c r="P77" s="532">
        <v>3.1255908170155302</v>
      </c>
      <c r="Q77" s="540">
        <v>1543</v>
      </c>
    </row>
    <row r="78" spans="1:17" ht="14.4" customHeight="1" x14ac:dyDescent="0.3">
      <c r="A78" s="526" t="s">
        <v>1003</v>
      </c>
      <c r="B78" s="527" t="s">
        <v>439</v>
      </c>
      <c r="C78" s="527" t="s">
        <v>1022</v>
      </c>
      <c r="D78" s="527" t="s">
        <v>1048</v>
      </c>
      <c r="E78" s="527" t="s">
        <v>1049</v>
      </c>
      <c r="F78" s="539">
        <v>69</v>
      </c>
      <c r="G78" s="539">
        <v>33189</v>
      </c>
      <c r="H78" s="527">
        <v>1</v>
      </c>
      <c r="I78" s="527">
        <v>481</v>
      </c>
      <c r="J78" s="539">
        <v>89</v>
      </c>
      <c r="K78" s="539">
        <v>43254</v>
      </c>
      <c r="L78" s="527">
        <v>1.3032631293500858</v>
      </c>
      <c r="M78" s="527">
        <v>486</v>
      </c>
      <c r="N78" s="539">
        <v>93</v>
      </c>
      <c r="O78" s="539">
        <v>46500</v>
      </c>
      <c r="P78" s="532">
        <v>1.4010666184579228</v>
      </c>
      <c r="Q78" s="540">
        <v>500</v>
      </c>
    </row>
    <row r="79" spans="1:17" ht="14.4" customHeight="1" x14ac:dyDescent="0.3">
      <c r="A79" s="526" t="s">
        <v>1003</v>
      </c>
      <c r="B79" s="527" t="s">
        <v>439</v>
      </c>
      <c r="C79" s="527" t="s">
        <v>1022</v>
      </c>
      <c r="D79" s="527" t="s">
        <v>1050</v>
      </c>
      <c r="E79" s="527" t="s">
        <v>1051</v>
      </c>
      <c r="F79" s="539">
        <v>86</v>
      </c>
      <c r="G79" s="539">
        <v>56674</v>
      </c>
      <c r="H79" s="527">
        <v>1</v>
      </c>
      <c r="I79" s="527">
        <v>659</v>
      </c>
      <c r="J79" s="539">
        <v>105</v>
      </c>
      <c r="K79" s="539">
        <v>69930</v>
      </c>
      <c r="L79" s="527">
        <v>1.2338991424639165</v>
      </c>
      <c r="M79" s="527">
        <v>666</v>
      </c>
      <c r="N79" s="539">
        <v>74</v>
      </c>
      <c r="O79" s="539">
        <v>50246</v>
      </c>
      <c r="P79" s="532">
        <v>0.88657938384444368</v>
      </c>
      <c r="Q79" s="540">
        <v>679</v>
      </c>
    </row>
    <row r="80" spans="1:17" ht="14.4" customHeight="1" x14ac:dyDescent="0.3">
      <c r="A80" s="526" t="s">
        <v>1003</v>
      </c>
      <c r="B80" s="527" t="s">
        <v>439</v>
      </c>
      <c r="C80" s="527" t="s">
        <v>1022</v>
      </c>
      <c r="D80" s="527" t="s">
        <v>1052</v>
      </c>
      <c r="E80" s="527" t="s">
        <v>1053</v>
      </c>
      <c r="F80" s="539">
        <v>62</v>
      </c>
      <c r="G80" s="539">
        <v>62062</v>
      </c>
      <c r="H80" s="527">
        <v>1</v>
      </c>
      <c r="I80" s="527">
        <v>1001</v>
      </c>
      <c r="J80" s="539">
        <v>53</v>
      </c>
      <c r="K80" s="539">
        <v>53636</v>
      </c>
      <c r="L80" s="527">
        <v>0.86423254165189645</v>
      </c>
      <c r="M80" s="527">
        <v>1012</v>
      </c>
      <c r="N80" s="539">
        <v>71</v>
      </c>
      <c r="O80" s="539">
        <v>73201</v>
      </c>
      <c r="P80" s="532">
        <v>1.1794818085140666</v>
      </c>
      <c r="Q80" s="540">
        <v>1031</v>
      </c>
    </row>
    <row r="81" spans="1:17" ht="14.4" customHeight="1" x14ac:dyDescent="0.3">
      <c r="A81" s="526" t="s">
        <v>1003</v>
      </c>
      <c r="B81" s="527" t="s">
        <v>439</v>
      </c>
      <c r="C81" s="527" t="s">
        <v>1022</v>
      </c>
      <c r="D81" s="527" t="s">
        <v>1122</v>
      </c>
      <c r="E81" s="527" t="s">
        <v>1123</v>
      </c>
      <c r="F81" s="539">
        <v>7</v>
      </c>
      <c r="G81" s="539">
        <v>14000</v>
      </c>
      <c r="H81" s="527">
        <v>1</v>
      </c>
      <c r="I81" s="527">
        <v>2000</v>
      </c>
      <c r="J81" s="539">
        <v>12</v>
      </c>
      <c r="K81" s="539">
        <v>24204</v>
      </c>
      <c r="L81" s="527">
        <v>1.7288571428571429</v>
      </c>
      <c r="M81" s="527">
        <v>2017</v>
      </c>
      <c r="N81" s="539">
        <v>8</v>
      </c>
      <c r="O81" s="539">
        <v>16784</v>
      </c>
      <c r="P81" s="532">
        <v>1.1988571428571428</v>
      </c>
      <c r="Q81" s="540">
        <v>2098</v>
      </c>
    </row>
    <row r="82" spans="1:17" ht="14.4" customHeight="1" x14ac:dyDescent="0.3">
      <c r="A82" s="526" t="s">
        <v>1003</v>
      </c>
      <c r="B82" s="527" t="s">
        <v>439</v>
      </c>
      <c r="C82" s="527" t="s">
        <v>1022</v>
      </c>
      <c r="D82" s="527" t="s">
        <v>1124</v>
      </c>
      <c r="E82" s="527" t="s">
        <v>1125</v>
      </c>
      <c r="F82" s="539">
        <v>1</v>
      </c>
      <c r="G82" s="539">
        <v>1213</v>
      </c>
      <c r="H82" s="527">
        <v>1</v>
      </c>
      <c r="I82" s="527">
        <v>1213</v>
      </c>
      <c r="J82" s="539">
        <v>1</v>
      </c>
      <c r="K82" s="539">
        <v>1235</v>
      </c>
      <c r="L82" s="527">
        <v>1.0181368507831823</v>
      </c>
      <c r="M82" s="527">
        <v>1235</v>
      </c>
      <c r="N82" s="539">
        <v>3</v>
      </c>
      <c r="O82" s="539">
        <v>3819</v>
      </c>
      <c r="P82" s="532">
        <v>3.1483924154987633</v>
      </c>
      <c r="Q82" s="540">
        <v>1273</v>
      </c>
    </row>
    <row r="83" spans="1:17" ht="14.4" customHeight="1" x14ac:dyDescent="0.3">
      <c r="A83" s="526" t="s">
        <v>1003</v>
      </c>
      <c r="B83" s="527" t="s">
        <v>439</v>
      </c>
      <c r="C83" s="527" t="s">
        <v>1022</v>
      </c>
      <c r="D83" s="527" t="s">
        <v>1126</v>
      </c>
      <c r="E83" s="527" t="s">
        <v>1127</v>
      </c>
      <c r="F83" s="539">
        <v>6</v>
      </c>
      <c r="G83" s="539">
        <v>5592</v>
      </c>
      <c r="H83" s="527">
        <v>1</v>
      </c>
      <c r="I83" s="527">
        <v>932</v>
      </c>
      <c r="J83" s="539">
        <v>2</v>
      </c>
      <c r="K83" s="539">
        <v>1892</v>
      </c>
      <c r="L83" s="527">
        <v>0.33834048640915593</v>
      </c>
      <c r="M83" s="527">
        <v>946</v>
      </c>
      <c r="N83" s="539"/>
      <c r="O83" s="539"/>
      <c r="P83" s="532"/>
      <c r="Q83" s="540"/>
    </row>
    <row r="84" spans="1:17" ht="14.4" customHeight="1" x14ac:dyDescent="0.3">
      <c r="A84" s="526" t="s">
        <v>1003</v>
      </c>
      <c r="B84" s="527" t="s">
        <v>439</v>
      </c>
      <c r="C84" s="527" t="s">
        <v>1022</v>
      </c>
      <c r="D84" s="527" t="s">
        <v>1128</v>
      </c>
      <c r="E84" s="527" t="s">
        <v>1129</v>
      </c>
      <c r="F84" s="539"/>
      <c r="G84" s="539"/>
      <c r="H84" s="527"/>
      <c r="I84" s="527"/>
      <c r="J84" s="539">
        <v>4</v>
      </c>
      <c r="K84" s="539">
        <v>3300</v>
      </c>
      <c r="L84" s="527"/>
      <c r="M84" s="527">
        <v>825</v>
      </c>
      <c r="N84" s="539">
        <v>1</v>
      </c>
      <c r="O84" s="539">
        <v>844</v>
      </c>
      <c r="P84" s="532"/>
      <c r="Q84" s="540">
        <v>844</v>
      </c>
    </row>
    <row r="85" spans="1:17" ht="14.4" customHeight="1" x14ac:dyDescent="0.3">
      <c r="A85" s="526" t="s">
        <v>1003</v>
      </c>
      <c r="B85" s="527" t="s">
        <v>439</v>
      </c>
      <c r="C85" s="527" t="s">
        <v>1022</v>
      </c>
      <c r="D85" s="527" t="s">
        <v>1130</v>
      </c>
      <c r="E85" s="527" t="s">
        <v>1131</v>
      </c>
      <c r="F85" s="539">
        <v>4</v>
      </c>
      <c r="G85" s="539">
        <v>6500</v>
      </c>
      <c r="H85" s="527">
        <v>1</v>
      </c>
      <c r="I85" s="527">
        <v>1625</v>
      </c>
      <c r="J85" s="539">
        <v>5</v>
      </c>
      <c r="K85" s="539">
        <v>8185</v>
      </c>
      <c r="L85" s="527">
        <v>1.2592307692307692</v>
      </c>
      <c r="M85" s="527">
        <v>1637</v>
      </c>
      <c r="N85" s="539">
        <v>2</v>
      </c>
      <c r="O85" s="539">
        <v>3354</v>
      </c>
      <c r="P85" s="532">
        <v>0.51600000000000001</v>
      </c>
      <c r="Q85" s="540">
        <v>1677</v>
      </c>
    </row>
    <row r="86" spans="1:17" ht="14.4" customHeight="1" x14ac:dyDescent="0.3">
      <c r="A86" s="526" t="s">
        <v>1003</v>
      </c>
      <c r="B86" s="527" t="s">
        <v>439</v>
      </c>
      <c r="C86" s="527" t="s">
        <v>1022</v>
      </c>
      <c r="D86" s="527" t="s">
        <v>1132</v>
      </c>
      <c r="E86" s="527" t="s">
        <v>1133</v>
      </c>
      <c r="F86" s="539">
        <v>2</v>
      </c>
      <c r="G86" s="539">
        <v>2646</v>
      </c>
      <c r="H86" s="527">
        <v>1</v>
      </c>
      <c r="I86" s="527">
        <v>1323</v>
      </c>
      <c r="J86" s="539">
        <v>5</v>
      </c>
      <c r="K86" s="539">
        <v>6700</v>
      </c>
      <c r="L86" s="527">
        <v>2.5321239606953894</v>
      </c>
      <c r="M86" s="527">
        <v>1340</v>
      </c>
      <c r="N86" s="539">
        <v>7</v>
      </c>
      <c r="O86" s="539">
        <v>9751</v>
      </c>
      <c r="P86" s="532">
        <v>3.6851851851851851</v>
      </c>
      <c r="Q86" s="540">
        <v>1393</v>
      </c>
    </row>
    <row r="87" spans="1:17" ht="14.4" customHeight="1" x14ac:dyDescent="0.3">
      <c r="A87" s="526" t="s">
        <v>1003</v>
      </c>
      <c r="B87" s="527" t="s">
        <v>439</v>
      </c>
      <c r="C87" s="527" t="s">
        <v>1022</v>
      </c>
      <c r="D87" s="527" t="s">
        <v>1134</v>
      </c>
      <c r="E87" s="527" t="s">
        <v>1135</v>
      </c>
      <c r="F87" s="539">
        <v>3</v>
      </c>
      <c r="G87" s="539">
        <v>4497</v>
      </c>
      <c r="H87" s="527">
        <v>1</v>
      </c>
      <c r="I87" s="527">
        <v>1499</v>
      </c>
      <c r="J87" s="539"/>
      <c r="K87" s="539"/>
      <c r="L87" s="527"/>
      <c r="M87" s="527"/>
      <c r="N87" s="539"/>
      <c r="O87" s="539"/>
      <c r="P87" s="532"/>
      <c r="Q87" s="540"/>
    </row>
    <row r="88" spans="1:17" ht="14.4" customHeight="1" x14ac:dyDescent="0.3">
      <c r="A88" s="526" t="s">
        <v>1003</v>
      </c>
      <c r="B88" s="527" t="s">
        <v>439</v>
      </c>
      <c r="C88" s="527" t="s">
        <v>1022</v>
      </c>
      <c r="D88" s="527" t="s">
        <v>1054</v>
      </c>
      <c r="E88" s="527" t="s">
        <v>1055</v>
      </c>
      <c r="F88" s="539"/>
      <c r="G88" s="539"/>
      <c r="H88" s="527"/>
      <c r="I88" s="527"/>
      <c r="J88" s="539"/>
      <c r="K88" s="539"/>
      <c r="L88" s="527"/>
      <c r="M88" s="527"/>
      <c r="N88" s="539">
        <v>1</v>
      </c>
      <c r="O88" s="539">
        <v>971</v>
      </c>
      <c r="P88" s="532"/>
      <c r="Q88" s="540">
        <v>971</v>
      </c>
    </row>
    <row r="89" spans="1:17" ht="14.4" customHeight="1" x14ac:dyDescent="0.3">
      <c r="A89" s="526" t="s">
        <v>1003</v>
      </c>
      <c r="B89" s="527" t="s">
        <v>439</v>
      </c>
      <c r="C89" s="527" t="s">
        <v>1022</v>
      </c>
      <c r="D89" s="527" t="s">
        <v>1060</v>
      </c>
      <c r="E89" s="527" t="s">
        <v>1061</v>
      </c>
      <c r="F89" s="539">
        <v>3</v>
      </c>
      <c r="G89" s="539">
        <v>0</v>
      </c>
      <c r="H89" s="527"/>
      <c r="I89" s="527">
        <v>0</v>
      </c>
      <c r="J89" s="539">
        <v>89</v>
      </c>
      <c r="K89" s="539">
        <v>0</v>
      </c>
      <c r="L89" s="527"/>
      <c r="M89" s="527">
        <v>0</v>
      </c>
      <c r="N89" s="539">
        <v>135</v>
      </c>
      <c r="O89" s="539">
        <v>4499.9699999999993</v>
      </c>
      <c r="P89" s="532"/>
      <c r="Q89" s="540">
        <v>33.333111111111108</v>
      </c>
    </row>
    <row r="90" spans="1:17" ht="14.4" customHeight="1" x14ac:dyDescent="0.3">
      <c r="A90" s="526" t="s">
        <v>1003</v>
      </c>
      <c r="B90" s="527" t="s">
        <v>439</v>
      </c>
      <c r="C90" s="527" t="s">
        <v>1022</v>
      </c>
      <c r="D90" s="527" t="s">
        <v>1064</v>
      </c>
      <c r="E90" s="527" t="s">
        <v>1065</v>
      </c>
      <c r="F90" s="539">
        <v>1</v>
      </c>
      <c r="G90" s="539">
        <v>106</v>
      </c>
      <c r="H90" s="527">
        <v>1</v>
      </c>
      <c r="I90" s="527">
        <v>106</v>
      </c>
      <c r="J90" s="539">
        <v>1</v>
      </c>
      <c r="K90" s="539">
        <v>108</v>
      </c>
      <c r="L90" s="527">
        <v>1.0188679245283019</v>
      </c>
      <c r="M90" s="527">
        <v>108</v>
      </c>
      <c r="N90" s="539"/>
      <c r="O90" s="539"/>
      <c r="P90" s="532"/>
      <c r="Q90" s="540"/>
    </row>
    <row r="91" spans="1:17" ht="14.4" customHeight="1" x14ac:dyDescent="0.3">
      <c r="A91" s="526" t="s">
        <v>1003</v>
      </c>
      <c r="B91" s="527" t="s">
        <v>439</v>
      </c>
      <c r="C91" s="527" t="s">
        <v>1022</v>
      </c>
      <c r="D91" s="527" t="s">
        <v>1066</v>
      </c>
      <c r="E91" s="527" t="s">
        <v>1067</v>
      </c>
      <c r="F91" s="539">
        <v>175</v>
      </c>
      <c r="G91" s="539">
        <v>14175</v>
      </c>
      <c r="H91" s="527">
        <v>1</v>
      </c>
      <c r="I91" s="527">
        <v>81</v>
      </c>
      <c r="J91" s="539">
        <v>207</v>
      </c>
      <c r="K91" s="539">
        <v>16974</v>
      </c>
      <c r="L91" s="527">
        <v>1.1974603174603176</v>
      </c>
      <c r="M91" s="527">
        <v>82</v>
      </c>
      <c r="N91" s="539">
        <v>208</v>
      </c>
      <c r="O91" s="539">
        <v>17888</v>
      </c>
      <c r="P91" s="532">
        <v>1.2619400352733685</v>
      </c>
      <c r="Q91" s="540">
        <v>86</v>
      </c>
    </row>
    <row r="92" spans="1:17" ht="14.4" customHeight="1" x14ac:dyDescent="0.3">
      <c r="A92" s="526" t="s">
        <v>1003</v>
      </c>
      <c r="B92" s="527" t="s">
        <v>439</v>
      </c>
      <c r="C92" s="527" t="s">
        <v>1022</v>
      </c>
      <c r="D92" s="527" t="s">
        <v>1068</v>
      </c>
      <c r="E92" s="527" t="s">
        <v>1069</v>
      </c>
      <c r="F92" s="539"/>
      <c r="G92" s="539"/>
      <c r="H92" s="527"/>
      <c r="I92" s="527"/>
      <c r="J92" s="539"/>
      <c r="K92" s="539"/>
      <c r="L92" s="527"/>
      <c r="M92" s="527"/>
      <c r="N92" s="539">
        <v>2</v>
      </c>
      <c r="O92" s="539">
        <v>64</v>
      </c>
      <c r="P92" s="532"/>
      <c r="Q92" s="540">
        <v>32</v>
      </c>
    </row>
    <row r="93" spans="1:17" ht="14.4" customHeight="1" x14ac:dyDescent="0.3">
      <c r="A93" s="526" t="s">
        <v>1003</v>
      </c>
      <c r="B93" s="527" t="s">
        <v>439</v>
      </c>
      <c r="C93" s="527" t="s">
        <v>1022</v>
      </c>
      <c r="D93" s="527" t="s">
        <v>1076</v>
      </c>
      <c r="E93" s="527" t="s">
        <v>1047</v>
      </c>
      <c r="F93" s="539"/>
      <c r="G93" s="539"/>
      <c r="H93" s="527"/>
      <c r="I93" s="527"/>
      <c r="J93" s="539"/>
      <c r="K93" s="539"/>
      <c r="L93" s="527"/>
      <c r="M93" s="527"/>
      <c r="N93" s="539">
        <v>1</v>
      </c>
      <c r="O93" s="539">
        <v>688</v>
      </c>
      <c r="P93" s="532"/>
      <c r="Q93" s="540">
        <v>688</v>
      </c>
    </row>
    <row r="94" spans="1:17" ht="14.4" customHeight="1" x14ac:dyDescent="0.3">
      <c r="A94" s="526" t="s">
        <v>1003</v>
      </c>
      <c r="B94" s="527" t="s">
        <v>439</v>
      </c>
      <c r="C94" s="527" t="s">
        <v>1022</v>
      </c>
      <c r="D94" s="527" t="s">
        <v>1077</v>
      </c>
      <c r="E94" s="527" t="s">
        <v>1078</v>
      </c>
      <c r="F94" s="539">
        <v>8</v>
      </c>
      <c r="G94" s="539">
        <v>688</v>
      </c>
      <c r="H94" s="527">
        <v>1</v>
      </c>
      <c r="I94" s="527">
        <v>86</v>
      </c>
      <c r="J94" s="539">
        <v>4</v>
      </c>
      <c r="K94" s="539">
        <v>632</v>
      </c>
      <c r="L94" s="527">
        <v>0.91860465116279066</v>
      </c>
      <c r="M94" s="527">
        <v>158</v>
      </c>
      <c r="N94" s="539">
        <v>10</v>
      </c>
      <c r="O94" s="539">
        <v>1620</v>
      </c>
      <c r="P94" s="532">
        <v>2.3546511627906979</v>
      </c>
      <c r="Q94" s="540">
        <v>162</v>
      </c>
    </row>
    <row r="95" spans="1:17" ht="14.4" customHeight="1" x14ac:dyDescent="0.3">
      <c r="A95" s="526" t="s">
        <v>1003</v>
      </c>
      <c r="B95" s="527" t="s">
        <v>439</v>
      </c>
      <c r="C95" s="527" t="s">
        <v>1022</v>
      </c>
      <c r="D95" s="527" t="s">
        <v>1136</v>
      </c>
      <c r="E95" s="527" t="s">
        <v>1137</v>
      </c>
      <c r="F95" s="539">
        <v>2</v>
      </c>
      <c r="G95" s="539">
        <v>1388</v>
      </c>
      <c r="H95" s="527">
        <v>1</v>
      </c>
      <c r="I95" s="527">
        <v>694</v>
      </c>
      <c r="J95" s="539">
        <v>3</v>
      </c>
      <c r="K95" s="539">
        <v>2112</v>
      </c>
      <c r="L95" s="527">
        <v>1.521613832853026</v>
      </c>
      <c r="M95" s="527">
        <v>704</v>
      </c>
      <c r="N95" s="539">
        <v>3</v>
      </c>
      <c r="O95" s="539">
        <v>2163</v>
      </c>
      <c r="P95" s="532">
        <v>1.5583573487031701</v>
      </c>
      <c r="Q95" s="540">
        <v>721</v>
      </c>
    </row>
    <row r="96" spans="1:17" ht="14.4" customHeight="1" x14ac:dyDescent="0.3">
      <c r="A96" s="526" t="s">
        <v>1003</v>
      </c>
      <c r="B96" s="527" t="s">
        <v>439</v>
      </c>
      <c r="C96" s="527" t="s">
        <v>1022</v>
      </c>
      <c r="D96" s="527" t="s">
        <v>1081</v>
      </c>
      <c r="E96" s="527" t="s">
        <v>1082</v>
      </c>
      <c r="F96" s="539">
        <v>7</v>
      </c>
      <c r="G96" s="539">
        <v>7301</v>
      </c>
      <c r="H96" s="527">
        <v>1</v>
      </c>
      <c r="I96" s="527">
        <v>1043</v>
      </c>
      <c r="J96" s="539">
        <v>26</v>
      </c>
      <c r="K96" s="539">
        <v>27300</v>
      </c>
      <c r="L96" s="527">
        <v>3.7392138063279003</v>
      </c>
      <c r="M96" s="527">
        <v>1050</v>
      </c>
      <c r="N96" s="539">
        <v>19</v>
      </c>
      <c r="O96" s="539">
        <v>20197</v>
      </c>
      <c r="P96" s="532">
        <v>2.7663333789891795</v>
      </c>
      <c r="Q96" s="540">
        <v>1063</v>
      </c>
    </row>
    <row r="97" spans="1:17" ht="14.4" customHeight="1" x14ac:dyDescent="0.3">
      <c r="A97" s="526" t="s">
        <v>1003</v>
      </c>
      <c r="B97" s="527" t="s">
        <v>439</v>
      </c>
      <c r="C97" s="527" t="s">
        <v>1022</v>
      </c>
      <c r="D97" s="527" t="s">
        <v>1138</v>
      </c>
      <c r="E97" s="527" t="s">
        <v>1139</v>
      </c>
      <c r="F97" s="539">
        <v>8</v>
      </c>
      <c r="G97" s="539">
        <v>5472</v>
      </c>
      <c r="H97" s="527">
        <v>1</v>
      </c>
      <c r="I97" s="527">
        <v>684</v>
      </c>
      <c r="J97" s="539">
        <v>11</v>
      </c>
      <c r="K97" s="539">
        <v>7601</v>
      </c>
      <c r="L97" s="527">
        <v>1.3890716374269005</v>
      </c>
      <c r="M97" s="527">
        <v>691</v>
      </c>
      <c r="N97" s="539">
        <v>10</v>
      </c>
      <c r="O97" s="539">
        <v>7160</v>
      </c>
      <c r="P97" s="532">
        <v>1.3084795321637428</v>
      </c>
      <c r="Q97" s="540">
        <v>716</v>
      </c>
    </row>
    <row r="98" spans="1:17" ht="14.4" customHeight="1" x14ac:dyDescent="0.3">
      <c r="A98" s="526" t="s">
        <v>1003</v>
      </c>
      <c r="B98" s="527" t="s">
        <v>439</v>
      </c>
      <c r="C98" s="527" t="s">
        <v>1022</v>
      </c>
      <c r="D98" s="527" t="s">
        <v>1140</v>
      </c>
      <c r="E98" s="527" t="s">
        <v>1141</v>
      </c>
      <c r="F98" s="539"/>
      <c r="G98" s="539"/>
      <c r="H98" s="527"/>
      <c r="I98" s="527"/>
      <c r="J98" s="539">
        <v>2</v>
      </c>
      <c r="K98" s="539">
        <v>788</v>
      </c>
      <c r="L98" s="527"/>
      <c r="M98" s="527">
        <v>394</v>
      </c>
      <c r="N98" s="539"/>
      <c r="O98" s="539"/>
      <c r="P98" s="532"/>
      <c r="Q98" s="540"/>
    </row>
    <row r="99" spans="1:17" ht="14.4" customHeight="1" x14ac:dyDescent="0.3">
      <c r="A99" s="526" t="s">
        <v>1003</v>
      </c>
      <c r="B99" s="527" t="s">
        <v>439</v>
      </c>
      <c r="C99" s="527" t="s">
        <v>1022</v>
      </c>
      <c r="D99" s="527" t="s">
        <v>1087</v>
      </c>
      <c r="E99" s="527" t="s">
        <v>1088</v>
      </c>
      <c r="F99" s="539"/>
      <c r="G99" s="539"/>
      <c r="H99" s="527"/>
      <c r="I99" s="527"/>
      <c r="J99" s="539"/>
      <c r="K99" s="539"/>
      <c r="L99" s="527"/>
      <c r="M99" s="527"/>
      <c r="N99" s="539">
        <v>2</v>
      </c>
      <c r="O99" s="539">
        <v>182</v>
      </c>
      <c r="P99" s="532"/>
      <c r="Q99" s="540">
        <v>91</v>
      </c>
    </row>
    <row r="100" spans="1:17" ht="14.4" customHeight="1" x14ac:dyDescent="0.3">
      <c r="A100" s="526" t="s">
        <v>1003</v>
      </c>
      <c r="B100" s="527" t="s">
        <v>439</v>
      </c>
      <c r="C100" s="527" t="s">
        <v>1022</v>
      </c>
      <c r="D100" s="527" t="s">
        <v>1091</v>
      </c>
      <c r="E100" s="527" t="s">
        <v>1092</v>
      </c>
      <c r="F100" s="539"/>
      <c r="G100" s="539"/>
      <c r="H100" s="527"/>
      <c r="I100" s="527"/>
      <c r="J100" s="539"/>
      <c r="K100" s="539"/>
      <c r="L100" s="527"/>
      <c r="M100" s="527"/>
      <c r="N100" s="539">
        <v>1</v>
      </c>
      <c r="O100" s="539">
        <v>648</v>
      </c>
      <c r="P100" s="532"/>
      <c r="Q100" s="540">
        <v>648</v>
      </c>
    </row>
    <row r="101" spans="1:17" ht="14.4" customHeight="1" x14ac:dyDescent="0.3">
      <c r="A101" s="526" t="s">
        <v>1003</v>
      </c>
      <c r="B101" s="527" t="s">
        <v>439</v>
      </c>
      <c r="C101" s="527" t="s">
        <v>1022</v>
      </c>
      <c r="D101" s="527" t="s">
        <v>1142</v>
      </c>
      <c r="E101" s="527" t="s">
        <v>1143</v>
      </c>
      <c r="F101" s="539">
        <v>4</v>
      </c>
      <c r="G101" s="539">
        <v>2492</v>
      </c>
      <c r="H101" s="527">
        <v>1</v>
      </c>
      <c r="I101" s="527">
        <v>623</v>
      </c>
      <c r="J101" s="539">
        <v>3</v>
      </c>
      <c r="K101" s="539">
        <v>1884</v>
      </c>
      <c r="L101" s="527">
        <v>0.7560192616372392</v>
      </c>
      <c r="M101" s="527">
        <v>628</v>
      </c>
      <c r="N101" s="539">
        <v>2</v>
      </c>
      <c r="O101" s="539">
        <v>1272</v>
      </c>
      <c r="P101" s="532">
        <v>0.5104333868378812</v>
      </c>
      <c r="Q101" s="540">
        <v>636</v>
      </c>
    </row>
    <row r="102" spans="1:17" ht="14.4" customHeight="1" x14ac:dyDescent="0.3">
      <c r="A102" s="526" t="s">
        <v>1003</v>
      </c>
      <c r="B102" s="527" t="s">
        <v>439</v>
      </c>
      <c r="C102" s="527" t="s">
        <v>1022</v>
      </c>
      <c r="D102" s="527" t="s">
        <v>1144</v>
      </c>
      <c r="E102" s="527" t="s">
        <v>1145</v>
      </c>
      <c r="F102" s="539">
        <v>5</v>
      </c>
      <c r="G102" s="539">
        <v>7880</v>
      </c>
      <c r="H102" s="527">
        <v>1</v>
      </c>
      <c r="I102" s="527">
        <v>1576</v>
      </c>
      <c r="J102" s="539">
        <v>6</v>
      </c>
      <c r="K102" s="539">
        <v>9588</v>
      </c>
      <c r="L102" s="527">
        <v>1.2167512690355331</v>
      </c>
      <c r="M102" s="527">
        <v>1598</v>
      </c>
      <c r="N102" s="539">
        <v>2</v>
      </c>
      <c r="O102" s="539">
        <v>3336</v>
      </c>
      <c r="P102" s="532">
        <v>0.42335025380710661</v>
      </c>
      <c r="Q102" s="540">
        <v>1668</v>
      </c>
    </row>
    <row r="103" spans="1:17" ht="14.4" customHeight="1" x14ac:dyDescent="0.3">
      <c r="A103" s="526" t="s">
        <v>1003</v>
      </c>
      <c r="B103" s="527" t="s">
        <v>439</v>
      </c>
      <c r="C103" s="527" t="s">
        <v>1022</v>
      </c>
      <c r="D103" s="527" t="s">
        <v>1146</v>
      </c>
      <c r="E103" s="527" t="s">
        <v>1147</v>
      </c>
      <c r="F103" s="539">
        <v>9</v>
      </c>
      <c r="G103" s="539">
        <v>1026</v>
      </c>
      <c r="H103" s="527">
        <v>1</v>
      </c>
      <c r="I103" s="527">
        <v>114</v>
      </c>
      <c r="J103" s="539">
        <v>1</v>
      </c>
      <c r="K103" s="539">
        <v>116</v>
      </c>
      <c r="L103" s="527">
        <v>0.11306042884990253</v>
      </c>
      <c r="M103" s="527">
        <v>116</v>
      </c>
      <c r="N103" s="539">
        <v>7</v>
      </c>
      <c r="O103" s="539">
        <v>840</v>
      </c>
      <c r="P103" s="532">
        <v>0.81871345029239762</v>
      </c>
      <c r="Q103" s="540">
        <v>120</v>
      </c>
    </row>
    <row r="104" spans="1:17" ht="14.4" customHeight="1" x14ac:dyDescent="0.3">
      <c r="A104" s="526" t="s">
        <v>1003</v>
      </c>
      <c r="B104" s="527" t="s">
        <v>439</v>
      </c>
      <c r="C104" s="527" t="s">
        <v>1022</v>
      </c>
      <c r="D104" s="527" t="s">
        <v>1099</v>
      </c>
      <c r="E104" s="527" t="s">
        <v>1100</v>
      </c>
      <c r="F104" s="539">
        <v>16</v>
      </c>
      <c r="G104" s="539">
        <v>3856</v>
      </c>
      <c r="H104" s="527">
        <v>1</v>
      </c>
      <c r="I104" s="527">
        <v>241</v>
      </c>
      <c r="J104" s="539">
        <v>19</v>
      </c>
      <c r="K104" s="539">
        <v>4617</v>
      </c>
      <c r="L104" s="527">
        <v>1.1973547717842323</v>
      </c>
      <c r="M104" s="527">
        <v>243</v>
      </c>
      <c r="N104" s="539">
        <v>26</v>
      </c>
      <c r="O104" s="539">
        <v>6422</v>
      </c>
      <c r="P104" s="532">
        <v>1.6654564315352698</v>
      </c>
      <c r="Q104" s="540">
        <v>247</v>
      </c>
    </row>
    <row r="105" spans="1:17" ht="14.4" customHeight="1" x14ac:dyDescent="0.3">
      <c r="A105" s="526" t="s">
        <v>1003</v>
      </c>
      <c r="B105" s="527" t="s">
        <v>439</v>
      </c>
      <c r="C105" s="527" t="s">
        <v>1022</v>
      </c>
      <c r="D105" s="527" t="s">
        <v>1148</v>
      </c>
      <c r="E105" s="527" t="s">
        <v>1149</v>
      </c>
      <c r="F105" s="539">
        <v>4</v>
      </c>
      <c r="G105" s="539">
        <v>13996</v>
      </c>
      <c r="H105" s="527">
        <v>1</v>
      </c>
      <c r="I105" s="527">
        <v>3499</v>
      </c>
      <c r="J105" s="539">
        <v>4</v>
      </c>
      <c r="K105" s="539">
        <v>14140</v>
      </c>
      <c r="L105" s="527">
        <v>1.0102886539011147</v>
      </c>
      <c r="M105" s="527">
        <v>3535</v>
      </c>
      <c r="N105" s="539">
        <v>4</v>
      </c>
      <c r="O105" s="539">
        <v>14840</v>
      </c>
      <c r="P105" s="532">
        <v>1.0603029436981994</v>
      </c>
      <c r="Q105" s="540">
        <v>3710</v>
      </c>
    </row>
    <row r="106" spans="1:17" ht="14.4" customHeight="1" x14ac:dyDescent="0.3">
      <c r="A106" s="526" t="s">
        <v>1003</v>
      </c>
      <c r="B106" s="527" t="s">
        <v>439</v>
      </c>
      <c r="C106" s="527" t="s">
        <v>1022</v>
      </c>
      <c r="D106" s="527" t="s">
        <v>1150</v>
      </c>
      <c r="E106" s="527" t="s">
        <v>1151</v>
      </c>
      <c r="F106" s="539">
        <v>1</v>
      </c>
      <c r="G106" s="539">
        <v>1653</v>
      </c>
      <c r="H106" s="527">
        <v>1</v>
      </c>
      <c r="I106" s="527">
        <v>1653</v>
      </c>
      <c r="J106" s="539">
        <v>1</v>
      </c>
      <c r="K106" s="539">
        <v>1667</v>
      </c>
      <c r="L106" s="527">
        <v>1.0084694494857833</v>
      </c>
      <c r="M106" s="527">
        <v>1667</v>
      </c>
      <c r="N106" s="539">
        <v>2</v>
      </c>
      <c r="O106" s="539">
        <v>3468</v>
      </c>
      <c r="P106" s="532">
        <v>2.0980036297640652</v>
      </c>
      <c r="Q106" s="540">
        <v>1734</v>
      </c>
    </row>
    <row r="107" spans="1:17" ht="14.4" customHeight="1" x14ac:dyDescent="0.3">
      <c r="A107" s="526" t="s">
        <v>1003</v>
      </c>
      <c r="B107" s="527" t="s">
        <v>439</v>
      </c>
      <c r="C107" s="527" t="s">
        <v>1022</v>
      </c>
      <c r="D107" s="527" t="s">
        <v>1101</v>
      </c>
      <c r="E107" s="527" t="s">
        <v>1102</v>
      </c>
      <c r="F107" s="539">
        <v>1</v>
      </c>
      <c r="G107" s="539">
        <v>851</v>
      </c>
      <c r="H107" s="527">
        <v>1</v>
      </c>
      <c r="I107" s="527">
        <v>851</v>
      </c>
      <c r="J107" s="539">
        <v>2</v>
      </c>
      <c r="K107" s="539">
        <v>1724</v>
      </c>
      <c r="L107" s="527">
        <v>2.0258519388954173</v>
      </c>
      <c r="M107" s="527">
        <v>862</v>
      </c>
      <c r="N107" s="539"/>
      <c r="O107" s="539"/>
      <c r="P107" s="532"/>
      <c r="Q107" s="540"/>
    </row>
    <row r="108" spans="1:17" ht="14.4" customHeight="1" x14ac:dyDescent="0.3">
      <c r="A108" s="526" t="s">
        <v>1003</v>
      </c>
      <c r="B108" s="527" t="s">
        <v>439</v>
      </c>
      <c r="C108" s="527" t="s">
        <v>1022</v>
      </c>
      <c r="D108" s="527" t="s">
        <v>1103</v>
      </c>
      <c r="E108" s="527" t="s">
        <v>1104</v>
      </c>
      <c r="F108" s="539">
        <v>1</v>
      </c>
      <c r="G108" s="539">
        <v>311</v>
      </c>
      <c r="H108" s="527">
        <v>1</v>
      </c>
      <c r="I108" s="527">
        <v>311</v>
      </c>
      <c r="J108" s="539"/>
      <c r="K108" s="539"/>
      <c r="L108" s="527"/>
      <c r="M108" s="527"/>
      <c r="N108" s="539"/>
      <c r="O108" s="539"/>
      <c r="P108" s="532"/>
      <c r="Q108" s="540"/>
    </row>
    <row r="109" spans="1:17" ht="14.4" customHeight="1" x14ac:dyDescent="0.3">
      <c r="A109" s="526" t="s">
        <v>1003</v>
      </c>
      <c r="B109" s="527" t="s">
        <v>439</v>
      </c>
      <c r="C109" s="527" t="s">
        <v>1022</v>
      </c>
      <c r="D109" s="527" t="s">
        <v>1152</v>
      </c>
      <c r="E109" s="527" t="s">
        <v>1153</v>
      </c>
      <c r="F109" s="539"/>
      <c r="G109" s="539"/>
      <c r="H109" s="527"/>
      <c r="I109" s="527"/>
      <c r="J109" s="539"/>
      <c r="K109" s="539"/>
      <c r="L109" s="527"/>
      <c r="M109" s="527"/>
      <c r="N109" s="539">
        <v>2</v>
      </c>
      <c r="O109" s="539">
        <v>2066</v>
      </c>
      <c r="P109" s="532"/>
      <c r="Q109" s="540">
        <v>1033</v>
      </c>
    </row>
    <row r="110" spans="1:17" ht="14.4" customHeight="1" x14ac:dyDescent="0.3">
      <c r="A110" s="526" t="s">
        <v>1003</v>
      </c>
      <c r="B110" s="527" t="s">
        <v>439</v>
      </c>
      <c r="C110" s="527" t="s">
        <v>1022</v>
      </c>
      <c r="D110" s="527" t="s">
        <v>1105</v>
      </c>
      <c r="E110" s="527" t="s">
        <v>1106</v>
      </c>
      <c r="F110" s="539">
        <v>18</v>
      </c>
      <c r="G110" s="539">
        <v>14544</v>
      </c>
      <c r="H110" s="527">
        <v>1</v>
      </c>
      <c r="I110" s="527">
        <v>808</v>
      </c>
      <c r="J110" s="539">
        <v>21</v>
      </c>
      <c r="K110" s="539">
        <v>17115</v>
      </c>
      <c r="L110" s="527">
        <v>1.1767739273927393</v>
      </c>
      <c r="M110" s="527">
        <v>815</v>
      </c>
      <c r="N110" s="539">
        <v>19</v>
      </c>
      <c r="O110" s="539">
        <v>15960</v>
      </c>
      <c r="P110" s="532">
        <v>1.0973597359735974</v>
      </c>
      <c r="Q110" s="540">
        <v>840</v>
      </c>
    </row>
    <row r="111" spans="1:17" ht="14.4" customHeight="1" x14ac:dyDescent="0.3">
      <c r="A111" s="526" t="s">
        <v>1003</v>
      </c>
      <c r="B111" s="527" t="s">
        <v>439</v>
      </c>
      <c r="C111" s="527" t="s">
        <v>1022</v>
      </c>
      <c r="D111" s="527" t="s">
        <v>1154</v>
      </c>
      <c r="E111" s="527" t="s">
        <v>1155</v>
      </c>
      <c r="F111" s="539">
        <v>1</v>
      </c>
      <c r="G111" s="539">
        <v>1154</v>
      </c>
      <c r="H111" s="527">
        <v>1</v>
      </c>
      <c r="I111" s="527">
        <v>1154</v>
      </c>
      <c r="J111" s="539">
        <v>2</v>
      </c>
      <c r="K111" s="539">
        <v>2330</v>
      </c>
      <c r="L111" s="527">
        <v>2.0190641247833621</v>
      </c>
      <c r="M111" s="527">
        <v>1165</v>
      </c>
      <c r="N111" s="539">
        <v>6</v>
      </c>
      <c r="O111" s="539">
        <v>7200</v>
      </c>
      <c r="P111" s="532">
        <v>6.239168110918544</v>
      </c>
      <c r="Q111" s="540">
        <v>1200</v>
      </c>
    </row>
    <row r="112" spans="1:17" ht="14.4" customHeight="1" x14ac:dyDescent="0.3">
      <c r="A112" s="526" t="s">
        <v>1003</v>
      </c>
      <c r="B112" s="527" t="s">
        <v>439</v>
      </c>
      <c r="C112" s="527" t="s">
        <v>1022</v>
      </c>
      <c r="D112" s="527" t="s">
        <v>1156</v>
      </c>
      <c r="E112" s="527" t="s">
        <v>1157</v>
      </c>
      <c r="F112" s="539"/>
      <c r="G112" s="539"/>
      <c r="H112" s="527"/>
      <c r="I112" s="527"/>
      <c r="J112" s="539"/>
      <c r="K112" s="539"/>
      <c r="L112" s="527"/>
      <c r="M112" s="527"/>
      <c r="N112" s="539">
        <v>3</v>
      </c>
      <c r="O112" s="539">
        <v>5517</v>
      </c>
      <c r="P112" s="532"/>
      <c r="Q112" s="540">
        <v>1839</v>
      </c>
    </row>
    <row r="113" spans="1:17" ht="14.4" customHeight="1" x14ac:dyDescent="0.3">
      <c r="A113" s="526" t="s">
        <v>1003</v>
      </c>
      <c r="B113" s="527" t="s">
        <v>439</v>
      </c>
      <c r="C113" s="527" t="s">
        <v>1022</v>
      </c>
      <c r="D113" s="527" t="s">
        <v>1158</v>
      </c>
      <c r="E113" s="527" t="s">
        <v>1159</v>
      </c>
      <c r="F113" s="539">
        <v>2</v>
      </c>
      <c r="G113" s="539">
        <v>1756</v>
      </c>
      <c r="H113" s="527">
        <v>1</v>
      </c>
      <c r="I113" s="527">
        <v>878</v>
      </c>
      <c r="J113" s="539">
        <v>1</v>
      </c>
      <c r="K113" s="539">
        <v>885</v>
      </c>
      <c r="L113" s="527">
        <v>0.50398633257403191</v>
      </c>
      <c r="M113" s="527">
        <v>885</v>
      </c>
      <c r="N113" s="539">
        <v>4</v>
      </c>
      <c r="O113" s="539">
        <v>3636</v>
      </c>
      <c r="P113" s="532">
        <v>2.070615034168565</v>
      </c>
      <c r="Q113" s="540">
        <v>909</v>
      </c>
    </row>
    <row r="114" spans="1:17" ht="14.4" customHeight="1" x14ac:dyDescent="0.3">
      <c r="A114" s="526" t="s">
        <v>1003</v>
      </c>
      <c r="B114" s="527" t="s">
        <v>439</v>
      </c>
      <c r="C114" s="527" t="s">
        <v>1022</v>
      </c>
      <c r="D114" s="527" t="s">
        <v>1160</v>
      </c>
      <c r="E114" s="527" t="s">
        <v>1161</v>
      </c>
      <c r="F114" s="539"/>
      <c r="G114" s="539"/>
      <c r="H114" s="527"/>
      <c r="I114" s="527"/>
      <c r="J114" s="539"/>
      <c r="K114" s="539"/>
      <c r="L114" s="527"/>
      <c r="M114" s="527"/>
      <c r="N114" s="539">
        <v>2</v>
      </c>
      <c r="O114" s="539">
        <v>4440</v>
      </c>
      <c r="P114" s="532"/>
      <c r="Q114" s="540">
        <v>2220</v>
      </c>
    </row>
    <row r="115" spans="1:17" ht="14.4" customHeight="1" x14ac:dyDescent="0.3">
      <c r="A115" s="526" t="s">
        <v>1003</v>
      </c>
      <c r="B115" s="527" t="s">
        <v>439</v>
      </c>
      <c r="C115" s="527" t="s">
        <v>1022</v>
      </c>
      <c r="D115" s="527" t="s">
        <v>1162</v>
      </c>
      <c r="E115" s="527" t="s">
        <v>1163</v>
      </c>
      <c r="F115" s="539"/>
      <c r="G115" s="539"/>
      <c r="H115" s="527"/>
      <c r="I115" s="527"/>
      <c r="J115" s="539">
        <v>1</v>
      </c>
      <c r="K115" s="539">
        <v>790</v>
      </c>
      <c r="L115" s="527"/>
      <c r="M115" s="527">
        <v>790</v>
      </c>
      <c r="N115" s="539"/>
      <c r="O115" s="539"/>
      <c r="P115" s="532"/>
      <c r="Q115" s="540"/>
    </row>
    <row r="116" spans="1:17" ht="14.4" customHeight="1" x14ac:dyDescent="0.3">
      <c r="A116" s="526" t="s">
        <v>1003</v>
      </c>
      <c r="B116" s="527" t="s">
        <v>439</v>
      </c>
      <c r="C116" s="527" t="s">
        <v>1022</v>
      </c>
      <c r="D116" s="527" t="s">
        <v>1113</v>
      </c>
      <c r="E116" s="527" t="s">
        <v>1114</v>
      </c>
      <c r="F116" s="539"/>
      <c r="G116" s="539"/>
      <c r="H116" s="527"/>
      <c r="I116" s="527"/>
      <c r="J116" s="539"/>
      <c r="K116" s="539"/>
      <c r="L116" s="527"/>
      <c r="M116" s="527"/>
      <c r="N116" s="539">
        <v>1</v>
      </c>
      <c r="O116" s="539">
        <v>111</v>
      </c>
      <c r="P116" s="532"/>
      <c r="Q116" s="540">
        <v>111</v>
      </c>
    </row>
    <row r="117" spans="1:17" ht="14.4" customHeight="1" x14ac:dyDescent="0.3">
      <c r="A117" s="526" t="s">
        <v>1003</v>
      </c>
      <c r="B117" s="527" t="s">
        <v>442</v>
      </c>
      <c r="C117" s="527" t="s">
        <v>1004</v>
      </c>
      <c r="D117" s="527" t="s">
        <v>1007</v>
      </c>
      <c r="E117" s="527" t="s">
        <v>1008</v>
      </c>
      <c r="F117" s="539"/>
      <c r="G117" s="539"/>
      <c r="H117" s="527"/>
      <c r="I117" s="527"/>
      <c r="J117" s="539">
        <v>0.1</v>
      </c>
      <c r="K117" s="539">
        <v>15.1</v>
      </c>
      <c r="L117" s="527"/>
      <c r="M117" s="527">
        <v>151</v>
      </c>
      <c r="N117" s="539"/>
      <c r="O117" s="539"/>
      <c r="P117" s="532"/>
      <c r="Q117" s="540"/>
    </row>
    <row r="118" spans="1:17" ht="14.4" customHeight="1" x14ac:dyDescent="0.3">
      <c r="A118" s="526" t="s">
        <v>1003</v>
      </c>
      <c r="B118" s="527" t="s">
        <v>442</v>
      </c>
      <c r="C118" s="527" t="s">
        <v>1004</v>
      </c>
      <c r="D118" s="527" t="s">
        <v>1009</v>
      </c>
      <c r="E118" s="527" t="s">
        <v>1010</v>
      </c>
      <c r="F118" s="539"/>
      <c r="G118" s="539"/>
      <c r="H118" s="527"/>
      <c r="I118" s="527"/>
      <c r="J118" s="539">
        <v>0.2</v>
      </c>
      <c r="K118" s="539">
        <v>50.71</v>
      </c>
      <c r="L118" s="527"/>
      <c r="M118" s="527">
        <v>253.54999999999998</v>
      </c>
      <c r="N118" s="539">
        <v>0.2</v>
      </c>
      <c r="O118" s="539">
        <v>50.71</v>
      </c>
      <c r="P118" s="532"/>
      <c r="Q118" s="540">
        <v>253.54999999999998</v>
      </c>
    </row>
    <row r="119" spans="1:17" ht="14.4" customHeight="1" x14ac:dyDescent="0.3">
      <c r="A119" s="526" t="s">
        <v>1003</v>
      </c>
      <c r="B119" s="527" t="s">
        <v>442</v>
      </c>
      <c r="C119" s="527" t="s">
        <v>1022</v>
      </c>
      <c r="D119" s="527" t="s">
        <v>1031</v>
      </c>
      <c r="E119" s="527" t="s">
        <v>1032</v>
      </c>
      <c r="F119" s="539">
        <v>1</v>
      </c>
      <c r="G119" s="539">
        <v>34</v>
      </c>
      <c r="H119" s="527">
        <v>1</v>
      </c>
      <c r="I119" s="527">
        <v>34</v>
      </c>
      <c r="J119" s="539"/>
      <c r="K119" s="539"/>
      <c r="L119" s="527"/>
      <c r="M119" s="527"/>
      <c r="N119" s="539"/>
      <c r="O119" s="539"/>
      <c r="P119" s="532"/>
      <c r="Q119" s="540"/>
    </row>
    <row r="120" spans="1:17" ht="14.4" customHeight="1" x14ac:dyDescent="0.3">
      <c r="A120" s="526" t="s">
        <v>1003</v>
      </c>
      <c r="B120" s="527" t="s">
        <v>442</v>
      </c>
      <c r="C120" s="527" t="s">
        <v>1022</v>
      </c>
      <c r="D120" s="527" t="s">
        <v>1039</v>
      </c>
      <c r="E120" s="527" t="s">
        <v>1040</v>
      </c>
      <c r="F120" s="539">
        <v>1</v>
      </c>
      <c r="G120" s="539">
        <v>156</v>
      </c>
      <c r="H120" s="527">
        <v>1</v>
      </c>
      <c r="I120" s="527">
        <v>156</v>
      </c>
      <c r="J120" s="539"/>
      <c r="K120" s="539"/>
      <c r="L120" s="527"/>
      <c r="M120" s="527"/>
      <c r="N120" s="539"/>
      <c r="O120" s="539"/>
      <c r="P120" s="532"/>
      <c r="Q120" s="540"/>
    </row>
    <row r="121" spans="1:17" ht="14.4" customHeight="1" x14ac:dyDescent="0.3">
      <c r="A121" s="526" t="s">
        <v>1003</v>
      </c>
      <c r="B121" s="527" t="s">
        <v>442</v>
      </c>
      <c r="C121" s="527" t="s">
        <v>1022</v>
      </c>
      <c r="D121" s="527" t="s">
        <v>1046</v>
      </c>
      <c r="E121" s="527" t="s">
        <v>1047</v>
      </c>
      <c r="F121" s="539">
        <v>1</v>
      </c>
      <c r="G121" s="539">
        <v>527</v>
      </c>
      <c r="H121" s="527">
        <v>1</v>
      </c>
      <c r="I121" s="527">
        <v>527</v>
      </c>
      <c r="J121" s="539"/>
      <c r="K121" s="539"/>
      <c r="L121" s="527"/>
      <c r="M121" s="527"/>
      <c r="N121" s="539"/>
      <c r="O121" s="539"/>
      <c r="P121" s="532"/>
      <c r="Q121" s="540"/>
    </row>
    <row r="122" spans="1:17" ht="14.4" customHeight="1" x14ac:dyDescent="0.3">
      <c r="A122" s="526" t="s">
        <v>1003</v>
      </c>
      <c r="B122" s="527" t="s">
        <v>442</v>
      </c>
      <c r="C122" s="527" t="s">
        <v>1022</v>
      </c>
      <c r="D122" s="527" t="s">
        <v>1048</v>
      </c>
      <c r="E122" s="527" t="s">
        <v>1049</v>
      </c>
      <c r="F122" s="539"/>
      <c r="G122" s="539"/>
      <c r="H122" s="527"/>
      <c r="I122" s="527"/>
      <c r="J122" s="539">
        <v>2</v>
      </c>
      <c r="K122" s="539">
        <v>972</v>
      </c>
      <c r="L122" s="527"/>
      <c r="M122" s="527">
        <v>486</v>
      </c>
      <c r="N122" s="539"/>
      <c r="O122" s="539"/>
      <c r="P122" s="532"/>
      <c r="Q122" s="540"/>
    </row>
    <row r="123" spans="1:17" ht="14.4" customHeight="1" x14ac:dyDescent="0.3">
      <c r="A123" s="526" t="s">
        <v>1003</v>
      </c>
      <c r="B123" s="527" t="s">
        <v>442</v>
      </c>
      <c r="C123" s="527" t="s">
        <v>1022</v>
      </c>
      <c r="D123" s="527" t="s">
        <v>1052</v>
      </c>
      <c r="E123" s="527" t="s">
        <v>1053</v>
      </c>
      <c r="F123" s="539">
        <v>4</v>
      </c>
      <c r="G123" s="539">
        <v>4004</v>
      </c>
      <c r="H123" s="527">
        <v>1</v>
      </c>
      <c r="I123" s="527">
        <v>1001</v>
      </c>
      <c r="J123" s="539">
        <v>2</v>
      </c>
      <c r="K123" s="539">
        <v>2024</v>
      </c>
      <c r="L123" s="527">
        <v>0.50549450549450547</v>
      </c>
      <c r="M123" s="527">
        <v>1012</v>
      </c>
      <c r="N123" s="539"/>
      <c r="O123" s="539"/>
      <c r="P123" s="532"/>
      <c r="Q123" s="540"/>
    </row>
    <row r="124" spans="1:17" ht="14.4" customHeight="1" x14ac:dyDescent="0.3">
      <c r="A124" s="526" t="s">
        <v>1003</v>
      </c>
      <c r="B124" s="527" t="s">
        <v>442</v>
      </c>
      <c r="C124" s="527" t="s">
        <v>1022</v>
      </c>
      <c r="D124" s="527" t="s">
        <v>1126</v>
      </c>
      <c r="E124" s="527" t="s">
        <v>1127</v>
      </c>
      <c r="F124" s="539"/>
      <c r="G124" s="539"/>
      <c r="H124" s="527"/>
      <c r="I124" s="527"/>
      <c r="J124" s="539">
        <v>1</v>
      </c>
      <c r="K124" s="539">
        <v>946</v>
      </c>
      <c r="L124" s="527"/>
      <c r="M124" s="527">
        <v>946</v>
      </c>
      <c r="N124" s="539"/>
      <c r="O124" s="539"/>
      <c r="P124" s="532"/>
      <c r="Q124" s="540"/>
    </row>
    <row r="125" spans="1:17" ht="14.4" customHeight="1" x14ac:dyDescent="0.3">
      <c r="A125" s="526" t="s">
        <v>1003</v>
      </c>
      <c r="B125" s="527" t="s">
        <v>442</v>
      </c>
      <c r="C125" s="527" t="s">
        <v>1022</v>
      </c>
      <c r="D125" s="527" t="s">
        <v>1130</v>
      </c>
      <c r="E125" s="527" t="s">
        <v>1131</v>
      </c>
      <c r="F125" s="539">
        <v>1</v>
      </c>
      <c r="G125" s="539">
        <v>1625</v>
      </c>
      <c r="H125" s="527">
        <v>1</v>
      </c>
      <c r="I125" s="527">
        <v>1625</v>
      </c>
      <c r="J125" s="539"/>
      <c r="K125" s="539"/>
      <c r="L125" s="527"/>
      <c r="M125" s="527"/>
      <c r="N125" s="539">
        <v>1</v>
      </c>
      <c r="O125" s="539">
        <v>1677</v>
      </c>
      <c r="P125" s="532">
        <v>1.032</v>
      </c>
      <c r="Q125" s="540">
        <v>1677</v>
      </c>
    </row>
    <row r="126" spans="1:17" ht="14.4" customHeight="1" x14ac:dyDescent="0.3">
      <c r="A126" s="526" t="s">
        <v>1003</v>
      </c>
      <c r="B126" s="527" t="s">
        <v>442</v>
      </c>
      <c r="C126" s="527" t="s">
        <v>1022</v>
      </c>
      <c r="D126" s="527" t="s">
        <v>1132</v>
      </c>
      <c r="E126" s="527" t="s">
        <v>1133</v>
      </c>
      <c r="F126" s="539"/>
      <c r="G126" s="539"/>
      <c r="H126" s="527"/>
      <c r="I126" s="527"/>
      <c r="J126" s="539">
        <v>1</v>
      </c>
      <c r="K126" s="539">
        <v>1340</v>
      </c>
      <c r="L126" s="527"/>
      <c r="M126" s="527">
        <v>1340</v>
      </c>
      <c r="N126" s="539"/>
      <c r="O126" s="539"/>
      <c r="P126" s="532"/>
      <c r="Q126" s="540"/>
    </row>
    <row r="127" spans="1:17" ht="14.4" customHeight="1" x14ac:dyDescent="0.3">
      <c r="A127" s="526" t="s">
        <v>1003</v>
      </c>
      <c r="B127" s="527" t="s">
        <v>442</v>
      </c>
      <c r="C127" s="527" t="s">
        <v>1022</v>
      </c>
      <c r="D127" s="527" t="s">
        <v>1134</v>
      </c>
      <c r="E127" s="527" t="s">
        <v>1135</v>
      </c>
      <c r="F127" s="539"/>
      <c r="G127" s="539"/>
      <c r="H127" s="527"/>
      <c r="I127" s="527"/>
      <c r="J127" s="539">
        <v>2</v>
      </c>
      <c r="K127" s="539">
        <v>3022</v>
      </c>
      <c r="L127" s="527"/>
      <c r="M127" s="527">
        <v>1511</v>
      </c>
      <c r="N127" s="539"/>
      <c r="O127" s="539"/>
      <c r="P127" s="532"/>
      <c r="Q127" s="540"/>
    </row>
    <row r="128" spans="1:17" ht="14.4" customHeight="1" x14ac:dyDescent="0.3">
      <c r="A128" s="526" t="s">
        <v>1003</v>
      </c>
      <c r="B128" s="527" t="s">
        <v>442</v>
      </c>
      <c r="C128" s="527" t="s">
        <v>1022</v>
      </c>
      <c r="D128" s="527" t="s">
        <v>1064</v>
      </c>
      <c r="E128" s="527" t="s">
        <v>1065</v>
      </c>
      <c r="F128" s="539">
        <v>1</v>
      </c>
      <c r="G128" s="539">
        <v>106</v>
      </c>
      <c r="H128" s="527">
        <v>1</v>
      </c>
      <c r="I128" s="527">
        <v>106</v>
      </c>
      <c r="J128" s="539">
        <v>1</v>
      </c>
      <c r="K128" s="539">
        <v>108</v>
      </c>
      <c r="L128" s="527">
        <v>1.0188679245283019</v>
      </c>
      <c r="M128" s="527">
        <v>108</v>
      </c>
      <c r="N128" s="539"/>
      <c r="O128" s="539"/>
      <c r="P128" s="532"/>
      <c r="Q128" s="540"/>
    </row>
    <row r="129" spans="1:17" ht="14.4" customHeight="1" x14ac:dyDescent="0.3">
      <c r="A129" s="526" t="s">
        <v>1003</v>
      </c>
      <c r="B129" s="527" t="s">
        <v>442</v>
      </c>
      <c r="C129" s="527" t="s">
        <v>1022</v>
      </c>
      <c r="D129" s="527" t="s">
        <v>1066</v>
      </c>
      <c r="E129" s="527" t="s">
        <v>1067</v>
      </c>
      <c r="F129" s="539">
        <v>4</v>
      </c>
      <c r="G129" s="539">
        <v>324</v>
      </c>
      <c r="H129" s="527">
        <v>1</v>
      </c>
      <c r="I129" s="527">
        <v>81</v>
      </c>
      <c r="J129" s="539">
        <v>7</v>
      </c>
      <c r="K129" s="539">
        <v>574</v>
      </c>
      <c r="L129" s="527">
        <v>1.771604938271605</v>
      </c>
      <c r="M129" s="527">
        <v>82</v>
      </c>
      <c r="N129" s="539">
        <v>2</v>
      </c>
      <c r="O129" s="539">
        <v>172</v>
      </c>
      <c r="P129" s="532">
        <v>0.53086419753086422</v>
      </c>
      <c r="Q129" s="540">
        <v>86</v>
      </c>
    </row>
    <row r="130" spans="1:17" ht="14.4" customHeight="1" x14ac:dyDescent="0.3">
      <c r="A130" s="526" t="s">
        <v>1003</v>
      </c>
      <c r="B130" s="527" t="s">
        <v>442</v>
      </c>
      <c r="C130" s="527" t="s">
        <v>1022</v>
      </c>
      <c r="D130" s="527" t="s">
        <v>1077</v>
      </c>
      <c r="E130" s="527" t="s">
        <v>1078</v>
      </c>
      <c r="F130" s="539">
        <v>1</v>
      </c>
      <c r="G130" s="539">
        <v>86</v>
      </c>
      <c r="H130" s="527">
        <v>1</v>
      </c>
      <c r="I130" s="527">
        <v>86</v>
      </c>
      <c r="J130" s="539">
        <v>1</v>
      </c>
      <c r="K130" s="539">
        <v>158</v>
      </c>
      <c r="L130" s="527">
        <v>1.8372093023255813</v>
      </c>
      <c r="M130" s="527">
        <v>158</v>
      </c>
      <c r="N130" s="539"/>
      <c r="O130" s="539"/>
      <c r="P130" s="532"/>
      <c r="Q130" s="540"/>
    </row>
    <row r="131" spans="1:17" ht="14.4" customHeight="1" x14ac:dyDescent="0.3">
      <c r="A131" s="526" t="s">
        <v>1003</v>
      </c>
      <c r="B131" s="527" t="s">
        <v>442</v>
      </c>
      <c r="C131" s="527" t="s">
        <v>1022</v>
      </c>
      <c r="D131" s="527" t="s">
        <v>1148</v>
      </c>
      <c r="E131" s="527" t="s">
        <v>1149</v>
      </c>
      <c r="F131" s="539"/>
      <c r="G131" s="539"/>
      <c r="H131" s="527"/>
      <c r="I131" s="527"/>
      <c r="J131" s="539">
        <v>1</v>
      </c>
      <c r="K131" s="539">
        <v>3535</v>
      </c>
      <c r="L131" s="527"/>
      <c r="M131" s="527">
        <v>3535</v>
      </c>
      <c r="N131" s="539"/>
      <c r="O131" s="539"/>
      <c r="P131" s="532"/>
      <c r="Q131" s="540"/>
    </row>
    <row r="132" spans="1:17" ht="14.4" customHeight="1" x14ac:dyDescent="0.3">
      <c r="A132" s="526" t="s">
        <v>1003</v>
      </c>
      <c r="B132" s="527" t="s">
        <v>442</v>
      </c>
      <c r="C132" s="527" t="s">
        <v>1022</v>
      </c>
      <c r="D132" s="527" t="s">
        <v>1152</v>
      </c>
      <c r="E132" s="527" t="s">
        <v>1153</v>
      </c>
      <c r="F132" s="539">
        <v>1</v>
      </c>
      <c r="G132" s="539">
        <v>994</v>
      </c>
      <c r="H132" s="527">
        <v>1</v>
      </c>
      <c r="I132" s="527">
        <v>994</v>
      </c>
      <c r="J132" s="539"/>
      <c r="K132" s="539"/>
      <c r="L132" s="527"/>
      <c r="M132" s="527"/>
      <c r="N132" s="539">
        <v>1</v>
      </c>
      <c r="O132" s="539">
        <v>1033</v>
      </c>
      <c r="P132" s="532">
        <v>1.0392354124748491</v>
      </c>
      <c r="Q132" s="540">
        <v>1033</v>
      </c>
    </row>
    <row r="133" spans="1:17" ht="14.4" customHeight="1" x14ac:dyDescent="0.3">
      <c r="A133" s="526" t="s">
        <v>1003</v>
      </c>
      <c r="B133" s="527" t="s">
        <v>442</v>
      </c>
      <c r="C133" s="527" t="s">
        <v>1022</v>
      </c>
      <c r="D133" s="527" t="s">
        <v>1105</v>
      </c>
      <c r="E133" s="527" t="s">
        <v>1106</v>
      </c>
      <c r="F133" s="539">
        <v>1</v>
      </c>
      <c r="G133" s="539">
        <v>808</v>
      </c>
      <c r="H133" s="527">
        <v>1</v>
      </c>
      <c r="I133" s="527">
        <v>808</v>
      </c>
      <c r="J133" s="539">
        <v>1</v>
      </c>
      <c r="K133" s="539">
        <v>815</v>
      </c>
      <c r="L133" s="527">
        <v>1.0086633663366336</v>
      </c>
      <c r="M133" s="527">
        <v>815</v>
      </c>
      <c r="N133" s="539"/>
      <c r="O133" s="539"/>
      <c r="P133" s="532"/>
      <c r="Q133" s="540"/>
    </row>
    <row r="134" spans="1:17" ht="14.4" customHeight="1" x14ac:dyDescent="0.3">
      <c r="A134" s="526" t="s">
        <v>1003</v>
      </c>
      <c r="B134" s="527" t="s">
        <v>442</v>
      </c>
      <c r="C134" s="527" t="s">
        <v>1022</v>
      </c>
      <c r="D134" s="527" t="s">
        <v>1164</v>
      </c>
      <c r="E134" s="527" t="s">
        <v>1165</v>
      </c>
      <c r="F134" s="539">
        <v>3</v>
      </c>
      <c r="G134" s="539">
        <v>1707</v>
      </c>
      <c r="H134" s="527">
        <v>1</v>
      </c>
      <c r="I134" s="527">
        <v>569</v>
      </c>
      <c r="J134" s="539"/>
      <c r="K134" s="539"/>
      <c r="L134" s="527"/>
      <c r="M134" s="527"/>
      <c r="N134" s="539"/>
      <c r="O134" s="539"/>
      <c r="P134" s="532"/>
      <c r="Q134" s="540"/>
    </row>
    <row r="135" spans="1:17" ht="14.4" customHeight="1" x14ac:dyDescent="0.3">
      <c r="A135" s="526" t="s">
        <v>1003</v>
      </c>
      <c r="B135" s="527" t="s">
        <v>442</v>
      </c>
      <c r="C135" s="527" t="s">
        <v>1022</v>
      </c>
      <c r="D135" s="527" t="s">
        <v>1160</v>
      </c>
      <c r="E135" s="527" t="s">
        <v>1161</v>
      </c>
      <c r="F135" s="539"/>
      <c r="G135" s="539"/>
      <c r="H135" s="527"/>
      <c r="I135" s="527"/>
      <c r="J135" s="539">
        <v>2</v>
      </c>
      <c r="K135" s="539">
        <v>4274</v>
      </c>
      <c r="L135" s="527"/>
      <c r="M135" s="527">
        <v>2137</v>
      </c>
      <c r="N135" s="539"/>
      <c r="O135" s="539"/>
      <c r="P135" s="532"/>
      <c r="Q135" s="540"/>
    </row>
    <row r="136" spans="1:17" ht="14.4" customHeight="1" thickBot="1" x14ac:dyDescent="0.35">
      <c r="A136" s="518" t="s">
        <v>1003</v>
      </c>
      <c r="B136" s="519" t="s">
        <v>442</v>
      </c>
      <c r="C136" s="519" t="s">
        <v>1022</v>
      </c>
      <c r="D136" s="519" t="s">
        <v>1113</v>
      </c>
      <c r="E136" s="519" t="s">
        <v>1114</v>
      </c>
      <c r="F136" s="541"/>
      <c r="G136" s="541"/>
      <c r="H136" s="519"/>
      <c r="I136" s="519"/>
      <c r="J136" s="541">
        <v>1</v>
      </c>
      <c r="K136" s="541">
        <v>107</v>
      </c>
      <c r="L136" s="519"/>
      <c r="M136" s="519">
        <v>107</v>
      </c>
      <c r="N136" s="541"/>
      <c r="O136" s="541"/>
      <c r="P136" s="524"/>
      <c r="Q136" s="542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3" bestFit="1" customWidth="1"/>
    <col min="2" max="2" width="7.77734375" style="109" customWidth="1"/>
    <col min="3" max="3" width="0.109375" style="133" hidden="1" customWidth="1"/>
    <col min="4" max="4" width="7.77734375" style="109" customWidth="1"/>
    <col min="5" max="5" width="5.44140625" style="133" hidden="1" customWidth="1"/>
    <col min="6" max="6" width="7.77734375" style="109" customWidth="1"/>
    <col min="7" max="7" width="7.77734375" style="214" customWidth="1"/>
    <col min="8" max="8" width="7.77734375" style="109" customWidth="1"/>
    <col min="9" max="9" width="5.44140625" style="133" hidden="1" customWidth="1"/>
    <col min="10" max="10" width="7.77734375" style="109" customWidth="1"/>
    <col min="11" max="11" width="5.44140625" style="133" hidden="1" customWidth="1"/>
    <col min="12" max="12" width="7.77734375" style="109" customWidth="1"/>
    <col min="13" max="13" width="7.77734375" style="214" customWidth="1"/>
    <col min="14" max="14" width="7.77734375" style="109" customWidth="1"/>
    <col min="15" max="15" width="5" style="133" hidden="1" customWidth="1"/>
    <col min="16" max="16" width="7.77734375" style="109" customWidth="1"/>
    <col min="17" max="17" width="5" style="133" hidden="1" customWidth="1"/>
    <col min="18" max="18" width="7.77734375" style="109" customWidth="1"/>
    <col min="19" max="19" width="7.77734375" style="214" customWidth="1"/>
    <col min="20" max="16384" width="8.88671875" style="133"/>
  </cols>
  <sheetData>
    <row r="1" spans="1:19" ht="18.600000000000001" customHeight="1" thickBot="1" x14ac:dyDescent="0.4">
      <c r="A1" s="324" t="s">
        <v>130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4.4" customHeight="1" thickBot="1" x14ac:dyDescent="0.35">
      <c r="A2" s="239" t="s">
        <v>251</v>
      </c>
      <c r="B2" s="230"/>
      <c r="C2" s="114"/>
      <c r="D2" s="230"/>
      <c r="E2" s="114"/>
      <c r="F2" s="230"/>
      <c r="G2" s="231"/>
      <c r="H2" s="230"/>
      <c r="I2" s="114"/>
      <c r="J2" s="230"/>
      <c r="K2" s="114"/>
      <c r="L2" s="230"/>
      <c r="M2" s="231"/>
      <c r="N2" s="230"/>
      <c r="O2" s="114"/>
      <c r="P2" s="230"/>
      <c r="Q2" s="114"/>
      <c r="R2" s="230"/>
      <c r="S2" s="231"/>
    </row>
    <row r="3" spans="1:19" ht="14.4" customHeight="1" thickBot="1" x14ac:dyDescent="0.35">
      <c r="A3" s="224" t="s">
        <v>132</v>
      </c>
      <c r="B3" s="225">
        <f>SUBTOTAL(9,B6:B1048576)</f>
        <v>93730</v>
      </c>
      <c r="C3" s="226">
        <f t="shared" ref="C3:R3" si="0">SUBTOTAL(9,C6:C1048576)</f>
        <v>15</v>
      </c>
      <c r="D3" s="226">
        <f t="shared" si="0"/>
        <v>78602</v>
      </c>
      <c r="E3" s="226">
        <f t="shared" si="0"/>
        <v>58.3800753795622</v>
      </c>
      <c r="F3" s="226">
        <f t="shared" si="0"/>
        <v>57291</v>
      </c>
      <c r="G3" s="229">
        <f>IF(B3&lt;&gt;0,F3/B3,"")</f>
        <v>0.61123439667128987</v>
      </c>
      <c r="H3" s="225">
        <f t="shared" si="0"/>
        <v>0</v>
      </c>
      <c r="I3" s="226">
        <f t="shared" si="0"/>
        <v>0</v>
      </c>
      <c r="J3" s="226">
        <f t="shared" si="0"/>
        <v>0</v>
      </c>
      <c r="K3" s="226">
        <f t="shared" si="0"/>
        <v>0</v>
      </c>
      <c r="L3" s="226">
        <f t="shared" si="0"/>
        <v>0</v>
      </c>
      <c r="M3" s="227" t="str">
        <f>IF(H3&lt;&gt;0,L3/H3,"")</f>
        <v/>
      </c>
      <c r="N3" s="228">
        <f t="shared" si="0"/>
        <v>0</v>
      </c>
      <c r="O3" s="226">
        <f t="shared" si="0"/>
        <v>0</v>
      </c>
      <c r="P3" s="226">
        <f t="shared" si="0"/>
        <v>0</v>
      </c>
      <c r="Q3" s="226">
        <f t="shared" si="0"/>
        <v>0</v>
      </c>
      <c r="R3" s="226">
        <f t="shared" si="0"/>
        <v>0</v>
      </c>
      <c r="S3" s="227" t="str">
        <f>IF(N3&lt;&gt;0,R3/N3,"")</f>
        <v/>
      </c>
    </row>
    <row r="4" spans="1:19" ht="14.4" customHeight="1" x14ac:dyDescent="0.3">
      <c r="A4" s="388" t="s">
        <v>106</v>
      </c>
      <c r="B4" s="389" t="s">
        <v>100</v>
      </c>
      <c r="C4" s="390"/>
      <c r="D4" s="390"/>
      <c r="E4" s="390"/>
      <c r="F4" s="390"/>
      <c r="G4" s="391"/>
      <c r="H4" s="389" t="s">
        <v>101</v>
      </c>
      <c r="I4" s="390"/>
      <c r="J4" s="390"/>
      <c r="K4" s="390"/>
      <c r="L4" s="390"/>
      <c r="M4" s="391"/>
      <c r="N4" s="389" t="s">
        <v>102</v>
      </c>
      <c r="O4" s="390"/>
      <c r="P4" s="390"/>
      <c r="Q4" s="390"/>
      <c r="R4" s="390"/>
      <c r="S4" s="391"/>
    </row>
    <row r="5" spans="1:19" ht="14.4" customHeight="1" thickBot="1" x14ac:dyDescent="0.35">
      <c r="A5" s="593"/>
      <c r="B5" s="594">
        <v>2014</v>
      </c>
      <c r="C5" s="595"/>
      <c r="D5" s="595">
        <v>2015</v>
      </c>
      <c r="E5" s="595"/>
      <c r="F5" s="595">
        <v>2016</v>
      </c>
      <c r="G5" s="596" t="s">
        <v>2</v>
      </c>
      <c r="H5" s="594">
        <v>2014</v>
      </c>
      <c r="I5" s="595"/>
      <c r="J5" s="595">
        <v>2015</v>
      </c>
      <c r="K5" s="595"/>
      <c r="L5" s="595">
        <v>2016</v>
      </c>
      <c r="M5" s="596" t="s">
        <v>2</v>
      </c>
      <c r="N5" s="594">
        <v>2014</v>
      </c>
      <c r="O5" s="595"/>
      <c r="P5" s="595">
        <v>2015</v>
      </c>
      <c r="Q5" s="595"/>
      <c r="R5" s="595">
        <v>2016</v>
      </c>
      <c r="S5" s="596" t="s">
        <v>2</v>
      </c>
    </row>
    <row r="6" spans="1:19" ht="14.4" customHeight="1" x14ac:dyDescent="0.3">
      <c r="A6" s="550" t="s">
        <v>1167</v>
      </c>
      <c r="B6" s="600"/>
      <c r="C6" s="449"/>
      <c r="D6" s="600">
        <v>470</v>
      </c>
      <c r="E6" s="449"/>
      <c r="F6" s="600">
        <v>126</v>
      </c>
      <c r="G6" s="472"/>
      <c r="H6" s="600"/>
      <c r="I6" s="449"/>
      <c r="J6" s="600"/>
      <c r="K6" s="449"/>
      <c r="L6" s="600"/>
      <c r="M6" s="472"/>
      <c r="N6" s="600"/>
      <c r="O6" s="449"/>
      <c r="P6" s="600"/>
      <c r="Q6" s="449"/>
      <c r="R6" s="600"/>
      <c r="S6" s="125"/>
    </row>
    <row r="7" spans="1:19" ht="14.4" customHeight="1" x14ac:dyDescent="0.3">
      <c r="A7" s="551" t="s">
        <v>1168</v>
      </c>
      <c r="B7" s="601"/>
      <c r="C7" s="527"/>
      <c r="D7" s="601">
        <v>3585</v>
      </c>
      <c r="E7" s="527"/>
      <c r="F7" s="601"/>
      <c r="G7" s="532"/>
      <c r="H7" s="601"/>
      <c r="I7" s="527"/>
      <c r="J7" s="601"/>
      <c r="K7" s="527"/>
      <c r="L7" s="601"/>
      <c r="M7" s="532"/>
      <c r="N7" s="601"/>
      <c r="O7" s="527"/>
      <c r="P7" s="601"/>
      <c r="Q7" s="527"/>
      <c r="R7" s="601"/>
      <c r="S7" s="533"/>
    </row>
    <row r="8" spans="1:19" ht="14.4" customHeight="1" x14ac:dyDescent="0.3">
      <c r="A8" s="551" t="s">
        <v>1169</v>
      </c>
      <c r="B8" s="601">
        <v>464</v>
      </c>
      <c r="C8" s="527">
        <v>1</v>
      </c>
      <c r="D8" s="601">
        <v>118</v>
      </c>
      <c r="E8" s="527">
        <v>0.25431034482758619</v>
      </c>
      <c r="F8" s="601">
        <v>2518</v>
      </c>
      <c r="G8" s="532">
        <v>5.4267241379310347</v>
      </c>
      <c r="H8" s="601"/>
      <c r="I8" s="527"/>
      <c r="J8" s="601"/>
      <c r="K8" s="527"/>
      <c r="L8" s="601"/>
      <c r="M8" s="532"/>
      <c r="N8" s="601"/>
      <c r="O8" s="527"/>
      <c r="P8" s="601"/>
      <c r="Q8" s="527"/>
      <c r="R8" s="601"/>
      <c r="S8" s="533"/>
    </row>
    <row r="9" spans="1:19" ht="14.4" customHeight="1" x14ac:dyDescent="0.3">
      <c r="A9" s="551" t="s">
        <v>1170</v>
      </c>
      <c r="B9" s="601">
        <v>3856</v>
      </c>
      <c r="C9" s="527">
        <v>1</v>
      </c>
      <c r="D9" s="601">
        <v>5535</v>
      </c>
      <c r="E9" s="527">
        <v>1.4354253112033195</v>
      </c>
      <c r="F9" s="601">
        <v>2952</v>
      </c>
      <c r="G9" s="532">
        <v>0.76556016597510368</v>
      </c>
      <c r="H9" s="601"/>
      <c r="I9" s="527"/>
      <c r="J9" s="601"/>
      <c r="K9" s="527"/>
      <c r="L9" s="601"/>
      <c r="M9" s="532"/>
      <c r="N9" s="601"/>
      <c r="O9" s="527"/>
      <c r="P9" s="601"/>
      <c r="Q9" s="527"/>
      <c r="R9" s="601"/>
      <c r="S9" s="533"/>
    </row>
    <row r="10" spans="1:19" ht="14.4" customHeight="1" x14ac:dyDescent="0.3">
      <c r="A10" s="551" t="s">
        <v>1171</v>
      </c>
      <c r="B10" s="601">
        <v>348</v>
      </c>
      <c r="C10" s="527">
        <v>1</v>
      </c>
      <c r="D10" s="601">
        <v>236</v>
      </c>
      <c r="E10" s="527">
        <v>0.67816091954022983</v>
      </c>
      <c r="F10" s="601"/>
      <c r="G10" s="532"/>
      <c r="H10" s="601"/>
      <c r="I10" s="527"/>
      <c r="J10" s="601"/>
      <c r="K10" s="527"/>
      <c r="L10" s="601"/>
      <c r="M10" s="532"/>
      <c r="N10" s="601"/>
      <c r="O10" s="527"/>
      <c r="P10" s="601"/>
      <c r="Q10" s="527"/>
      <c r="R10" s="601"/>
      <c r="S10" s="533"/>
    </row>
    <row r="11" spans="1:19" ht="14.4" customHeight="1" x14ac:dyDescent="0.3">
      <c r="A11" s="551" t="s">
        <v>1172</v>
      </c>
      <c r="B11" s="601"/>
      <c r="C11" s="527"/>
      <c r="D11" s="601">
        <v>236</v>
      </c>
      <c r="E11" s="527"/>
      <c r="F11" s="601"/>
      <c r="G11" s="532"/>
      <c r="H11" s="601"/>
      <c r="I11" s="527"/>
      <c r="J11" s="601"/>
      <c r="K11" s="527"/>
      <c r="L11" s="601"/>
      <c r="M11" s="532"/>
      <c r="N11" s="601"/>
      <c r="O11" s="527"/>
      <c r="P11" s="601"/>
      <c r="Q11" s="527"/>
      <c r="R11" s="601"/>
      <c r="S11" s="533"/>
    </row>
    <row r="12" spans="1:19" ht="14.4" customHeight="1" x14ac:dyDescent="0.3">
      <c r="A12" s="551" t="s">
        <v>1173</v>
      </c>
      <c r="B12" s="601">
        <v>116</v>
      </c>
      <c r="C12" s="527">
        <v>1</v>
      </c>
      <c r="D12" s="601">
        <v>2066</v>
      </c>
      <c r="E12" s="527">
        <v>17.810344827586206</v>
      </c>
      <c r="F12" s="601">
        <v>2437</v>
      </c>
      <c r="G12" s="532">
        <v>21.008620689655171</v>
      </c>
      <c r="H12" s="601"/>
      <c r="I12" s="527"/>
      <c r="J12" s="601"/>
      <c r="K12" s="527"/>
      <c r="L12" s="601"/>
      <c r="M12" s="532"/>
      <c r="N12" s="601"/>
      <c r="O12" s="527"/>
      <c r="P12" s="601"/>
      <c r="Q12" s="527"/>
      <c r="R12" s="601"/>
      <c r="S12" s="533"/>
    </row>
    <row r="13" spans="1:19" ht="14.4" customHeight="1" x14ac:dyDescent="0.3">
      <c r="A13" s="551" t="s">
        <v>1174</v>
      </c>
      <c r="B13" s="601"/>
      <c r="C13" s="527"/>
      <c r="D13" s="601"/>
      <c r="E13" s="527"/>
      <c r="F13" s="601">
        <v>126</v>
      </c>
      <c r="G13" s="532"/>
      <c r="H13" s="601"/>
      <c r="I13" s="527"/>
      <c r="J13" s="601"/>
      <c r="K13" s="527"/>
      <c r="L13" s="601"/>
      <c r="M13" s="532"/>
      <c r="N13" s="601"/>
      <c r="O13" s="527"/>
      <c r="P13" s="601"/>
      <c r="Q13" s="527"/>
      <c r="R13" s="601"/>
      <c r="S13" s="533"/>
    </row>
    <row r="14" spans="1:19" ht="14.4" customHeight="1" x14ac:dyDescent="0.3">
      <c r="A14" s="551" t="s">
        <v>1175</v>
      </c>
      <c r="B14" s="601"/>
      <c r="C14" s="527"/>
      <c r="D14" s="601">
        <v>235</v>
      </c>
      <c r="E14" s="527"/>
      <c r="F14" s="601"/>
      <c r="G14" s="532"/>
      <c r="H14" s="601"/>
      <c r="I14" s="527"/>
      <c r="J14" s="601"/>
      <c r="K14" s="527"/>
      <c r="L14" s="601"/>
      <c r="M14" s="532"/>
      <c r="N14" s="601"/>
      <c r="O14" s="527"/>
      <c r="P14" s="601"/>
      <c r="Q14" s="527"/>
      <c r="R14" s="601"/>
      <c r="S14" s="533"/>
    </row>
    <row r="15" spans="1:19" ht="14.4" customHeight="1" x14ac:dyDescent="0.3">
      <c r="A15" s="551" t="s">
        <v>1176</v>
      </c>
      <c r="B15" s="601">
        <v>79744</v>
      </c>
      <c r="C15" s="527">
        <v>1</v>
      </c>
      <c r="D15" s="601">
        <v>56339</v>
      </c>
      <c r="E15" s="527">
        <v>0.7064982945425361</v>
      </c>
      <c r="F15" s="601">
        <v>39613</v>
      </c>
      <c r="G15" s="532">
        <v>0.49675210674157305</v>
      </c>
      <c r="H15" s="601"/>
      <c r="I15" s="527"/>
      <c r="J15" s="601"/>
      <c r="K15" s="527"/>
      <c r="L15" s="601"/>
      <c r="M15" s="532"/>
      <c r="N15" s="601"/>
      <c r="O15" s="527"/>
      <c r="P15" s="601"/>
      <c r="Q15" s="527"/>
      <c r="R15" s="601"/>
      <c r="S15" s="533"/>
    </row>
    <row r="16" spans="1:19" ht="14.4" customHeight="1" x14ac:dyDescent="0.3">
      <c r="A16" s="551" t="s">
        <v>1177</v>
      </c>
      <c r="B16" s="601">
        <v>2341</v>
      </c>
      <c r="C16" s="527">
        <v>1</v>
      </c>
      <c r="D16" s="601">
        <v>388</v>
      </c>
      <c r="E16" s="527">
        <v>0.16574113626655276</v>
      </c>
      <c r="F16" s="601"/>
      <c r="G16" s="532"/>
      <c r="H16" s="601"/>
      <c r="I16" s="527"/>
      <c r="J16" s="601"/>
      <c r="K16" s="527"/>
      <c r="L16" s="601"/>
      <c r="M16" s="532"/>
      <c r="N16" s="601"/>
      <c r="O16" s="527"/>
      <c r="P16" s="601"/>
      <c r="Q16" s="527"/>
      <c r="R16" s="601"/>
      <c r="S16" s="533"/>
    </row>
    <row r="17" spans="1:19" ht="14.4" customHeight="1" x14ac:dyDescent="0.3">
      <c r="A17" s="551" t="s">
        <v>1178</v>
      </c>
      <c r="B17" s="601">
        <v>116</v>
      </c>
      <c r="C17" s="527">
        <v>1</v>
      </c>
      <c r="D17" s="601">
        <v>118</v>
      </c>
      <c r="E17" s="527">
        <v>1.0172413793103448</v>
      </c>
      <c r="F17" s="601">
        <v>1261</v>
      </c>
      <c r="G17" s="532">
        <v>10.870689655172415</v>
      </c>
      <c r="H17" s="601"/>
      <c r="I17" s="527"/>
      <c r="J17" s="601"/>
      <c r="K17" s="527"/>
      <c r="L17" s="601"/>
      <c r="M17" s="532"/>
      <c r="N17" s="601"/>
      <c r="O17" s="527"/>
      <c r="P17" s="601"/>
      <c r="Q17" s="527"/>
      <c r="R17" s="601"/>
      <c r="S17" s="533"/>
    </row>
    <row r="18" spans="1:19" ht="14.4" customHeight="1" x14ac:dyDescent="0.3">
      <c r="A18" s="551" t="s">
        <v>1179</v>
      </c>
      <c r="B18" s="601"/>
      <c r="C18" s="527"/>
      <c r="D18" s="601">
        <v>470</v>
      </c>
      <c r="E18" s="527"/>
      <c r="F18" s="601"/>
      <c r="G18" s="532"/>
      <c r="H18" s="601"/>
      <c r="I18" s="527"/>
      <c r="J18" s="601"/>
      <c r="K18" s="527"/>
      <c r="L18" s="601"/>
      <c r="M18" s="532"/>
      <c r="N18" s="601"/>
      <c r="O18" s="527"/>
      <c r="P18" s="601"/>
      <c r="Q18" s="527"/>
      <c r="R18" s="601"/>
      <c r="S18" s="533"/>
    </row>
    <row r="19" spans="1:19" ht="14.4" customHeight="1" x14ac:dyDescent="0.3">
      <c r="A19" s="551" t="s">
        <v>1180</v>
      </c>
      <c r="B19" s="601"/>
      <c r="C19" s="527"/>
      <c r="D19" s="601"/>
      <c r="E19" s="527"/>
      <c r="F19" s="601">
        <v>1120</v>
      </c>
      <c r="G19" s="532"/>
      <c r="H19" s="601"/>
      <c r="I19" s="527"/>
      <c r="J19" s="601"/>
      <c r="K19" s="527"/>
      <c r="L19" s="601"/>
      <c r="M19" s="532"/>
      <c r="N19" s="601"/>
      <c r="O19" s="527"/>
      <c r="P19" s="601"/>
      <c r="Q19" s="527"/>
      <c r="R19" s="601"/>
      <c r="S19" s="533"/>
    </row>
    <row r="20" spans="1:19" ht="14.4" customHeight="1" x14ac:dyDescent="0.3">
      <c r="A20" s="551" t="s">
        <v>1181</v>
      </c>
      <c r="B20" s="601">
        <v>1065</v>
      </c>
      <c r="C20" s="527">
        <v>1</v>
      </c>
      <c r="D20" s="601">
        <v>1674</v>
      </c>
      <c r="E20" s="527">
        <v>1.5718309859154929</v>
      </c>
      <c r="F20" s="601"/>
      <c r="G20" s="532"/>
      <c r="H20" s="601"/>
      <c r="I20" s="527"/>
      <c r="J20" s="601"/>
      <c r="K20" s="527"/>
      <c r="L20" s="601"/>
      <c r="M20" s="532"/>
      <c r="N20" s="601"/>
      <c r="O20" s="527"/>
      <c r="P20" s="601"/>
      <c r="Q20" s="527"/>
      <c r="R20" s="601"/>
      <c r="S20" s="533"/>
    </row>
    <row r="21" spans="1:19" ht="14.4" customHeight="1" x14ac:dyDescent="0.3">
      <c r="A21" s="551" t="s">
        <v>1182</v>
      </c>
      <c r="B21" s="601">
        <v>116</v>
      </c>
      <c r="C21" s="527">
        <v>1</v>
      </c>
      <c r="D21" s="601">
        <v>943</v>
      </c>
      <c r="E21" s="527">
        <v>8.1293103448275854</v>
      </c>
      <c r="F21" s="601">
        <v>4159</v>
      </c>
      <c r="G21" s="532">
        <v>35.853448275862071</v>
      </c>
      <c r="H21" s="601"/>
      <c r="I21" s="527"/>
      <c r="J21" s="601"/>
      <c r="K21" s="527"/>
      <c r="L21" s="601"/>
      <c r="M21" s="532"/>
      <c r="N21" s="601"/>
      <c r="O21" s="527"/>
      <c r="P21" s="601"/>
      <c r="Q21" s="527"/>
      <c r="R21" s="601"/>
      <c r="S21" s="533"/>
    </row>
    <row r="22" spans="1:19" ht="14.4" customHeight="1" x14ac:dyDescent="0.3">
      <c r="A22" s="551" t="s">
        <v>1183</v>
      </c>
      <c r="B22" s="601">
        <v>484</v>
      </c>
      <c r="C22" s="527">
        <v>1</v>
      </c>
      <c r="D22" s="601"/>
      <c r="E22" s="527"/>
      <c r="F22" s="601">
        <v>126</v>
      </c>
      <c r="G22" s="532">
        <v>0.26033057851239672</v>
      </c>
      <c r="H22" s="601"/>
      <c r="I22" s="527"/>
      <c r="J22" s="601"/>
      <c r="K22" s="527"/>
      <c r="L22" s="601"/>
      <c r="M22" s="532"/>
      <c r="N22" s="601"/>
      <c r="O22" s="527"/>
      <c r="P22" s="601"/>
      <c r="Q22" s="527"/>
      <c r="R22" s="601"/>
      <c r="S22" s="533"/>
    </row>
    <row r="23" spans="1:19" ht="14.4" customHeight="1" x14ac:dyDescent="0.3">
      <c r="A23" s="551" t="s">
        <v>1184</v>
      </c>
      <c r="B23" s="601">
        <v>116</v>
      </c>
      <c r="C23" s="527">
        <v>1</v>
      </c>
      <c r="D23" s="601">
        <v>2622</v>
      </c>
      <c r="E23" s="527">
        <v>22.603448275862068</v>
      </c>
      <c r="F23" s="601"/>
      <c r="G23" s="532"/>
      <c r="H23" s="601"/>
      <c r="I23" s="527"/>
      <c r="J23" s="601"/>
      <c r="K23" s="527"/>
      <c r="L23" s="601"/>
      <c r="M23" s="532"/>
      <c r="N23" s="601"/>
      <c r="O23" s="527"/>
      <c r="P23" s="601"/>
      <c r="Q23" s="527"/>
      <c r="R23" s="601"/>
      <c r="S23" s="533"/>
    </row>
    <row r="24" spans="1:19" ht="14.4" customHeight="1" x14ac:dyDescent="0.3">
      <c r="A24" s="551" t="s">
        <v>1185</v>
      </c>
      <c r="B24" s="601">
        <v>116</v>
      </c>
      <c r="C24" s="527">
        <v>1</v>
      </c>
      <c r="D24" s="601"/>
      <c r="E24" s="527"/>
      <c r="F24" s="601">
        <v>667</v>
      </c>
      <c r="G24" s="532">
        <v>5.75</v>
      </c>
      <c r="H24" s="601"/>
      <c r="I24" s="527"/>
      <c r="J24" s="601"/>
      <c r="K24" s="527"/>
      <c r="L24" s="601"/>
      <c r="M24" s="532"/>
      <c r="N24" s="601"/>
      <c r="O24" s="527"/>
      <c r="P24" s="601"/>
      <c r="Q24" s="527"/>
      <c r="R24" s="601"/>
      <c r="S24" s="533"/>
    </row>
    <row r="25" spans="1:19" ht="14.4" customHeight="1" x14ac:dyDescent="0.3">
      <c r="A25" s="551" t="s">
        <v>1186</v>
      </c>
      <c r="B25" s="601">
        <v>232</v>
      </c>
      <c r="C25" s="527">
        <v>1</v>
      </c>
      <c r="D25" s="601">
        <v>589</v>
      </c>
      <c r="E25" s="527">
        <v>2.5387931034482758</v>
      </c>
      <c r="F25" s="601"/>
      <c r="G25" s="532"/>
      <c r="H25" s="601"/>
      <c r="I25" s="527"/>
      <c r="J25" s="601"/>
      <c r="K25" s="527"/>
      <c r="L25" s="601"/>
      <c r="M25" s="532"/>
      <c r="N25" s="601"/>
      <c r="O25" s="527"/>
      <c r="P25" s="601"/>
      <c r="Q25" s="527"/>
      <c r="R25" s="601"/>
      <c r="S25" s="533"/>
    </row>
    <row r="26" spans="1:19" ht="14.4" customHeight="1" x14ac:dyDescent="0.3">
      <c r="A26" s="551" t="s">
        <v>1187</v>
      </c>
      <c r="B26" s="601">
        <v>1684</v>
      </c>
      <c r="C26" s="527">
        <v>1</v>
      </c>
      <c r="D26" s="601">
        <v>2271</v>
      </c>
      <c r="E26" s="527">
        <v>1.3485748218527316</v>
      </c>
      <c r="F26" s="601">
        <v>1683</v>
      </c>
      <c r="G26" s="532">
        <v>0.99940617577197155</v>
      </c>
      <c r="H26" s="601"/>
      <c r="I26" s="527"/>
      <c r="J26" s="601"/>
      <c r="K26" s="527"/>
      <c r="L26" s="601"/>
      <c r="M26" s="532"/>
      <c r="N26" s="601"/>
      <c r="O26" s="527"/>
      <c r="P26" s="601"/>
      <c r="Q26" s="527"/>
      <c r="R26" s="601"/>
      <c r="S26" s="533"/>
    </row>
    <row r="27" spans="1:19" ht="14.4" customHeight="1" x14ac:dyDescent="0.3">
      <c r="A27" s="551" t="s">
        <v>1188</v>
      </c>
      <c r="B27" s="601"/>
      <c r="C27" s="527"/>
      <c r="D27" s="601">
        <v>354</v>
      </c>
      <c r="E27" s="527"/>
      <c r="F27" s="601"/>
      <c r="G27" s="532"/>
      <c r="H27" s="601"/>
      <c r="I27" s="527"/>
      <c r="J27" s="601"/>
      <c r="K27" s="527"/>
      <c r="L27" s="601"/>
      <c r="M27" s="532"/>
      <c r="N27" s="601"/>
      <c r="O27" s="527"/>
      <c r="P27" s="601"/>
      <c r="Q27" s="527"/>
      <c r="R27" s="601"/>
      <c r="S27" s="533"/>
    </row>
    <row r="28" spans="1:19" ht="14.4" customHeight="1" thickBot="1" x14ac:dyDescent="0.35">
      <c r="A28" s="603" t="s">
        <v>1189</v>
      </c>
      <c r="B28" s="602">
        <v>2932</v>
      </c>
      <c r="C28" s="519">
        <v>1</v>
      </c>
      <c r="D28" s="602">
        <v>353</v>
      </c>
      <c r="E28" s="519">
        <v>0.1203956343792633</v>
      </c>
      <c r="F28" s="602">
        <v>503</v>
      </c>
      <c r="G28" s="524">
        <v>0.17155525238744884</v>
      </c>
      <c r="H28" s="602"/>
      <c r="I28" s="519"/>
      <c r="J28" s="602"/>
      <c r="K28" s="519"/>
      <c r="L28" s="602"/>
      <c r="M28" s="524"/>
      <c r="N28" s="602"/>
      <c r="O28" s="519"/>
      <c r="P28" s="602"/>
      <c r="Q28" s="519"/>
      <c r="R28" s="602"/>
      <c r="S28" s="52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2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3" bestFit="1" customWidth="1"/>
    <col min="2" max="2" width="8.6640625" style="133" bestFit="1" customWidth="1"/>
    <col min="3" max="3" width="2.109375" style="133" bestFit="1" customWidth="1"/>
    <col min="4" max="4" width="8" style="133" bestFit="1" customWidth="1"/>
    <col min="5" max="5" width="52.88671875" style="133" bestFit="1" customWidth="1"/>
    <col min="6" max="7" width="11.109375" style="211" customWidth="1"/>
    <col min="8" max="9" width="9.33203125" style="211" hidden="1" customWidth="1"/>
    <col min="10" max="11" width="11.109375" style="211" customWidth="1"/>
    <col min="12" max="13" width="9.33203125" style="211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3"/>
  </cols>
  <sheetData>
    <row r="1" spans="1:17" ht="18.600000000000001" customHeight="1" thickBot="1" x14ac:dyDescent="0.4">
      <c r="A1" s="315" t="s">
        <v>1216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</row>
    <row r="2" spans="1:17" ht="14.4" customHeight="1" thickBot="1" x14ac:dyDescent="0.35">
      <c r="A2" s="239" t="s">
        <v>251</v>
      </c>
      <c r="B2" s="134"/>
      <c r="C2" s="134"/>
      <c r="D2" s="134"/>
      <c r="E2" s="134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3"/>
      <c r="Q2" s="232"/>
    </row>
    <row r="3" spans="1:17" ht="14.4" customHeight="1" thickBot="1" x14ac:dyDescent="0.35">
      <c r="E3" s="87" t="s">
        <v>132</v>
      </c>
      <c r="F3" s="103">
        <f t="shared" ref="F3:O3" si="0">SUBTOTAL(9,F6:F1048576)</f>
        <v>228</v>
      </c>
      <c r="G3" s="104">
        <f t="shared" si="0"/>
        <v>93730</v>
      </c>
      <c r="H3" s="104"/>
      <c r="I3" s="104"/>
      <c r="J3" s="104">
        <f t="shared" si="0"/>
        <v>270</v>
      </c>
      <c r="K3" s="104">
        <f t="shared" si="0"/>
        <v>78602</v>
      </c>
      <c r="L3" s="104"/>
      <c r="M3" s="104"/>
      <c r="N3" s="104">
        <f t="shared" si="0"/>
        <v>192</v>
      </c>
      <c r="O3" s="104">
        <f t="shared" si="0"/>
        <v>57291</v>
      </c>
      <c r="P3" s="75">
        <f>IF(G3=0,0,O3/G3)</f>
        <v>0.61123439667128987</v>
      </c>
      <c r="Q3" s="105">
        <f>IF(N3=0,0,O3/N3)</f>
        <v>298.390625</v>
      </c>
    </row>
    <row r="4" spans="1:17" ht="14.4" customHeight="1" x14ac:dyDescent="0.3">
      <c r="A4" s="397" t="s">
        <v>69</v>
      </c>
      <c r="B4" s="396" t="s">
        <v>96</v>
      </c>
      <c r="C4" s="397" t="s">
        <v>97</v>
      </c>
      <c r="D4" s="406" t="s">
        <v>98</v>
      </c>
      <c r="E4" s="398" t="s">
        <v>70</v>
      </c>
      <c r="F4" s="404">
        <v>2014</v>
      </c>
      <c r="G4" s="405"/>
      <c r="H4" s="106"/>
      <c r="I4" s="106"/>
      <c r="J4" s="404">
        <v>2015</v>
      </c>
      <c r="K4" s="405"/>
      <c r="L4" s="106"/>
      <c r="M4" s="106"/>
      <c r="N4" s="404">
        <v>2016</v>
      </c>
      <c r="O4" s="405"/>
      <c r="P4" s="407" t="s">
        <v>2</v>
      </c>
      <c r="Q4" s="395" t="s">
        <v>99</v>
      </c>
    </row>
    <row r="5" spans="1:17" ht="14.4" customHeight="1" thickBot="1" x14ac:dyDescent="0.35">
      <c r="A5" s="609"/>
      <c r="B5" s="607"/>
      <c r="C5" s="609"/>
      <c r="D5" s="617"/>
      <c r="E5" s="611"/>
      <c r="F5" s="618" t="s">
        <v>72</v>
      </c>
      <c r="G5" s="619" t="s">
        <v>14</v>
      </c>
      <c r="H5" s="620"/>
      <c r="I5" s="620"/>
      <c r="J5" s="618" t="s">
        <v>72</v>
      </c>
      <c r="K5" s="619" t="s">
        <v>14</v>
      </c>
      <c r="L5" s="620"/>
      <c r="M5" s="620"/>
      <c r="N5" s="618" t="s">
        <v>72</v>
      </c>
      <c r="O5" s="619" t="s">
        <v>14</v>
      </c>
      <c r="P5" s="621"/>
      <c r="Q5" s="616"/>
    </row>
    <row r="6" spans="1:17" ht="14.4" customHeight="1" x14ac:dyDescent="0.3">
      <c r="A6" s="511" t="s">
        <v>1190</v>
      </c>
      <c r="B6" s="449" t="s">
        <v>1003</v>
      </c>
      <c r="C6" s="449" t="s">
        <v>1022</v>
      </c>
      <c r="D6" s="449" t="s">
        <v>1042</v>
      </c>
      <c r="E6" s="449" t="s">
        <v>1043</v>
      </c>
      <c r="F6" s="452"/>
      <c r="G6" s="452"/>
      <c r="H6" s="452"/>
      <c r="I6" s="452"/>
      <c r="J6" s="452">
        <v>2</v>
      </c>
      <c r="K6" s="452">
        <v>470</v>
      </c>
      <c r="L6" s="452"/>
      <c r="M6" s="452">
        <v>235</v>
      </c>
      <c r="N6" s="452"/>
      <c r="O6" s="452"/>
      <c r="P6" s="472"/>
      <c r="Q6" s="538"/>
    </row>
    <row r="7" spans="1:17" ht="14.4" customHeight="1" x14ac:dyDescent="0.3">
      <c r="A7" s="526" t="s">
        <v>1190</v>
      </c>
      <c r="B7" s="527" t="s">
        <v>1003</v>
      </c>
      <c r="C7" s="527" t="s">
        <v>1022</v>
      </c>
      <c r="D7" s="527" t="s">
        <v>1044</v>
      </c>
      <c r="E7" s="527" t="s">
        <v>1045</v>
      </c>
      <c r="F7" s="539"/>
      <c r="G7" s="539"/>
      <c r="H7" s="539"/>
      <c r="I7" s="539"/>
      <c r="J7" s="539"/>
      <c r="K7" s="539"/>
      <c r="L7" s="539"/>
      <c r="M7" s="539"/>
      <c r="N7" s="539">
        <v>1</v>
      </c>
      <c r="O7" s="539">
        <v>126</v>
      </c>
      <c r="P7" s="532"/>
      <c r="Q7" s="540">
        <v>126</v>
      </c>
    </row>
    <row r="8" spans="1:17" ht="14.4" customHeight="1" x14ac:dyDescent="0.3">
      <c r="A8" s="526" t="s">
        <v>1190</v>
      </c>
      <c r="B8" s="527" t="s">
        <v>1003</v>
      </c>
      <c r="C8" s="527" t="s">
        <v>1022</v>
      </c>
      <c r="D8" s="527" t="s">
        <v>1060</v>
      </c>
      <c r="E8" s="527" t="s">
        <v>1061</v>
      </c>
      <c r="F8" s="539"/>
      <c r="G8" s="539"/>
      <c r="H8" s="539"/>
      <c r="I8" s="539"/>
      <c r="J8" s="539">
        <v>1</v>
      </c>
      <c r="K8" s="539">
        <v>0</v>
      </c>
      <c r="L8" s="539"/>
      <c r="M8" s="539">
        <v>0</v>
      </c>
      <c r="N8" s="539"/>
      <c r="O8" s="539"/>
      <c r="P8" s="532"/>
      <c r="Q8" s="540"/>
    </row>
    <row r="9" spans="1:17" ht="14.4" customHeight="1" x14ac:dyDescent="0.3">
      <c r="A9" s="526" t="s">
        <v>1191</v>
      </c>
      <c r="B9" s="527" t="s">
        <v>1003</v>
      </c>
      <c r="C9" s="527" t="s">
        <v>1022</v>
      </c>
      <c r="D9" s="527" t="s">
        <v>1042</v>
      </c>
      <c r="E9" s="527" t="s">
        <v>1043</v>
      </c>
      <c r="F9" s="539"/>
      <c r="G9" s="539"/>
      <c r="H9" s="539"/>
      <c r="I9" s="539"/>
      <c r="J9" s="539">
        <v>1</v>
      </c>
      <c r="K9" s="539">
        <v>235</v>
      </c>
      <c r="L9" s="539"/>
      <c r="M9" s="539">
        <v>235</v>
      </c>
      <c r="N9" s="539"/>
      <c r="O9" s="539"/>
      <c r="P9" s="532"/>
      <c r="Q9" s="540"/>
    </row>
    <row r="10" spans="1:17" ht="14.4" customHeight="1" x14ac:dyDescent="0.3">
      <c r="A10" s="526" t="s">
        <v>1191</v>
      </c>
      <c r="B10" s="527" t="s">
        <v>1003</v>
      </c>
      <c r="C10" s="527" t="s">
        <v>1022</v>
      </c>
      <c r="D10" s="527" t="s">
        <v>1044</v>
      </c>
      <c r="E10" s="527" t="s">
        <v>1045</v>
      </c>
      <c r="F10" s="539"/>
      <c r="G10" s="539"/>
      <c r="H10" s="539"/>
      <c r="I10" s="539"/>
      <c r="J10" s="539">
        <v>4</v>
      </c>
      <c r="K10" s="539">
        <v>472</v>
      </c>
      <c r="L10" s="539"/>
      <c r="M10" s="539">
        <v>118</v>
      </c>
      <c r="N10" s="539"/>
      <c r="O10" s="539"/>
      <c r="P10" s="532"/>
      <c r="Q10" s="540"/>
    </row>
    <row r="11" spans="1:17" ht="14.4" customHeight="1" x14ac:dyDescent="0.3">
      <c r="A11" s="526" t="s">
        <v>1191</v>
      </c>
      <c r="B11" s="527" t="s">
        <v>1003</v>
      </c>
      <c r="C11" s="527" t="s">
        <v>1022</v>
      </c>
      <c r="D11" s="527" t="s">
        <v>1072</v>
      </c>
      <c r="E11" s="527" t="s">
        <v>1073</v>
      </c>
      <c r="F11" s="539"/>
      <c r="G11" s="539"/>
      <c r="H11" s="539"/>
      <c r="I11" s="539"/>
      <c r="J11" s="539">
        <v>1</v>
      </c>
      <c r="K11" s="539">
        <v>492</v>
      </c>
      <c r="L11" s="539"/>
      <c r="M11" s="539">
        <v>492</v>
      </c>
      <c r="N11" s="539"/>
      <c r="O11" s="539"/>
      <c r="P11" s="532"/>
      <c r="Q11" s="540"/>
    </row>
    <row r="12" spans="1:17" ht="14.4" customHeight="1" x14ac:dyDescent="0.3">
      <c r="A12" s="526" t="s">
        <v>1191</v>
      </c>
      <c r="B12" s="527" t="s">
        <v>1003</v>
      </c>
      <c r="C12" s="527" t="s">
        <v>1022</v>
      </c>
      <c r="D12" s="527" t="s">
        <v>526</v>
      </c>
      <c r="E12" s="527" t="s">
        <v>1192</v>
      </c>
      <c r="F12" s="539"/>
      <c r="G12" s="539"/>
      <c r="H12" s="539"/>
      <c r="I12" s="539"/>
      <c r="J12" s="539">
        <v>2</v>
      </c>
      <c r="K12" s="539">
        <v>2386</v>
      </c>
      <c r="L12" s="539"/>
      <c r="M12" s="539">
        <v>1193</v>
      </c>
      <c r="N12" s="539"/>
      <c r="O12" s="539"/>
      <c r="P12" s="532"/>
      <c r="Q12" s="540"/>
    </row>
    <row r="13" spans="1:17" ht="14.4" customHeight="1" x14ac:dyDescent="0.3">
      <c r="A13" s="526" t="s">
        <v>1193</v>
      </c>
      <c r="B13" s="527" t="s">
        <v>1003</v>
      </c>
      <c r="C13" s="527" t="s">
        <v>1022</v>
      </c>
      <c r="D13" s="527" t="s">
        <v>1042</v>
      </c>
      <c r="E13" s="527" t="s">
        <v>1043</v>
      </c>
      <c r="F13" s="539">
        <v>1</v>
      </c>
      <c r="G13" s="539">
        <v>232</v>
      </c>
      <c r="H13" s="539">
        <v>1</v>
      </c>
      <c r="I13" s="539">
        <v>232</v>
      </c>
      <c r="J13" s="539"/>
      <c r="K13" s="539"/>
      <c r="L13" s="539"/>
      <c r="M13" s="539"/>
      <c r="N13" s="539">
        <v>1</v>
      </c>
      <c r="O13" s="539">
        <v>251</v>
      </c>
      <c r="P13" s="532">
        <v>1.0818965517241379</v>
      </c>
      <c r="Q13" s="540">
        <v>251</v>
      </c>
    </row>
    <row r="14" spans="1:17" ht="14.4" customHeight="1" x14ac:dyDescent="0.3">
      <c r="A14" s="526" t="s">
        <v>1193</v>
      </c>
      <c r="B14" s="527" t="s">
        <v>1003</v>
      </c>
      <c r="C14" s="527" t="s">
        <v>1022</v>
      </c>
      <c r="D14" s="527" t="s">
        <v>1044</v>
      </c>
      <c r="E14" s="527" t="s">
        <v>1045</v>
      </c>
      <c r="F14" s="539">
        <v>2</v>
      </c>
      <c r="G14" s="539">
        <v>232</v>
      </c>
      <c r="H14" s="539">
        <v>1</v>
      </c>
      <c r="I14" s="539">
        <v>116</v>
      </c>
      <c r="J14" s="539">
        <v>1</v>
      </c>
      <c r="K14" s="539">
        <v>118</v>
      </c>
      <c r="L14" s="539">
        <v>0.50862068965517238</v>
      </c>
      <c r="M14" s="539">
        <v>118</v>
      </c>
      <c r="N14" s="539">
        <v>3</v>
      </c>
      <c r="O14" s="539">
        <v>378</v>
      </c>
      <c r="P14" s="532">
        <v>1.6293103448275863</v>
      </c>
      <c r="Q14" s="540">
        <v>126</v>
      </c>
    </row>
    <row r="15" spans="1:17" ht="14.4" customHeight="1" x14ac:dyDescent="0.3">
      <c r="A15" s="526" t="s">
        <v>1193</v>
      </c>
      <c r="B15" s="527" t="s">
        <v>1003</v>
      </c>
      <c r="C15" s="527" t="s">
        <v>1022</v>
      </c>
      <c r="D15" s="527" t="s">
        <v>1060</v>
      </c>
      <c r="E15" s="527" t="s">
        <v>1061</v>
      </c>
      <c r="F15" s="539"/>
      <c r="G15" s="539"/>
      <c r="H15" s="539"/>
      <c r="I15" s="539"/>
      <c r="J15" s="539">
        <v>1</v>
      </c>
      <c r="K15" s="539">
        <v>0</v>
      </c>
      <c r="L15" s="539"/>
      <c r="M15" s="539">
        <v>0</v>
      </c>
      <c r="N15" s="539"/>
      <c r="O15" s="539"/>
      <c r="P15" s="532"/>
      <c r="Q15" s="540"/>
    </row>
    <row r="16" spans="1:17" ht="14.4" customHeight="1" x14ac:dyDescent="0.3">
      <c r="A16" s="526" t="s">
        <v>1193</v>
      </c>
      <c r="B16" s="527" t="s">
        <v>1003</v>
      </c>
      <c r="C16" s="527" t="s">
        <v>1022</v>
      </c>
      <c r="D16" s="527" t="s">
        <v>1066</v>
      </c>
      <c r="E16" s="527" t="s">
        <v>1067</v>
      </c>
      <c r="F16" s="539"/>
      <c r="G16" s="539"/>
      <c r="H16" s="539"/>
      <c r="I16" s="539"/>
      <c r="J16" s="539"/>
      <c r="K16" s="539"/>
      <c r="L16" s="539"/>
      <c r="M16" s="539"/>
      <c r="N16" s="539">
        <v>1</v>
      </c>
      <c r="O16" s="539">
        <v>86</v>
      </c>
      <c r="P16" s="532"/>
      <c r="Q16" s="540">
        <v>86</v>
      </c>
    </row>
    <row r="17" spans="1:17" ht="14.4" customHeight="1" x14ac:dyDescent="0.3">
      <c r="A17" s="526" t="s">
        <v>1193</v>
      </c>
      <c r="B17" s="527" t="s">
        <v>1003</v>
      </c>
      <c r="C17" s="527" t="s">
        <v>1022</v>
      </c>
      <c r="D17" s="527" t="s">
        <v>1138</v>
      </c>
      <c r="E17" s="527" t="s">
        <v>1139</v>
      </c>
      <c r="F17" s="539"/>
      <c r="G17" s="539"/>
      <c r="H17" s="539"/>
      <c r="I17" s="539"/>
      <c r="J17" s="539"/>
      <c r="K17" s="539"/>
      <c r="L17" s="539"/>
      <c r="M17" s="539"/>
      <c r="N17" s="539">
        <v>1</v>
      </c>
      <c r="O17" s="539">
        <v>716</v>
      </c>
      <c r="P17" s="532"/>
      <c r="Q17" s="540">
        <v>716</v>
      </c>
    </row>
    <row r="18" spans="1:17" ht="14.4" customHeight="1" x14ac:dyDescent="0.3">
      <c r="A18" s="526" t="s">
        <v>1193</v>
      </c>
      <c r="B18" s="527" t="s">
        <v>1003</v>
      </c>
      <c r="C18" s="527" t="s">
        <v>1022</v>
      </c>
      <c r="D18" s="527" t="s">
        <v>1099</v>
      </c>
      <c r="E18" s="527" t="s">
        <v>1100</v>
      </c>
      <c r="F18" s="539"/>
      <c r="G18" s="539"/>
      <c r="H18" s="539"/>
      <c r="I18" s="539"/>
      <c r="J18" s="539"/>
      <c r="K18" s="539"/>
      <c r="L18" s="539"/>
      <c r="M18" s="539"/>
      <c r="N18" s="539">
        <v>1</v>
      </c>
      <c r="O18" s="539">
        <v>247</v>
      </c>
      <c r="P18" s="532"/>
      <c r="Q18" s="540">
        <v>247</v>
      </c>
    </row>
    <row r="19" spans="1:17" ht="14.4" customHeight="1" x14ac:dyDescent="0.3">
      <c r="A19" s="526" t="s">
        <v>1193</v>
      </c>
      <c r="B19" s="527" t="s">
        <v>1003</v>
      </c>
      <c r="C19" s="527" t="s">
        <v>1022</v>
      </c>
      <c r="D19" s="527" t="s">
        <v>1105</v>
      </c>
      <c r="E19" s="527" t="s">
        <v>1106</v>
      </c>
      <c r="F19" s="539"/>
      <c r="G19" s="539"/>
      <c r="H19" s="539"/>
      <c r="I19" s="539"/>
      <c r="J19" s="539"/>
      <c r="K19" s="539"/>
      <c r="L19" s="539"/>
      <c r="M19" s="539"/>
      <c r="N19" s="539">
        <v>1</v>
      </c>
      <c r="O19" s="539">
        <v>840</v>
      </c>
      <c r="P19" s="532"/>
      <c r="Q19" s="540">
        <v>840</v>
      </c>
    </row>
    <row r="20" spans="1:17" ht="14.4" customHeight="1" x14ac:dyDescent="0.3">
      <c r="A20" s="526" t="s">
        <v>1194</v>
      </c>
      <c r="B20" s="527" t="s">
        <v>1003</v>
      </c>
      <c r="C20" s="527" t="s">
        <v>1022</v>
      </c>
      <c r="D20" s="527" t="s">
        <v>1031</v>
      </c>
      <c r="E20" s="527" t="s">
        <v>1032</v>
      </c>
      <c r="F20" s="539">
        <v>18</v>
      </c>
      <c r="G20" s="539">
        <v>612</v>
      </c>
      <c r="H20" s="539">
        <v>1</v>
      </c>
      <c r="I20" s="539">
        <v>34</v>
      </c>
      <c r="J20" s="539">
        <v>39</v>
      </c>
      <c r="K20" s="539">
        <v>1365</v>
      </c>
      <c r="L20" s="539">
        <v>2.2303921568627452</v>
      </c>
      <c r="M20" s="539">
        <v>35</v>
      </c>
      <c r="N20" s="539">
        <v>20</v>
      </c>
      <c r="O20" s="539">
        <v>740</v>
      </c>
      <c r="P20" s="532">
        <v>1.2091503267973855</v>
      </c>
      <c r="Q20" s="540">
        <v>37</v>
      </c>
    </row>
    <row r="21" spans="1:17" ht="14.4" customHeight="1" x14ac:dyDescent="0.3">
      <c r="A21" s="526" t="s">
        <v>1194</v>
      </c>
      <c r="B21" s="527" t="s">
        <v>1003</v>
      </c>
      <c r="C21" s="527" t="s">
        <v>1022</v>
      </c>
      <c r="D21" s="527" t="s">
        <v>1042</v>
      </c>
      <c r="E21" s="527" t="s">
        <v>1043</v>
      </c>
      <c r="F21" s="539"/>
      <c r="G21" s="539"/>
      <c r="H21" s="539"/>
      <c r="I21" s="539"/>
      <c r="J21" s="539">
        <v>1</v>
      </c>
      <c r="K21" s="539">
        <v>235</v>
      </c>
      <c r="L21" s="539"/>
      <c r="M21" s="539">
        <v>235</v>
      </c>
      <c r="N21" s="539"/>
      <c r="O21" s="539"/>
      <c r="P21" s="532"/>
      <c r="Q21" s="540"/>
    </row>
    <row r="22" spans="1:17" ht="14.4" customHeight="1" x14ac:dyDescent="0.3">
      <c r="A22" s="526" t="s">
        <v>1194</v>
      </c>
      <c r="B22" s="527" t="s">
        <v>1003</v>
      </c>
      <c r="C22" s="527" t="s">
        <v>1022</v>
      </c>
      <c r="D22" s="527" t="s">
        <v>1044</v>
      </c>
      <c r="E22" s="527" t="s">
        <v>1045</v>
      </c>
      <c r="F22" s="539">
        <v>2</v>
      </c>
      <c r="G22" s="539">
        <v>232</v>
      </c>
      <c r="H22" s="539">
        <v>1</v>
      </c>
      <c r="I22" s="539">
        <v>116</v>
      </c>
      <c r="J22" s="539">
        <v>4</v>
      </c>
      <c r="K22" s="539">
        <v>472</v>
      </c>
      <c r="L22" s="539">
        <v>2.0344827586206895</v>
      </c>
      <c r="M22" s="539">
        <v>118</v>
      </c>
      <c r="N22" s="539">
        <v>6</v>
      </c>
      <c r="O22" s="539">
        <v>756</v>
      </c>
      <c r="P22" s="532">
        <v>3.2586206896551726</v>
      </c>
      <c r="Q22" s="540">
        <v>126</v>
      </c>
    </row>
    <row r="23" spans="1:17" ht="14.4" customHeight="1" x14ac:dyDescent="0.3">
      <c r="A23" s="526" t="s">
        <v>1194</v>
      </c>
      <c r="B23" s="527" t="s">
        <v>1003</v>
      </c>
      <c r="C23" s="527" t="s">
        <v>1022</v>
      </c>
      <c r="D23" s="527" t="s">
        <v>1048</v>
      </c>
      <c r="E23" s="527" t="s">
        <v>1049</v>
      </c>
      <c r="F23" s="539"/>
      <c r="G23" s="539"/>
      <c r="H23" s="539"/>
      <c r="I23" s="539"/>
      <c r="J23" s="539">
        <v>1</v>
      </c>
      <c r="K23" s="539">
        <v>486</v>
      </c>
      <c r="L23" s="539"/>
      <c r="M23" s="539">
        <v>486</v>
      </c>
      <c r="N23" s="539"/>
      <c r="O23" s="539"/>
      <c r="P23" s="532"/>
      <c r="Q23" s="540"/>
    </row>
    <row r="24" spans="1:17" ht="14.4" customHeight="1" x14ac:dyDescent="0.3">
      <c r="A24" s="526" t="s">
        <v>1194</v>
      </c>
      <c r="B24" s="527" t="s">
        <v>1003</v>
      </c>
      <c r="C24" s="527" t="s">
        <v>1022</v>
      </c>
      <c r="D24" s="527" t="s">
        <v>1050</v>
      </c>
      <c r="E24" s="527" t="s">
        <v>1051</v>
      </c>
      <c r="F24" s="539"/>
      <c r="G24" s="539"/>
      <c r="H24" s="539"/>
      <c r="I24" s="539"/>
      <c r="J24" s="539">
        <v>3</v>
      </c>
      <c r="K24" s="539">
        <v>1998</v>
      </c>
      <c r="L24" s="539"/>
      <c r="M24" s="539">
        <v>666</v>
      </c>
      <c r="N24" s="539"/>
      <c r="O24" s="539"/>
      <c r="P24" s="532"/>
      <c r="Q24" s="540"/>
    </row>
    <row r="25" spans="1:17" ht="14.4" customHeight="1" x14ac:dyDescent="0.3">
      <c r="A25" s="526" t="s">
        <v>1194</v>
      </c>
      <c r="B25" s="527" t="s">
        <v>1003</v>
      </c>
      <c r="C25" s="527" t="s">
        <v>1022</v>
      </c>
      <c r="D25" s="527" t="s">
        <v>1060</v>
      </c>
      <c r="E25" s="527" t="s">
        <v>1061</v>
      </c>
      <c r="F25" s="539"/>
      <c r="G25" s="539"/>
      <c r="H25" s="539"/>
      <c r="I25" s="539"/>
      <c r="J25" s="539">
        <v>1</v>
      </c>
      <c r="K25" s="539">
        <v>0</v>
      </c>
      <c r="L25" s="539"/>
      <c r="M25" s="539">
        <v>0</v>
      </c>
      <c r="N25" s="539"/>
      <c r="O25" s="539"/>
      <c r="P25" s="532"/>
      <c r="Q25" s="540"/>
    </row>
    <row r="26" spans="1:17" ht="14.4" customHeight="1" x14ac:dyDescent="0.3">
      <c r="A26" s="526" t="s">
        <v>1194</v>
      </c>
      <c r="B26" s="527" t="s">
        <v>1003</v>
      </c>
      <c r="C26" s="527" t="s">
        <v>1022</v>
      </c>
      <c r="D26" s="527" t="s">
        <v>1066</v>
      </c>
      <c r="E26" s="527" t="s">
        <v>1067</v>
      </c>
      <c r="F26" s="539">
        <v>4</v>
      </c>
      <c r="G26" s="539">
        <v>324</v>
      </c>
      <c r="H26" s="539">
        <v>1</v>
      </c>
      <c r="I26" s="539">
        <v>81</v>
      </c>
      <c r="J26" s="539">
        <v>2</v>
      </c>
      <c r="K26" s="539">
        <v>164</v>
      </c>
      <c r="L26" s="539">
        <v>0.50617283950617287</v>
      </c>
      <c r="M26" s="539">
        <v>82</v>
      </c>
      <c r="N26" s="539"/>
      <c r="O26" s="539"/>
      <c r="P26" s="532"/>
      <c r="Q26" s="540"/>
    </row>
    <row r="27" spans="1:17" ht="14.4" customHeight="1" x14ac:dyDescent="0.3">
      <c r="A27" s="526" t="s">
        <v>1194</v>
      </c>
      <c r="B27" s="527" t="s">
        <v>1003</v>
      </c>
      <c r="C27" s="527" t="s">
        <v>1022</v>
      </c>
      <c r="D27" s="527" t="s">
        <v>1138</v>
      </c>
      <c r="E27" s="527" t="s">
        <v>1139</v>
      </c>
      <c r="F27" s="539">
        <v>1</v>
      </c>
      <c r="G27" s="539">
        <v>684</v>
      </c>
      <c r="H27" s="539">
        <v>1</v>
      </c>
      <c r="I27" s="539">
        <v>684</v>
      </c>
      <c r="J27" s="539"/>
      <c r="K27" s="539"/>
      <c r="L27" s="539"/>
      <c r="M27" s="539"/>
      <c r="N27" s="539"/>
      <c r="O27" s="539"/>
      <c r="P27" s="532"/>
      <c r="Q27" s="540"/>
    </row>
    <row r="28" spans="1:17" ht="14.4" customHeight="1" x14ac:dyDescent="0.3">
      <c r="A28" s="526" t="s">
        <v>1194</v>
      </c>
      <c r="B28" s="527" t="s">
        <v>1003</v>
      </c>
      <c r="C28" s="527" t="s">
        <v>1022</v>
      </c>
      <c r="D28" s="527" t="s">
        <v>1095</v>
      </c>
      <c r="E28" s="527" t="s">
        <v>1096</v>
      </c>
      <c r="F28" s="539">
        <v>1</v>
      </c>
      <c r="G28" s="539">
        <v>351</v>
      </c>
      <c r="H28" s="539">
        <v>1</v>
      </c>
      <c r="I28" s="539">
        <v>351</v>
      </c>
      <c r="J28" s="539"/>
      <c r="K28" s="539"/>
      <c r="L28" s="539"/>
      <c r="M28" s="539"/>
      <c r="N28" s="539">
        <v>4</v>
      </c>
      <c r="O28" s="539">
        <v>1456</v>
      </c>
      <c r="P28" s="532">
        <v>4.1481481481481479</v>
      </c>
      <c r="Q28" s="540">
        <v>364</v>
      </c>
    </row>
    <row r="29" spans="1:17" ht="14.4" customHeight="1" x14ac:dyDescent="0.3">
      <c r="A29" s="526" t="s">
        <v>1194</v>
      </c>
      <c r="B29" s="527" t="s">
        <v>1003</v>
      </c>
      <c r="C29" s="527" t="s">
        <v>1022</v>
      </c>
      <c r="D29" s="527" t="s">
        <v>1150</v>
      </c>
      <c r="E29" s="527" t="s">
        <v>1151</v>
      </c>
      <c r="F29" s="539">
        <v>1</v>
      </c>
      <c r="G29" s="539">
        <v>1653</v>
      </c>
      <c r="H29" s="539">
        <v>1</v>
      </c>
      <c r="I29" s="539">
        <v>1653</v>
      </c>
      <c r="J29" s="539"/>
      <c r="K29" s="539"/>
      <c r="L29" s="539"/>
      <c r="M29" s="539"/>
      <c r="N29" s="539"/>
      <c r="O29" s="539"/>
      <c r="P29" s="532"/>
      <c r="Q29" s="540"/>
    </row>
    <row r="30" spans="1:17" ht="14.4" customHeight="1" x14ac:dyDescent="0.3">
      <c r="A30" s="526" t="s">
        <v>1194</v>
      </c>
      <c r="B30" s="527" t="s">
        <v>1003</v>
      </c>
      <c r="C30" s="527" t="s">
        <v>1022</v>
      </c>
      <c r="D30" s="527" t="s">
        <v>1105</v>
      </c>
      <c r="E30" s="527" t="s">
        <v>1106</v>
      </c>
      <c r="F30" s="539"/>
      <c r="G30" s="539"/>
      <c r="H30" s="539"/>
      <c r="I30" s="539"/>
      <c r="J30" s="539">
        <v>1</v>
      </c>
      <c r="K30" s="539">
        <v>815</v>
      </c>
      <c r="L30" s="539"/>
      <c r="M30" s="539">
        <v>815</v>
      </c>
      <c r="N30" s="539"/>
      <c r="O30" s="539"/>
      <c r="P30" s="532"/>
      <c r="Q30" s="540"/>
    </row>
    <row r="31" spans="1:17" ht="14.4" customHeight="1" x14ac:dyDescent="0.3">
      <c r="A31" s="526" t="s">
        <v>1195</v>
      </c>
      <c r="B31" s="527" t="s">
        <v>1003</v>
      </c>
      <c r="C31" s="527" t="s">
        <v>1022</v>
      </c>
      <c r="D31" s="527" t="s">
        <v>1042</v>
      </c>
      <c r="E31" s="527" t="s">
        <v>1043</v>
      </c>
      <c r="F31" s="539">
        <v>1</v>
      </c>
      <c r="G31" s="539">
        <v>232</v>
      </c>
      <c r="H31" s="539">
        <v>1</v>
      </c>
      <c r="I31" s="539">
        <v>232</v>
      </c>
      <c r="J31" s="539"/>
      <c r="K31" s="539"/>
      <c r="L31" s="539"/>
      <c r="M31" s="539"/>
      <c r="N31" s="539"/>
      <c r="O31" s="539"/>
      <c r="P31" s="532"/>
      <c r="Q31" s="540"/>
    </row>
    <row r="32" spans="1:17" ht="14.4" customHeight="1" x14ac:dyDescent="0.3">
      <c r="A32" s="526" t="s">
        <v>1195</v>
      </c>
      <c r="B32" s="527" t="s">
        <v>1003</v>
      </c>
      <c r="C32" s="527" t="s">
        <v>1022</v>
      </c>
      <c r="D32" s="527" t="s">
        <v>1044</v>
      </c>
      <c r="E32" s="527" t="s">
        <v>1045</v>
      </c>
      <c r="F32" s="539">
        <v>1</v>
      </c>
      <c r="G32" s="539">
        <v>116</v>
      </c>
      <c r="H32" s="539">
        <v>1</v>
      </c>
      <c r="I32" s="539">
        <v>116</v>
      </c>
      <c r="J32" s="539">
        <v>2</v>
      </c>
      <c r="K32" s="539">
        <v>236</v>
      </c>
      <c r="L32" s="539">
        <v>2.0344827586206895</v>
      </c>
      <c r="M32" s="539">
        <v>118</v>
      </c>
      <c r="N32" s="539"/>
      <c r="O32" s="539"/>
      <c r="P32" s="532"/>
      <c r="Q32" s="540"/>
    </row>
    <row r="33" spans="1:17" ht="14.4" customHeight="1" x14ac:dyDescent="0.3">
      <c r="A33" s="526" t="s">
        <v>1195</v>
      </c>
      <c r="B33" s="527" t="s">
        <v>1003</v>
      </c>
      <c r="C33" s="527" t="s">
        <v>1022</v>
      </c>
      <c r="D33" s="527" t="s">
        <v>1060</v>
      </c>
      <c r="E33" s="527" t="s">
        <v>1061</v>
      </c>
      <c r="F33" s="539"/>
      <c r="G33" s="539"/>
      <c r="H33" s="539"/>
      <c r="I33" s="539"/>
      <c r="J33" s="539">
        <v>1</v>
      </c>
      <c r="K33" s="539">
        <v>0</v>
      </c>
      <c r="L33" s="539"/>
      <c r="M33" s="539">
        <v>0</v>
      </c>
      <c r="N33" s="539"/>
      <c r="O33" s="539"/>
      <c r="P33" s="532"/>
      <c r="Q33" s="540"/>
    </row>
    <row r="34" spans="1:17" ht="14.4" customHeight="1" x14ac:dyDescent="0.3">
      <c r="A34" s="526" t="s">
        <v>1196</v>
      </c>
      <c r="B34" s="527" t="s">
        <v>1003</v>
      </c>
      <c r="C34" s="527" t="s">
        <v>1022</v>
      </c>
      <c r="D34" s="527" t="s">
        <v>1044</v>
      </c>
      <c r="E34" s="527" t="s">
        <v>1045</v>
      </c>
      <c r="F34" s="539"/>
      <c r="G34" s="539"/>
      <c r="H34" s="539"/>
      <c r="I34" s="539"/>
      <c r="J34" s="539">
        <v>2</v>
      </c>
      <c r="K34" s="539">
        <v>236</v>
      </c>
      <c r="L34" s="539"/>
      <c r="M34" s="539">
        <v>118</v>
      </c>
      <c r="N34" s="539"/>
      <c r="O34" s="539"/>
      <c r="P34" s="532"/>
      <c r="Q34" s="540"/>
    </row>
    <row r="35" spans="1:17" ht="14.4" customHeight="1" x14ac:dyDescent="0.3">
      <c r="A35" s="526" t="s">
        <v>1196</v>
      </c>
      <c r="B35" s="527" t="s">
        <v>1003</v>
      </c>
      <c r="C35" s="527" t="s">
        <v>1022</v>
      </c>
      <c r="D35" s="527" t="s">
        <v>1060</v>
      </c>
      <c r="E35" s="527" t="s">
        <v>1061</v>
      </c>
      <c r="F35" s="539"/>
      <c r="G35" s="539"/>
      <c r="H35" s="539"/>
      <c r="I35" s="539"/>
      <c r="J35" s="539">
        <v>2</v>
      </c>
      <c r="K35" s="539">
        <v>0</v>
      </c>
      <c r="L35" s="539"/>
      <c r="M35" s="539">
        <v>0</v>
      </c>
      <c r="N35" s="539"/>
      <c r="O35" s="539"/>
      <c r="P35" s="532"/>
      <c r="Q35" s="540"/>
    </row>
    <row r="36" spans="1:17" ht="14.4" customHeight="1" x14ac:dyDescent="0.3">
      <c r="A36" s="526" t="s">
        <v>1197</v>
      </c>
      <c r="B36" s="527" t="s">
        <v>1003</v>
      </c>
      <c r="C36" s="527" t="s">
        <v>1022</v>
      </c>
      <c r="D36" s="527" t="s">
        <v>1042</v>
      </c>
      <c r="E36" s="527" t="s">
        <v>1043</v>
      </c>
      <c r="F36" s="539"/>
      <c r="G36" s="539"/>
      <c r="H36" s="539"/>
      <c r="I36" s="539"/>
      <c r="J36" s="539"/>
      <c r="K36" s="539"/>
      <c r="L36" s="539"/>
      <c r="M36" s="539"/>
      <c r="N36" s="539">
        <v>1</v>
      </c>
      <c r="O36" s="539">
        <v>251</v>
      </c>
      <c r="P36" s="532"/>
      <c r="Q36" s="540">
        <v>251</v>
      </c>
    </row>
    <row r="37" spans="1:17" ht="14.4" customHeight="1" x14ac:dyDescent="0.3">
      <c r="A37" s="526" t="s">
        <v>1197</v>
      </c>
      <c r="B37" s="527" t="s">
        <v>1003</v>
      </c>
      <c r="C37" s="527" t="s">
        <v>1022</v>
      </c>
      <c r="D37" s="527" t="s">
        <v>1044</v>
      </c>
      <c r="E37" s="527" t="s">
        <v>1045</v>
      </c>
      <c r="F37" s="539">
        <v>1</v>
      </c>
      <c r="G37" s="539">
        <v>116</v>
      </c>
      <c r="H37" s="539">
        <v>1</v>
      </c>
      <c r="I37" s="539">
        <v>116</v>
      </c>
      <c r="J37" s="539">
        <v>5</v>
      </c>
      <c r="K37" s="539">
        <v>590</v>
      </c>
      <c r="L37" s="539">
        <v>5.0862068965517242</v>
      </c>
      <c r="M37" s="539">
        <v>118</v>
      </c>
      <c r="N37" s="539">
        <v>9</v>
      </c>
      <c r="O37" s="539">
        <v>1134</v>
      </c>
      <c r="P37" s="532">
        <v>9.7758620689655178</v>
      </c>
      <c r="Q37" s="540">
        <v>126</v>
      </c>
    </row>
    <row r="38" spans="1:17" ht="14.4" customHeight="1" x14ac:dyDescent="0.3">
      <c r="A38" s="526" t="s">
        <v>1197</v>
      </c>
      <c r="B38" s="527" t="s">
        <v>1003</v>
      </c>
      <c r="C38" s="527" t="s">
        <v>1022</v>
      </c>
      <c r="D38" s="527" t="s">
        <v>1072</v>
      </c>
      <c r="E38" s="527" t="s">
        <v>1073</v>
      </c>
      <c r="F38" s="539"/>
      <c r="G38" s="539"/>
      <c r="H38" s="539"/>
      <c r="I38" s="539"/>
      <c r="J38" s="539">
        <v>3</v>
      </c>
      <c r="K38" s="539">
        <v>1476</v>
      </c>
      <c r="L38" s="539"/>
      <c r="M38" s="539">
        <v>492</v>
      </c>
      <c r="N38" s="539"/>
      <c r="O38" s="539"/>
      <c r="P38" s="532"/>
      <c r="Q38" s="540"/>
    </row>
    <row r="39" spans="1:17" ht="14.4" customHeight="1" x14ac:dyDescent="0.3">
      <c r="A39" s="526" t="s">
        <v>1197</v>
      </c>
      <c r="B39" s="527" t="s">
        <v>1003</v>
      </c>
      <c r="C39" s="527" t="s">
        <v>1022</v>
      </c>
      <c r="D39" s="527" t="s">
        <v>1076</v>
      </c>
      <c r="E39" s="527" t="s">
        <v>1047</v>
      </c>
      <c r="F39" s="539"/>
      <c r="G39" s="539"/>
      <c r="H39" s="539"/>
      <c r="I39" s="539"/>
      <c r="J39" s="539"/>
      <c r="K39" s="539"/>
      <c r="L39" s="539"/>
      <c r="M39" s="539"/>
      <c r="N39" s="539">
        <v>1</v>
      </c>
      <c r="O39" s="539">
        <v>688</v>
      </c>
      <c r="P39" s="532"/>
      <c r="Q39" s="540">
        <v>688</v>
      </c>
    </row>
    <row r="40" spans="1:17" ht="14.4" customHeight="1" x14ac:dyDescent="0.3">
      <c r="A40" s="526" t="s">
        <v>1197</v>
      </c>
      <c r="B40" s="527" t="s">
        <v>1003</v>
      </c>
      <c r="C40" s="527" t="s">
        <v>1022</v>
      </c>
      <c r="D40" s="527" t="s">
        <v>1095</v>
      </c>
      <c r="E40" s="527" t="s">
        <v>1096</v>
      </c>
      <c r="F40" s="539"/>
      <c r="G40" s="539"/>
      <c r="H40" s="539"/>
      <c r="I40" s="539"/>
      <c r="J40" s="539"/>
      <c r="K40" s="539"/>
      <c r="L40" s="539"/>
      <c r="M40" s="539"/>
      <c r="N40" s="539">
        <v>1</v>
      </c>
      <c r="O40" s="539">
        <v>364</v>
      </c>
      <c r="P40" s="532"/>
      <c r="Q40" s="540">
        <v>364</v>
      </c>
    </row>
    <row r="41" spans="1:17" ht="14.4" customHeight="1" x14ac:dyDescent="0.3">
      <c r="A41" s="526" t="s">
        <v>1198</v>
      </c>
      <c r="B41" s="527" t="s">
        <v>1003</v>
      </c>
      <c r="C41" s="527" t="s">
        <v>1022</v>
      </c>
      <c r="D41" s="527" t="s">
        <v>1044</v>
      </c>
      <c r="E41" s="527" t="s">
        <v>1045</v>
      </c>
      <c r="F41" s="539"/>
      <c r="G41" s="539"/>
      <c r="H41" s="539"/>
      <c r="I41" s="539"/>
      <c r="J41" s="539"/>
      <c r="K41" s="539"/>
      <c r="L41" s="539"/>
      <c r="M41" s="539"/>
      <c r="N41" s="539">
        <v>1</v>
      </c>
      <c r="O41" s="539">
        <v>126</v>
      </c>
      <c r="P41" s="532"/>
      <c r="Q41" s="540">
        <v>126</v>
      </c>
    </row>
    <row r="42" spans="1:17" ht="14.4" customHeight="1" x14ac:dyDescent="0.3">
      <c r="A42" s="526" t="s">
        <v>1199</v>
      </c>
      <c r="B42" s="527" t="s">
        <v>1003</v>
      </c>
      <c r="C42" s="527" t="s">
        <v>1022</v>
      </c>
      <c r="D42" s="527" t="s">
        <v>1042</v>
      </c>
      <c r="E42" s="527" t="s">
        <v>1043</v>
      </c>
      <c r="F42" s="539"/>
      <c r="G42" s="539"/>
      <c r="H42" s="539"/>
      <c r="I42" s="539"/>
      <c r="J42" s="539">
        <v>1</v>
      </c>
      <c r="K42" s="539">
        <v>235</v>
      </c>
      <c r="L42" s="539"/>
      <c r="M42" s="539">
        <v>235</v>
      </c>
      <c r="N42" s="539"/>
      <c r="O42" s="539"/>
      <c r="P42" s="532"/>
      <c r="Q42" s="540"/>
    </row>
    <row r="43" spans="1:17" ht="14.4" customHeight="1" x14ac:dyDescent="0.3">
      <c r="A43" s="526" t="s">
        <v>1200</v>
      </c>
      <c r="B43" s="527" t="s">
        <v>1003</v>
      </c>
      <c r="C43" s="527" t="s">
        <v>1022</v>
      </c>
      <c r="D43" s="527" t="s">
        <v>1031</v>
      </c>
      <c r="E43" s="527" t="s">
        <v>1032</v>
      </c>
      <c r="F43" s="539">
        <v>5</v>
      </c>
      <c r="G43" s="539">
        <v>170</v>
      </c>
      <c r="H43" s="539">
        <v>1</v>
      </c>
      <c r="I43" s="539">
        <v>34</v>
      </c>
      <c r="J43" s="539">
        <v>6</v>
      </c>
      <c r="K43" s="539">
        <v>210</v>
      </c>
      <c r="L43" s="539">
        <v>1.2352941176470589</v>
      </c>
      <c r="M43" s="539">
        <v>35</v>
      </c>
      <c r="N43" s="539">
        <v>4</v>
      </c>
      <c r="O43" s="539">
        <v>148</v>
      </c>
      <c r="P43" s="532">
        <v>0.87058823529411766</v>
      </c>
      <c r="Q43" s="540">
        <v>37</v>
      </c>
    </row>
    <row r="44" spans="1:17" ht="14.4" customHeight="1" x14ac:dyDescent="0.3">
      <c r="A44" s="526" t="s">
        <v>1200</v>
      </c>
      <c r="B44" s="527" t="s">
        <v>1003</v>
      </c>
      <c r="C44" s="527" t="s">
        <v>1022</v>
      </c>
      <c r="D44" s="527" t="s">
        <v>1039</v>
      </c>
      <c r="E44" s="527" t="s">
        <v>1040</v>
      </c>
      <c r="F44" s="539">
        <v>1</v>
      </c>
      <c r="G44" s="539">
        <v>156</v>
      </c>
      <c r="H44" s="539">
        <v>1</v>
      </c>
      <c r="I44" s="539">
        <v>156</v>
      </c>
      <c r="J44" s="539"/>
      <c r="K44" s="539"/>
      <c r="L44" s="539"/>
      <c r="M44" s="539"/>
      <c r="N44" s="539"/>
      <c r="O44" s="539"/>
      <c r="P44" s="532"/>
      <c r="Q44" s="540"/>
    </row>
    <row r="45" spans="1:17" ht="14.4" customHeight="1" x14ac:dyDescent="0.3">
      <c r="A45" s="526" t="s">
        <v>1200</v>
      </c>
      <c r="B45" s="527" t="s">
        <v>1003</v>
      </c>
      <c r="C45" s="527" t="s">
        <v>1022</v>
      </c>
      <c r="D45" s="527" t="s">
        <v>1042</v>
      </c>
      <c r="E45" s="527" t="s">
        <v>1043</v>
      </c>
      <c r="F45" s="539">
        <v>2</v>
      </c>
      <c r="G45" s="539">
        <v>464</v>
      </c>
      <c r="H45" s="539">
        <v>1</v>
      </c>
      <c r="I45" s="539">
        <v>232</v>
      </c>
      <c r="J45" s="539">
        <v>5</v>
      </c>
      <c r="K45" s="539">
        <v>1175</v>
      </c>
      <c r="L45" s="539">
        <v>2.5323275862068964</v>
      </c>
      <c r="M45" s="539">
        <v>235</v>
      </c>
      <c r="N45" s="539">
        <v>2</v>
      </c>
      <c r="O45" s="539">
        <v>502</v>
      </c>
      <c r="P45" s="532">
        <v>1.0818965517241379</v>
      </c>
      <c r="Q45" s="540">
        <v>251</v>
      </c>
    </row>
    <row r="46" spans="1:17" ht="14.4" customHeight="1" x14ac:dyDescent="0.3">
      <c r="A46" s="526" t="s">
        <v>1200</v>
      </c>
      <c r="B46" s="527" t="s">
        <v>1003</v>
      </c>
      <c r="C46" s="527" t="s">
        <v>1022</v>
      </c>
      <c r="D46" s="527" t="s">
        <v>1044</v>
      </c>
      <c r="E46" s="527" t="s">
        <v>1045</v>
      </c>
      <c r="F46" s="539">
        <v>38</v>
      </c>
      <c r="G46" s="539">
        <v>4408</v>
      </c>
      <c r="H46" s="539">
        <v>1</v>
      </c>
      <c r="I46" s="539">
        <v>116</v>
      </c>
      <c r="J46" s="539">
        <v>42</v>
      </c>
      <c r="K46" s="539">
        <v>4956</v>
      </c>
      <c r="L46" s="539">
        <v>1.1243194192377495</v>
      </c>
      <c r="M46" s="539">
        <v>118</v>
      </c>
      <c r="N46" s="539">
        <v>34</v>
      </c>
      <c r="O46" s="539">
        <v>4284</v>
      </c>
      <c r="P46" s="532">
        <v>0.97186932849364793</v>
      </c>
      <c r="Q46" s="540">
        <v>126</v>
      </c>
    </row>
    <row r="47" spans="1:17" ht="14.4" customHeight="1" x14ac:dyDescent="0.3">
      <c r="A47" s="526" t="s">
        <v>1200</v>
      </c>
      <c r="B47" s="527" t="s">
        <v>1003</v>
      </c>
      <c r="C47" s="527" t="s">
        <v>1022</v>
      </c>
      <c r="D47" s="527" t="s">
        <v>1046</v>
      </c>
      <c r="E47" s="527" t="s">
        <v>1047</v>
      </c>
      <c r="F47" s="539">
        <v>1</v>
      </c>
      <c r="G47" s="539">
        <v>527</v>
      </c>
      <c r="H47" s="539">
        <v>1</v>
      </c>
      <c r="I47" s="539">
        <v>527</v>
      </c>
      <c r="J47" s="539"/>
      <c r="K47" s="539"/>
      <c r="L47" s="539"/>
      <c r="M47" s="539"/>
      <c r="N47" s="539">
        <v>2</v>
      </c>
      <c r="O47" s="539">
        <v>1080</v>
      </c>
      <c r="P47" s="532">
        <v>2.0493358633776091</v>
      </c>
      <c r="Q47" s="540">
        <v>540</v>
      </c>
    </row>
    <row r="48" spans="1:17" ht="14.4" customHeight="1" x14ac:dyDescent="0.3">
      <c r="A48" s="526" t="s">
        <v>1200</v>
      </c>
      <c r="B48" s="527" t="s">
        <v>1003</v>
      </c>
      <c r="C48" s="527" t="s">
        <v>1022</v>
      </c>
      <c r="D48" s="527" t="s">
        <v>1048</v>
      </c>
      <c r="E48" s="527" t="s">
        <v>1049</v>
      </c>
      <c r="F48" s="539">
        <v>15</v>
      </c>
      <c r="G48" s="539">
        <v>7215</v>
      </c>
      <c r="H48" s="539">
        <v>1</v>
      </c>
      <c r="I48" s="539">
        <v>481</v>
      </c>
      <c r="J48" s="539">
        <v>6</v>
      </c>
      <c r="K48" s="539">
        <v>2916</v>
      </c>
      <c r="L48" s="539">
        <v>0.40415800415800418</v>
      </c>
      <c r="M48" s="539">
        <v>486</v>
      </c>
      <c r="N48" s="539">
        <v>8</v>
      </c>
      <c r="O48" s="539">
        <v>4000</v>
      </c>
      <c r="P48" s="532">
        <v>0.55440055440055436</v>
      </c>
      <c r="Q48" s="540">
        <v>500</v>
      </c>
    </row>
    <row r="49" spans="1:17" ht="14.4" customHeight="1" x14ac:dyDescent="0.3">
      <c r="A49" s="526" t="s">
        <v>1200</v>
      </c>
      <c r="B49" s="527" t="s">
        <v>1003</v>
      </c>
      <c r="C49" s="527" t="s">
        <v>1022</v>
      </c>
      <c r="D49" s="527" t="s">
        <v>1050</v>
      </c>
      <c r="E49" s="527" t="s">
        <v>1051</v>
      </c>
      <c r="F49" s="539">
        <v>20</v>
      </c>
      <c r="G49" s="539">
        <v>13180</v>
      </c>
      <c r="H49" s="539">
        <v>1</v>
      </c>
      <c r="I49" s="539">
        <v>659</v>
      </c>
      <c r="J49" s="539"/>
      <c r="K49" s="539"/>
      <c r="L49" s="539"/>
      <c r="M49" s="539"/>
      <c r="N49" s="539"/>
      <c r="O49" s="539"/>
      <c r="P49" s="532"/>
      <c r="Q49" s="540"/>
    </row>
    <row r="50" spans="1:17" ht="14.4" customHeight="1" x14ac:dyDescent="0.3">
      <c r="A50" s="526" t="s">
        <v>1200</v>
      </c>
      <c r="B50" s="527" t="s">
        <v>1003</v>
      </c>
      <c r="C50" s="527" t="s">
        <v>1022</v>
      </c>
      <c r="D50" s="527" t="s">
        <v>1052</v>
      </c>
      <c r="E50" s="527" t="s">
        <v>1053</v>
      </c>
      <c r="F50" s="539">
        <v>24</v>
      </c>
      <c r="G50" s="539">
        <v>24024</v>
      </c>
      <c r="H50" s="539">
        <v>1</v>
      </c>
      <c r="I50" s="539">
        <v>1001</v>
      </c>
      <c r="J50" s="539">
        <v>8</v>
      </c>
      <c r="K50" s="539">
        <v>8096</v>
      </c>
      <c r="L50" s="539">
        <v>0.33699633699633702</v>
      </c>
      <c r="M50" s="539">
        <v>1012</v>
      </c>
      <c r="N50" s="539">
        <v>7</v>
      </c>
      <c r="O50" s="539">
        <v>7217</v>
      </c>
      <c r="P50" s="532">
        <v>0.30040792540792538</v>
      </c>
      <c r="Q50" s="540">
        <v>1031</v>
      </c>
    </row>
    <row r="51" spans="1:17" ht="14.4" customHeight="1" x14ac:dyDescent="0.3">
      <c r="A51" s="526" t="s">
        <v>1200</v>
      </c>
      <c r="B51" s="527" t="s">
        <v>1003</v>
      </c>
      <c r="C51" s="527" t="s">
        <v>1022</v>
      </c>
      <c r="D51" s="527" t="s">
        <v>1122</v>
      </c>
      <c r="E51" s="527" t="s">
        <v>1123</v>
      </c>
      <c r="F51" s="539">
        <v>3</v>
      </c>
      <c r="G51" s="539">
        <v>6000</v>
      </c>
      <c r="H51" s="539">
        <v>1</v>
      </c>
      <c r="I51" s="539">
        <v>2000</v>
      </c>
      <c r="J51" s="539">
        <v>2</v>
      </c>
      <c r="K51" s="539">
        <v>4034</v>
      </c>
      <c r="L51" s="539">
        <v>0.67233333333333334</v>
      </c>
      <c r="M51" s="539">
        <v>2017</v>
      </c>
      <c r="N51" s="539">
        <v>3</v>
      </c>
      <c r="O51" s="539">
        <v>6294</v>
      </c>
      <c r="P51" s="532">
        <v>1.0489999999999999</v>
      </c>
      <c r="Q51" s="540">
        <v>2098</v>
      </c>
    </row>
    <row r="52" spans="1:17" ht="14.4" customHeight="1" x14ac:dyDescent="0.3">
      <c r="A52" s="526" t="s">
        <v>1200</v>
      </c>
      <c r="B52" s="527" t="s">
        <v>1003</v>
      </c>
      <c r="C52" s="527" t="s">
        <v>1022</v>
      </c>
      <c r="D52" s="527" t="s">
        <v>1124</v>
      </c>
      <c r="E52" s="527" t="s">
        <v>1125</v>
      </c>
      <c r="F52" s="539"/>
      <c r="G52" s="539"/>
      <c r="H52" s="539"/>
      <c r="I52" s="539"/>
      <c r="J52" s="539">
        <v>4</v>
      </c>
      <c r="K52" s="539">
        <v>4940</v>
      </c>
      <c r="L52" s="539"/>
      <c r="M52" s="539">
        <v>1235</v>
      </c>
      <c r="N52" s="539"/>
      <c r="O52" s="539"/>
      <c r="P52" s="532"/>
      <c r="Q52" s="540"/>
    </row>
    <row r="53" spans="1:17" ht="14.4" customHeight="1" x14ac:dyDescent="0.3">
      <c r="A53" s="526" t="s">
        <v>1200</v>
      </c>
      <c r="B53" s="527" t="s">
        <v>1003</v>
      </c>
      <c r="C53" s="527" t="s">
        <v>1022</v>
      </c>
      <c r="D53" s="527" t="s">
        <v>1126</v>
      </c>
      <c r="E53" s="527" t="s">
        <v>1127</v>
      </c>
      <c r="F53" s="539">
        <v>1</v>
      </c>
      <c r="G53" s="539">
        <v>932</v>
      </c>
      <c r="H53" s="539">
        <v>1</v>
      </c>
      <c r="I53" s="539">
        <v>932</v>
      </c>
      <c r="J53" s="539">
        <v>3</v>
      </c>
      <c r="K53" s="539">
        <v>2838</v>
      </c>
      <c r="L53" s="539">
        <v>3.0450643776824036</v>
      </c>
      <c r="M53" s="539">
        <v>946</v>
      </c>
      <c r="N53" s="539"/>
      <c r="O53" s="539"/>
      <c r="P53" s="532"/>
      <c r="Q53" s="540"/>
    </row>
    <row r="54" spans="1:17" ht="14.4" customHeight="1" x14ac:dyDescent="0.3">
      <c r="A54" s="526" t="s">
        <v>1200</v>
      </c>
      <c r="B54" s="527" t="s">
        <v>1003</v>
      </c>
      <c r="C54" s="527" t="s">
        <v>1022</v>
      </c>
      <c r="D54" s="527" t="s">
        <v>1128</v>
      </c>
      <c r="E54" s="527" t="s">
        <v>1129</v>
      </c>
      <c r="F54" s="539"/>
      <c r="G54" s="539"/>
      <c r="H54" s="539"/>
      <c r="I54" s="539"/>
      <c r="J54" s="539">
        <v>1</v>
      </c>
      <c r="K54" s="539">
        <v>825</v>
      </c>
      <c r="L54" s="539"/>
      <c r="M54" s="539">
        <v>825</v>
      </c>
      <c r="N54" s="539">
        <v>1</v>
      </c>
      <c r="O54" s="539">
        <v>844</v>
      </c>
      <c r="P54" s="532"/>
      <c r="Q54" s="540">
        <v>844</v>
      </c>
    </row>
    <row r="55" spans="1:17" ht="14.4" customHeight="1" x14ac:dyDescent="0.3">
      <c r="A55" s="526" t="s">
        <v>1200</v>
      </c>
      <c r="B55" s="527" t="s">
        <v>1003</v>
      </c>
      <c r="C55" s="527" t="s">
        <v>1022</v>
      </c>
      <c r="D55" s="527" t="s">
        <v>1134</v>
      </c>
      <c r="E55" s="527" t="s">
        <v>1135</v>
      </c>
      <c r="F55" s="539">
        <v>7</v>
      </c>
      <c r="G55" s="539">
        <v>10493</v>
      </c>
      <c r="H55" s="539">
        <v>1</v>
      </c>
      <c r="I55" s="539">
        <v>1499</v>
      </c>
      <c r="J55" s="539">
        <v>5</v>
      </c>
      <c r="K55" s="539">
        <v>7555</v>
      </c>
      <c r="L55" s="539">
        <v>0.72000381206518627</v>
      </c>
      <c r="M55" s="539">
        <v>1511</v>
      </c>
      <c r="N55" s="539">
        <v>3</v>
      </c>
      <c r="O55" s="539">
        <v>4701</v>
      </c>
      <c r="P55" s="532">
        <v>0.44801296102163346</v>
      </c>
      <c r="Q55" s="540">
        <v>1567</v>
      </c>
    </row>
    <row r="56" spans="1:17" ht="14.4" customHeight="1" x14ac:dyDescent="0.3">
      <c r="A56" s="526" t="s">
        <v>1200</v>
      </c>
      <c r="B56" s="527" t="s">
        <v>1003</v>
      </c>
      <c r="C56" s="527" t="s">
        <v>1022</v>
      </c>
      <c r="D56" s="527" t="s">
        <v>1201</v>
      </c>
      <c r="E56" s="527" t="s">
        <v>1202</v>
      </c>
      <c r="F56" s="539"/>
      <c r="G56" s="539"/>
      <c r="H56" s="539"/>
      <c r="I56" s="539"/>
      <c r="J56" s="539"/>
      <c r="K56" s="539"/>
      <c r="L56" s="539"/>
      <c r="M56" s="539"/>
      <c r="N56" s="539">
        <v>1</v>
      </c>
      <c r="O56" s="539">
        <v>618</v>
      </c>
      <c r="P56" s="532"/>
      <c r="Q56" s="540">
        <v>618</v>
      </c>
    </row>
    <row r="57" spans="1:17" ht="14.4" customHeight="1" x14ac:dyDescent="0.3">
      <c r="A57" s="526" t="s">
        <v>1200</v>
      </c>
      <c r="B57" s="527" t="s">
        <v>1003</v>
      </c>
      <c r="C57" s="527" t="s">
        <v>1022</v>
      </c>
      <c r="D57" s="527" t="s">
        <v>1066</v>
      </c>
      <c r="E57" s="527" t="s">
        <v>1067</v>
      </c>
      <c r="F57" s="539">
        <v>25</v>
      </c>
      <c r="G57" s="539">
        <v>2025</v>
      </c>
      <c r="H57" s="539">
        <v>1</v>
      </c>
      <c r="I57" s="539">
        <v>81</v>
      </c>
      <c r="J57" s="539">
        <v>26</v>
      </c>
      <c r="K57" s="539">
        <v>2132</v>
      </c>
      <c r="L57" s="539">
        <v>1.0528395061728395</v>
      </c>
      <c r="M57" s="539">
        <v>82</v>
      </c>
      <c r="N57" s="539">
        <v>28</v>
      </c>
      <c r="O57" s="539">
        <v>2408</v>
      </c>
      <c r="P57" s="532">
        <v>1.1891358024691359</v>
      </c>
      <c r="Q57" s="540">
        <v>86</v>
      </c>
    </row>
    <row r="58" spans="1:17" ht="14.4" customHeight="1" x14ac:dyDescent="0.3">
      <c r="A58" s="526" t="s">
        <v>1200</v>
      </c>
      <c r="B58" s="527" t="s">
        <v>1003</v>
      </c>
      <c r="C58" s="527" t="s">
        <v>1022</v>
      </c>
      <c r="D58" s="527" t="s">
        <v>1072</v>
      </c>
      <c r="E58" s="527" t="s">
        <v>1073</v>
      </c>
      <c r="F58" s="539">
        <v>1</v>
      </c>
      <c r="G58" s="539">
        <v>485</v>
      </c>
      <c r="H58" s="539">
        <v>1</v>
      </c>
      <c r="I58" s="539">
        <v>485</v>
      </c>
      <c r="J58" s="539">
        <v>3</v>
      </c>
      <c r="K58" s="539">
        <v>1476</v>
      </c>
      <c r="L58" s="539">
        <v>3.0432989690721648</v>
      </c>
      <c r="M58" s="539">
        <v>492</v>
      </c>
      <c r="N58" s="539">
        <v>4</v>
      </c>
      <c r="O58" s="539">
        <v>2020</v>
      </c>
      <c r="P58" s="532">
        <v>4.1649484536082477</v>
      </c>
      <c r="Q58" s="540">
        <v>505</v>
      </c>
    </row>
    <row r="59" spans="1:17" ht="14.4" customHeight="1" x14ac:dyDescent="0.3">
      <c r="A59" s="526" t="s">
        <v>1200</v>
      </c>
      <c r="B59" s="527" t="s">
        <v>1003</v>
      </c>
      <c r="C59" s="527" t="s">
        <v>1022</v>
      </c>
      <c r="D59" s="527" t="s">
        <v>1079</v>
      </c>
      <c r="E59" s="527" t="s">
        <v>1080</v>
      </c>
      <c r="F59" s="539">
        <v>1</v>
      </c>
      <c r="G59" s="539">
        <v>431</v>
      </c>
      <c r="H59" s="539">
        <v>1</v>
      </c>
      <c r="I59" s="539">
        <v>431</v>
      </c>
      <c r="J59" s="539"/>
      <c r="K59" s="539"/>
      <c r="L59" s="539"/>
      <c r="M59" s="539"/>
      <c r="N59" s="539"/>
      <c r="O59" s="539"/>
      <c r="P59" s="532"/>
      <c r="Q59" s="540"/>
    </row>
    <row r="60" spans="1:17" ht="14.4" customHeight="1" x14ac:dyDescent="0.3">
      <c r="A60" s="526" t="s">
        <v>1200</v>
      </c>
      <c r="B60" s="527" t="s">
        <v>1003</v>
      </c>
      <c r="C60" s="527" t="s">
        <v>1022</v>
      </c>
      <c r="D60" s="527" t="s">
        <v>1138</v>
      </c>
      <c r="E60" s="527" t="s">
        <v>1139</v>
      </c>
      <c r="F60" s="539">
        <v>3</v>
      </c>
      <c r="G60" s="539">
        <v>2052</v>
      </c>
      <c r="H60" s="539">
        <v>1</v>
      </c>
      <c r="I60" s="539">
        <v>684</v>
      </c>
      <c r="J60" s="539">
        <v>2</v>
      </c>
      <c r="K60" s="539">
        <v>1382</v>
      </c>
      <c r="L60" s="539">
        <v>0.67348927875243669</v>
      </c>
      <c r="M60" s="539">
        <v>691</v>
      </c>
      <c r="N60" s="539">
        <v>3</v>
      </c>
      <c r="O60" s="539">
        <v>2148</v>
      </c>
      <c r="P60" s="532">
        <v>1.0467836257309941</v>
      </c>
      <c r="Q60" s="540">
        <v>716</v>
      </c>
    </row>
    <row r="61" spans="1:17" ht="14.4" customHeight="1" x14ac:dyDescent="0.3">
      <c r="A61" s="526" t="s">
        <v>1200</v>
      </c>
      <c r="B61" s="527" t="s">
        <v>1003</v>
      </c>
      <c r="C61" s="527" t="s">
        <v>1022</v>
      </c>
      <c r="D61" s="527" t="s">
        <v>1093</v>
      </c>
      <c r="E61" s="527" t="s">
        <v>1094</v>
      </c>
      <c r="F61" s="539"/>
      <c r="G61" s="539"/>
      <c r="H61" s="539"/>
      <c r="I61" s="539"/>
      <c r="J61" s="539">
        <v>1</v>
      </c>
      <c r="K61" s="539">
        <v>121</v>
      </c>
      <c r="L61" s="539"/>
      <c r="M61" s="539">
        <v>121</v>
      </c>
      <c r="N61" s="539">
        <v>1</v>
      </c>
      <c r="O61" s="539">
        <v>123</v>
      </c>
      <c r="P61" s="532"/>
      <c r="Q61" s="540">
        <v>123</v>
      </c>
    </row>
    <row r="62" spans="1:17" ht="14.4" customHeight="1" x14ac:dyDescent="0.3">
      <c r="A62" s="526" t="s">
        <v>1200</v>
      </c>
      <c r="B62" s="527" t="s">
        <v>1003</v>
      </c>
      <c r="C62" s="527" t="s">
        <v>1022</v>
      </c>
      <c r="D62" s="527" t="s">
        <v>1095</v>
      </c>
      <c r="E62" s="527" t="s">
        <v>1096</v>
      </c>
      <c r="F62" s="539">
        <v>2</v>
      </c>
      <c r="G62" s="539">
        <v>702</v>
      </c>
      <c r="H62" s="539">
        <v>1</v>
      </c>
      <c r="I62" s="539">
        <v>351</v>
      </c>
      <c r="J62" s="539"/>
      <c r="K62" s="539"/>
      <c r="L62" s="539"/>
      <c r="M62" s="539"/>
      <c r="N62" s="539"/>
      <c r="O62" s="539"/>
      <c r="P62" s="532"/>
      <c r="Q62" s="540"/>
    </row>
    <row r="63" spans="1:17" ht="14.4" customHeight="1" x14ac:dyDescent="0.3">
      <c r="A63" s="526" t="s">
        <v>1200</v>
      </c>
      <c r="B63" s="527" t="s">
        <v>1003</v>
      </c>
      <c r="C63" s="527" t="s">
        <v>1022</v>
      </c>
      <c r="D63" s="527" t="s">
        <v>1144</v>
      </c>
      <c r="E63" s="527" t="s">
        <v>1145</v>
      </c>
      <c r="F63" s="539"/>
      <c r="G63" s="539"/>
      <c r="H63" s="539"/>
      <c r="I63" s="539"/>
      <c r="J63" s="539">
        <v>3</v>
      </c>
      <c r="K63" s="539">
        <v>4794</v>
      </c>
      <c r="L63" s="539"/>
      <c r="M63" s="539">
        <v>1598</v>
      </c>
      <c r="N63" s="539"/>
      <c r="O63" s="539"/>
      <c r="P63" s="532"/>
      <c r="Q63" s="540"/>
    </row>
    <row r="64" spans="1:17" ht="14.4" customHeight="1" x14ac:dyDescent="0.3">
      <c r="A64" s="526" t="s">
        <v>1200</v>
      </c>
      <c r="B64" s="527" t="s">
        <v>1003</v>
      </c>
      <c r="C64" s="527" t="s">
        <v>1022</v>
      </c>
      <c r="D64" s="527" t="s">
        <v>1146</v>
      </c>
      <c r="E64" s="527" t="s">
        <v>1147</v>
      </c>
      <c r="F64" s="539"/>
      <c r="G64" s="539"/>
      <c r="H64" s="539"/>
      <c r="I64" s="539"/>
      <c r="J64" s="539">
        <v>6</v>
      </c>
      <c r="K64" s="539">
        <v>696</v>
      </c>
      <c r="L64" s="539"/>
      <c r="M64" s="539">
        <v>116</v>
      </c>
      <c r="N64" s="539"/>
      <c r="O64" s="539"/>
      <c r="P64" s="532"/>
      <c r="Q64" s="540"/>
    </row>
    <row r="65" spans="1:17" ht="14.4" customHeight="1" x14ac:dyDescent="0.3">
      <c r="A65" s="526" t="s">
        <v>1200</v>
      </c>
      <c r="B65" s="527" t="s">
        <v>1003</v>
      </c>
      <c r="C65" s="527" t="s">
        <v>1022</v>
      </c>
      <c r="D65" s="527" t="s">
        <v>1097</v>
      </c>
      <c r="E65" s="527" t="s">
        <v>1098</v>
      </c>
      <c r="F65" s="539">
        <v>1</v>
      </c>
      <c r="G65" s="539">
        <v>200</v>
      </c>
      <c r="H65" s="539">
        <v>1</v>
      </c>
      <c r="I65" s="539">
        <v>200</v>
      </c>
      <c r="J65" s="539"/>
      <c r="K65" s="539"/>
      <c r="L65" s="539"/>
      <c r="M65" s="539"/>
      <c r="N65" s="539">
        <v>1</v>
      </c>
      <c r="O65" s="539">
        <v>208</v>
      </c>
      <c r="P65" s="532">
        <v>1.04</v>
      </c>
      <c r="Q65" s="540">
        <v>208</v>
      </c>
    </row>
    <row r="66" spans="1:17" ht="14.4" customHeight="1" x14ac:dyDescent="0.3">
      <c r="A66" s="526" t="s">
        <v>1200</v>
      </c>
      <c r="B66" s="527" t="s">
        <v>1003</v>
      </c>
      <c r="C66" s="527" t="s">
        <v>1022</v>
      </c>
      <c r="D66" s="527" t="s">
        <v>1099</v>
      </c>
      <c r="E66" s="527" t="s">
        <v>1100</v>
      </c>
      <c r="F66" s="539">
        <v>1</v>
      </c>
      <c r="G66" s="539">
        <v>241</v>
      </c>
      <c r="H66" s="539">
        <v>1</v>
      </c>
      <c r="I66" s="539">
        <v>241</v>
      </c>
      <c r="J66" s="539"/>
      <c r="K66" s="539"/>
      <c r="L66" s="539"/>
      <c r="M66" s="539"/>
      <c r="N66" s="539"/>
      <c r="O66" s="539"/>
      <c r="P66" s="532"/>
      <c r="Q66" s="540"/>
    </row>
    <row r="67" spans="1:17" ht="14.4" customHeight="1" x14ac:dyDescent="0.3">
      <c r="A67" s="526" t="s">
        <v>1200</v>
      </c>
      <c r="B67" s="527" t="s">
        <v>1003</v>
      </c>
      <c r="C67" s="527" t="s">
        <v>1022</v>
      </c>
      <c r="D67" s="527" t="s">
        <v>1150</v>
      </c>
      <c r="E67" s="527" t="s">
        <v>1151</v>
      </c>
      <c r="F67" s="539">
        <v>1</v>
      </c>
      <c r="G67" s="539">
        <v>1653</v>
      </c>
      <c r="H67" s="539">
        <v>1</v>
      </c>
      <c r="I67" s="539">
        <v>1653</v>
      </c>
      <c r="J67" s="539"/>
      <c r="K67" s="539"/>
      <c r="L67" s="539"/>
      <c r="M67" s="539"/>
      <c r="N67" s="539"/>
      <c r="O67" s="539"/>
      <c r="P67" s="532"/>
      <c r="Q67" s="540"/>
    </row>
    <row r="68" spans="1:17" ht="14.4" customHeight="1" x14ac:dyDescent="0.3">
      <c r="A68" s="526" t="s">
        <v>1200</v>
      </c>
      <c r="B68" s="527" t="s">
        <v>1003</v>
      </c>
      <c r="C68" s="527" t="s">
        <v>1022</v>
      </c>
      <c r="D68" s="527" t="s">
        <v>526</v>
      </c>
      <c r="E68" s="527" t="s">
        <v>1192</v>
      </c>
      <c r="F68" s="539"/>
      <c r="G68" s="539"/>
      <c r="H68" s="539"/>
      <c r="I68" s="539"/>
      <c r="J68" s="539"/>
      <c r="K68" s="539"/>
      <c r="L68" s="539"/>
      <c r="M68" s="539"/>
      <c r="N68" s="539">
        <v>1</v>
      </c>
      <c r="O68" s="539">
        <v>1229</v>
      </c>
      <c r="P68" s="532"/>
      <c r="Q68" s="540">
        <v>1229</v>
      </c>
    </row>
    <row r="69" spans="1:17" ht="14.4" customHeight="1" x14ac:dyDescent="0.3">
      <c r="A69" s="526" t="s">
        <v>1200</v>
      </c>
      <c r="B69" s="527" t="s">
        <v>1003</v>
      </c>
      <c r="C69" s="527" t="s">
        <v>1022</v>
      </c>
      <c r="D69" s="527" t="s">
        <v>1103</v>
      </c>
      <c r="E69" s="527" t="s">
        <v>1104</v>
      </c>
      <c r="F69" s="539"/>
      <c r="G69" s="539"/>
      <c r="H69" s="539"/>
      <c r="I69" s="539"/>
      <c r="J69" s="539">
        <v>3</v>
      </c>
      <c r="K69" s="539">
        <v>954</v>
      </c>
      <c r="L69" s="539"/>
      <c r="M69" s="539">
        <v>318</v>
      </c>
      <c r="N69" s="539"/>
      <c r="O69" s="539"/>
      <c r="P69" s="532"/>
      <c r="Q69" s="540"/>
    </row>
    <row r="70" spans="1:17" ht="14.4" customHeight="1" x14ac:dyDescent="0.3">
      <c r="A70" s="526" t="s">
        <v>1200</v>
      </c>
      <c r="B70" s="527" t="s">
        <v>1003</v>
      </c>
      <c r="C70" s="527" t="s">
        <v>1022</v>
      </c>
      <c r="D70" s="527" t="s">
        <v>1152</v>
      </c>
      <c r="E70" s="527" t="s">
        <v>1153</v>
      </c>
      <c r="F70" s="539"/>
      <c r="G70" s="539"/>
      <c r="H70" s="539"/>
      <c r="I70" s="539"/>
      <c r="J70" s="539">
        <v>1</v>
      </c>
      <c r="K70" s="539">
        <v>1008</v>
      </c>
      <c r="L70" s="539"/>
      <c r="M70" s="539">
        <v>1008</v>
      </c>
      <c r="N70" s="539"/>
      <c r="O70" s="539"/>
      <c r="P70" s="532"/>
      <c r="Q70" s="540"/>
    </row>
    <row r="71" spans="1:17" ht="14.4" customHeight="1" x14ac:dyDescent="0.3">
      <c r="A71" s="526" t="s">
        <v>1200</v>
      </c>
      <c r="B71" s="527" t="s">
        <v>1003</v>
      </c>
      <c r="C71" s="527" t="s">
        <v>1022</v>
      </c>
      <c r="D71" s="527" t="s">
        <v>1105</v>
      </c>
      <c r="E71" s="527" t="s">
        <v>1106</v>
      </c>
      <c r="F71" s="539">
        <v>4</v>
      </c>
      <c r="G71" s="539">
        <v>3232</v>
      </c>
      <c r="H71" s="539">
        <v>1</v>
      </c>
      <c r="I71" s="539">
        <v>808</v>
      </c>
      <c r="J71" s="539">
        <v>1</v>
      </c>
      <c r="K71" s="539">
        <v>815</v>
      </c>
      <c r="L71" s="539">
        <v>0.25216584158415839</v>
      </c>
      <c r="M71" s="539">
        <v>815</v>
      </c>
      <c r="N71" s="539"/>
      <c r="O71" s="539"/>
      <c r="P71" s="532"/>
      <c r="Q71" s="540"/>
    </row>
    <row r="72" spans="1:17" ht="14.4" customHeight="1" x14ac:dyDescent="0.3">
      <c r="A72" s="526" t="s">
        <v>1200</v>
      </c>
      <c r="B72" s="527" t="s">
        <v>1003</v>
      </c>
      <c r="C72" s="527" t="s">
        <v>1022</v>
      </c>
      <c r="D72" s="527" t="s">
        <v>1107</v>
      </c>
      <c r="E72" s="527" t="s">
        <v>1108</v>
      </c>
      <c r="F72" s="539"/>
      <c r="G72" s="539"/>
      <c r="H72" s="539"/>
      <c r="I72" s="539"/>
      <c r="J72" s="539">
        <v>3</v>
      </c>
      <c r="K72" s="539">
        <v>2586</v>
      </c>
      <c r="L72" s="539"/>
      <c r="M72" s="539">
        <v>862</v>
      </c>
      <c r="N72" s="539"/>
      <c r="O72" s="539"/>
      <c r="P72" s="532"/>
      <c r="Q72" s="540"/>
    </row>
    <row r="73" spans="1:17" ht="14.4" customHeight="1" x14ac:dyDescent="0.3">
      <c r="A73" s="526" t="s">
        <v>1200</v>
      </c>
      <c r="B73" s="527" t="s">
        <v>1003</v>
      </c>
      <c r="C73" s="527" t="s">
        <v>1022</v>
      </c>
      <c r="D73" s="527" t="s">
        <v>1154</v>
      </c>
      <c r="E73" s="527" t="s">
        <v>1155</v>
      </c>
      <c r="F73" s="539">
        <v>1</v>
      </c>
      <c r="G73" s="539">
        <v>1154</v>
      </c>
      <c r="H73" s="539">
        <v>1</v>
      </c>
      <c r="I73" s="539">
        <v>1154</v>
      </c>
      <c r="J73" s="539"/>
      <c r="K73" s="539"/>
      <c r="L73" s="539"/>
      <c r="M73" s="539"/>
      <c r="N73" s="539">
        <v>1</v>
      </c>
      <c r="O73" s="539">
        <v>1200</v>
      </c>
      <c r="P73" s="532">
        <v>1.0398613518197575</v>
      </c>
      <c r="Q73" s="540">
        <v>1200</v>
      </c>
    </row>
    <row r="74" spans="1:17" ht="14.4" customHeight="1" x14ac:dyDescent="0.3">
      <c r="A74" s="526" t="s">
        <v>1200</v>
      </c>
      <c r="B74" s="527" t="s">
        <v>1003</v>
      </c>
      <c r="C74" s="527" t="s">
        <v>1022</v>
      </c>
      <c r="D74" s="527" t="s">
        <v>1156</v>
      </c>
      <c r="E74" s="527" t="s">
        <v>1157</v>
      </c>
      <c r="F74" s="539"/>
      <c r="G74" s="539"/>
      <c r="H74" s="539"/>
      <c r="I74" s="539"/>
      <c r="J74" s="539">
        <v>1</v>
      </c>
      <c r="K74" s="539">
        <v>1803</v>
      </c>
      <c r="L74" s="539"/>
      <c r="M74" s="539">
        <v>1803</v>
      </c>
      <c r="N74" s="539"/>
      <c r="O74" s="539"/>
      <c r="P74" s="532"/>
      <c r="Q74" s="540"/>
    </row>
    <row r="75" spans="1:17" ht="14.4" customHeight="1" x14ac:dyDescent="0.3">
      <c r="A75" s="526" t="s">
        <v>1200</v>
      </c>
      <c r="B75" s="527" t="s">
        <v>1003</v>
      </c>
      <c r="C75" s="527" t="s">
        <v>1022</v>
      </c>
      <c r="D75" s="527" t="s">
        <v>1111</v>
      </c>
      <c r="E75" s="527" t="s">
        <v>1112</v>
      </c>
      <c r="F75" s="539"/>
      <c r="G75" s="539"/>
      <c r="H75" s="539"/>
      <c r="I75" s="539"/>
      <c r="J75" s="539">
        <v>1</v>
      </c>
      <c r="K75" s="539">
        <v>1027</v>
      </c>
      <c r="L75" s="539"/>
      <c r="M75" s="539">
        <v>1027</v>
      </c>
      <c r="N75" s="539"/>
      <c r="O75" s="539"/>
      <c r="P75" s="532"/>
      <c r="Q75" s="540"/>
    </row>
    <row r="76" spans="1:17" ht="14.4" customHeight="1" x14ac:dyDescent="0.3">
      <c r="A76" s="526" t="s">
        <v>1200</v>
      </c>
      <c r="B76" s="527" t="s">
        <v>1003</v>
      </c>
      <c r="C76" s="527" t="s">
        <v>1022</v>
      </c>
      <c r="D76" s="527" t="s">
        <v>1164</v>
      </c>
      <c r="E76" s="527" t="s">
        <v>1165</v>
      </c>
      <c r="F76" s="539"/>
      <c r="G76" s="539"/>
      <c r="H76" s="539"/>
      <c r="I76" s="539"/>
      <c r="J76" s="539"/>
      <c r="K76" s="539"/>
      <c r="L76" s="539"/>
      <c r="M76" s="539"/>
      <c r="N76" s="539">
        <v>1</v>
      </c>
      <c r="O76" s="539">
        <v>589</v>
      </c>
      <c r="P76" s="532"/>
      <c r="Q76" s="540">
        <v>589</v>
      </c>
    </row>
    <row r="77" spans="1:17" ht="14.4" customHeight="1" x14ac:dyDescent="0.3">
      <c r="A77" s="526" t="s">
        <v>1203</v>
      </c>
      <c r="B77" s="527" t="s">
        <v>1003</v>
      </c>
      <c r="C77" s="527" t="s">
        <v>1022</v>
      </c>
      <c r="D77" s="527" t="s">
        <v>1031</v>
      </c>
      <c r="E77" s="527" t="s">
        <v>1032</v>
      </c>
      <c r="F77" s="539"/>
      <c r="G77" s="539"/>
      <c r="H77" s="539"/>
      <c r="I77" s="539"/>
      <c r="J77" s="539">
        <v>1</v>
      </c>
      <c r="K77" s="539">
        <v>35</v>
      </c>
      <c r="L77" s="539"/>
      <c r="M77" s="539">
        <v>35</v>
      </c>
      <c r="N77" s="539"/>
      <c r="O77" s="539"/>
      <c r="P77" s="532"/>
      <c r="Q77" s="540"/>
    </row>
    <row r="78" spans="1:17" ht="14.4" customHeight="1" x14ac:dyDescent="0.3">
      <c r="A78" s="526" t="s">
        <v>1203</v>
      </c>
      <c r="B78" s="527" t="s">
        <v>1003</v>
      </c>
      <c r="C78" s="527" t="s">
        <v>1022</v>
      </c>
      <c r="D78" s="527" t="s">
        <v>1042</v>
      </c>
      <c r="E78" s="527" t="s">
        <v>1043</v>
      </c>
      <c r="F78" s="539">
        <v>1</v>
      </c>
      <c r="G78" s="539">
        <v>232</v>
      </c>
      <c r="H78" s="539">
        <v>1</v>
      </c>
      <c r="I78" s="539">
        <v>232</v>
      </c>
      <c r="J78" s="539">
        <v>1</v>
      </c>
      <c r="K78" s="539">
        <v>235</v>
      </c>
      <c r="L78" s="539">
        <v>1.0129310344827587</v>
      </c>
      <c r="M78" s="539">
        <v>235</v>
      </c>
      <c r="N78" s="539"/>
      <c r="O78" s="539"/>
      <c r="P78" s="532"/>
      <c r="Q78" s="540"/>
    </row>
    <row r="79" spans="1:17" ht="14.4" customHeight="1" x14ac:dyDescent="0.3">
      <c r="A79" s="526" t="s">
        <v>1203</v>
      </c>
      <c r="B79" s="527" t="s">
        <v>1003</v>
      </c>
      <c r="C79" s="527" t="s">
        <v>1022</v>
      </c>
      <c r="D79" s="527" t="s">
        <v>1044</v>
      </c>
      <c r="E79" s="527" t="s">
        <v>1045</v>
      </c>
      <c r="F79" s="539">
        <v>2</v>
      </c>
      <c r="G79" s="539">
        <v>232</v>
      </c>
      <c r="H79" s="539">
        <v>1</v>
      </c>
      <c r="I79" s="539">
        <v>116</v>
      </c>
      <c r="J79" s="539">
        <v>1</v>
      </c>
      <c r="K79" s="539">
        <v>118</v>
      </c>
      <c r="L79" s="539">
        <v>0.50862068965517238</v>
      </c>
      <c r="M79" s="539">
        <v>118</v>
      </c>
      <c r="N79" s="539"/>
      <c r="O79" s="539"/>
      <c r="P79" s="532"/>
      <c r="Q79" s="540"/>
    </row>
    <row r="80" spans="1:17" ht="14.4" customHeight="1" x14ac:dyDescent="0.3">
      <c r="A80" s="526" t="s">
        <v>1203</v>
      </c>
      <c r="B80" s="527" t="s">
        <v>1003</v>
      </c>
      <c r="C80" s="527" t="s">
        <v>1022</v>
      </c>
      <c r="D80" s="527" t="s">
        <v>1066</v>
      </c>
      <c r="E80" s="527" t="s">
        <v>1067</v>
      </c>
      <c r="F80" s="539">
        <v>1</v>
      </c>
      <c r="G80" s="539">
        <v>81</v>
      </c>
      <c r="H80" s="539">
        <v>1</v>
      </c>
      <c r="I80" s="539">
        <v>81</v>
      </c>
      <c r="J80" s="539"/>
      <c r="K80" s="539"/>
      <c r="L80" s="539"/>
      <c r="M80" s="539"/>
      <c r="N80" s="539"/>
      <c r="O80" s="539"/>
      <c r="P80" s="532"/>
      <c r="Q80" s="540"/>
    </row>
    <row r="81" spans="1:17" ht="14.4" customHeight="1" x14ac:dyDescent="0.3">
      <c r="A81" s="526" t="s">
        <v>1203</v>
      </c>
      <c r="B81" s="527" t="s">
        <v>1003</v>
      </c>
      <c r="C81" s="527" t="s">
        <v>1022</v>
      </c>
      <c r="D81" s="527" t="s">
        <v>1156</v>
      </c>
      <c r="E81" s="527" t="s">
        <v>1157</v>
      </c>
      <c r="F81" s="539">
        <v>1</v>
      </c>
      <c r="G81" s="539">
        <v>1796</v>
      </c>
      <c r="H81" s="539">
        <v>1</v>
      </c>
      <c r="I81" s="539">
        <v>1796</v>
      </c>
      <c r="J81" s="539"/>
      <c r="K81" s="539"/>
      <c r="L81" s="539"/>
      <c r="M81" s="539"/>
      <c r="N81" s="539"/>
      <c r="O81" s="539"/>
      <c r="P81" s="532"/>
      <c r="Q81" s="540"/>
    </row>
    <row r="82" spans="1:17" ht="14.4" customHeight="1" x14ac:dyDescent="0.3">
      <c r="A82" s="526" t="s">
        <v>1204</v>
      </c>
      <c r="B82" s="527" t="s">
        <v>1003</v>
      </c>
      <c r="C82" s="527" t="s">
        <v>1022</v>
      </c>
      <c r="D82" s="527" t="s">
        <v>1044</v>
      </c>
      <c r="E82" s="527" t="s">
        <v>1045</v>
      </c>
      <c r="F82" s="539">
        <v>1</v>
      </c>
      <c r="G82" s="539">
        <v>116</v>
      </c>
      <c r="H82" s="539">
        <v>1</v>
      </c>
      <c r="I82" s="539">
        <v>116</v>
      </c>
      <c r="J82" s="539">
        <v>1</v>
      </c>
      <c r="K82" s="539">
        <v>118</v>
      </c>
      <c r="L82" s="539">
        <v>1.0172413793103448</v>
      </c>
      <c r="M82" s="539">
        <v>118</v>
      </c>
      <c r="N82" s="539">
        <v>3</v>
      </c>
      <c r="O82" s="539">
        <v>378</v>
      </c>
      <c r="P82" s="532">
        <v>3.2586206896551726</v>
      </c>
      <c r="Q82" s="540">
        <v>126</v>
      </c>
    </row>
    <row r="83" spans="1:17" ht="14.4" customHeight="1" x14ac:dyDescent="0.3">
      <c r="A83" s="526" t="s">
        <v>1204</v>
      </c>
      <c r="B83" s="527" t="s">
        <v>1003</v>
      </c>
      <c r="C83" s="527" t="s">
        <v>1022</v>
      </c>
      <c r="D83" s="527" t="s">
        <v>1142</v>
      </c>
      <c r="E83" s="527" t="s">
        <v>1143</v>
      </c>
      <c r="F83" s="539"/>
      <c r="G83" s="539"/>
      <c r="H83" s="539"/>
      <c r="I83" s="539"/>
      <c r="J83" s="539"/>
      <c r="K83" s="539"/>
      <c r="L83" s="539"/>
      <c r="M83" s="539"/>
      <c r="N83" s="539">
        <v>1</v>
      </c>
      <c r="O83" s="539">
        <v>636</v>
      </c>
      <c r="P83" s="532"/>
      <c r="Q83" s="540">
        <v>636</v>
      </c>
    </row>
    <row r="84" spans="1:17" ht="14.4" customHeight="1" x14ac:dyDescent="0.3">
      <c r="A84" s="526" t="s">
        <v>1204</v>
      </c>
      <c r="B84" s="527" t="s">
        <v>1003</v>
      </c>
      <c r="C84" s="527" t="s">
        <v>1022</v>
      </c>
      <c r="D84" s="527" t="s">
        <v>1099</v>
      </c>
      <c r="E84" s="527" t="s">
        <v>1100</v>
      </c>
      <c r="F84" s="539"/>
      <c r="G84" s="539"/>
      <c r="H84" s="539"/>
      <c r="I84" s="539"/>
      <c r="J84" s="539"/>
      <c r="K84" s="539"/>
      <c r="L84" s="539"/>
      <c r="M84" s="539"/>
      <c r="N84" s="539">
        <v>1</v>
      </c>
      <c r="O84" s="539">
        <v>247</v>
      </c>
      <c r="P84" s="532"/>
      <c r="Q84" s="540">
        <v>247</v>
      </c>
    </row>
    <row r="85" spans="1:17" ht="14.4" customHeight="1" x14ac:dyDescent="0.3">
      <c r="A85" s="526" t="s">
        <v>1205</v>
      </c>
      <c r="B85" s="527" t="s">
        <v>1003</v>
      </c>
      <c r="C85" s="527" t="s">
        <v>1022</v>
      </c>
      <c r="D85" s="527" t="s">
        <v>1042</v>
      </c>
      <c r="E85" s="527" t="s">
        <v>1043</v>
      </c>
      <c r="F85" s="539"/>
      <c r="G85" s="539"/>
      <c r="H85" s="539"/>
      <c r="I85" s="539"/>
      <c r="J85" s="539">
        <v>2</v>
      </c>
      <c r="K85" s="539">
        <v>470</v>
      </c>
      <c r="L85" s="539"/>
      <c r="M85" s="539">
        <v>235</v>
      </c>
      <c r="N85" s="539"/>
      <c r="O85" s="539"/>
      <c r="P85" s="532"/>
      <c r="Q85" s="540"/>
    </row>
    <row r="86" spans="1:17" ht="14.4" customHeight="1" x14ac:dyDescent="0.3">
      <c r="A86" s="526" t="s">
        <v>1205</v>
      </c>
      <c r="B86" s="527" t="s">
        <v>1003</v>
      </c>
      <c r="C86" s="527" t="s">
        <v>1022</v>
      </c>
      <c r="D86" s="527" t="s">
        <v>1060</v>
      </c>
      <c r="E86" s="527" t="s">
        <v>1061</v>
      </c>
      <c r="F86" s="539"/>
      <c r="G86" s="539"/>
      <c r="H86" s="539"/>
      <c r="I86" s="539"/>
      <c r="J86" s="539">
        <v>1</v>
      </c>
      <c r="K86" s="539">
        <v>0</v>
      </c>
      <c r="L86" s="539"/>
      <c r="M86" s="539">
        <v>0</v>
      </c>
      <c r="N86" s="539"/>
      <c r="O86" s="539"/>
      <c r="P86" s="532"/>
      <c r="Q86" s="540"/>
    </row>
    <row r="87" spans="1:17" ht="14.4" customHeight="1" x14ac:dyDescent="0.3">
      <c r="A87" s="526" t="s">
        <v>1206</v>
      </c>
      <c r="B87" s="527" t="s">
        <v>1003</v>
      </c>
      <c r="C87" s="527" t="s">
        <v>1022</v>
      </c>
      <c r="D87" s="527" t="s">
        <v>1042</v>
      </c>
      <c r="E87" s="527" t="s">
        <v>1043</v>
      </c>
      <c r="F87" s="539"/>
      <c r="G87" s="539"/>
      <c r="H87" s="539"/>
      <c r="I87" s="539"/>
      <c r="J87" s="539"/>
      <c r="K87" s="539"/>
      <c r="L87" s="539"/>
      <c r="M87" s="539"/>
      <c r="N87" s="539">
        <v>1</v>
      </c>
      <c r="O87" s="539">
        <v>251</v>
      </c>
      <c r="P87" s="532"/>
      <c r="Q87" s="540">
        <v>251</v>
      </c>
    </row>
    <row r="88" spans="1:17" ht="14.4" customHeight="1" x14ac:dyDescent="0.3">
      <c r="A88" s="526" t="s">
        <v>1206</v>
      </c>
      <c r="B88" s="527" t="s">
        <v>1003</v>
      </c>
      <c r="C88" s="527" t="s">
        <v>1022</v>
      </c>
      <c r="D88" s="527" t="s">
        <v>1072</v>
      </c>
      <c r="E88" s="527" t="s">
        <v>1073</v>
      </c>
      <c r="F88" s="539"/>
      <c r="G88" s="539"/>
      <c r="H88" s="539"/>
      <c r="I88" s="539"/>
      <c r="J88" s="539"/>
      <c r="K88" s="539"/>
      <c r="L88" s="539"/>
      <c r="M88" s="539"/>
      <c r="N88" s="539">
        <v>1</v>
      </c>
      <c r="O88" s="539">
        <v>505</v>
      </c>
      <c r="P88" s="532"/>
      <c r="Q88" s="540">
        <v>505</v>
      </c>
    </row>
    <row r="89" spans="1:17" ht="14.4" customHeight="1" x14ac:dyDescent="0.3">
      <c r="A89" s="526" t="s">
        <v>1206</v>
      </c>
      <c r="B89" s="527" t="s">
        <v>1003</v>
      </c>
      <c r="C89" s="527" t="s">
        <v>1022</v>
      </c>
      <c r="D89" s="527" t="s">
        <v>1095</v>
      </c>
      <c r="E89" s="527" t="s">
        <v>1096</v>
      </c>
      <c r="F89" s="539"/>
      <c r="G89" s="539"/>
      <c r="H89" s="539"/>
      <c r="I89" s="539"/>
      <c r="J89" s="539"/>
      <c r="K89" s="539"/>
      <c r="L89" s="539"/>
      <c r="M89" s="539"/>
      <c r="N89" s="539">
        <v>1</v>
      </c>
      <c r="O89" s="539">
        <v>364</v>
      </c>
      <c r="P89" s="532"/>
      <c r="Q89" s="540">
        <v>364</v>
      </c>
    </row>
    <row r="90" spans="1:17" ht="14.4" customHeight="1" x14ac:dyDescent="0.3">
      <c r="A90" s="526" t="s">
        <v>1207</v>
      </c>
      <c r="B90" s="527" t="s">
        <v>1003</v>
      </c>
      <c r="C90" s="527" t="s">
        <v>1022</v>
      </c>
      <c r="D90" s="527" t="s">
        <v>1042</v>
      </c>
      <c r="E90" s="527" t="s">
        <v>1043</v>
      </c>
      <c r="F90" s="539">
        <v>2</v>
      </c>
      <c r="G90" s="539">
        <v>464</v>
      </c>
      <c r="H90" s="539">
        <v>1</v>
      </c>
      <c r="I90" s="539">
        <v>232</v>
      </c>
      <c r="J90" s="539">
        <v>1</v>
      </c>
      <c r="K90" s="539">
        <v>235</v>
      </c>
      <c r="L90" s="539">
        <v>0.50646551724137934</v>
      </c>
      <c r="M90" s="539">
        <v>235</v>
      </c>
      <c r="N90" s="539"/>
      <c r="O90" s="539"/>
      <c r="P90" s="532"/>
      <c r="Q90" s="540"/>
    </row>
    <row r="91" spans="1:17" ht="14.4" customHeight="1" x14ac:dyDescent="0.3">
      <c r="A91" s="526" t="s">
        <v>1207</v>
      </c>
      <c r="B91" s="527" t="s">
        <v>1003</v>
      </c>
      <c r="C91" s="527" t="s">
        <v>1022</v>
      </c>
      <c r="D91" s="527" t="s">
        <v>1044</v>
      </c>
      <c r="E91" s="527" t="s">
        <v>1045</v>
      </c>
      <c r="F91" s="539">
        <v>1</v>
      </c>
      <c r="G91" s="539">
        <v>116</v>
      </c>
      <c r="H91" s="539">
        <v>1</v>
      </c>
      <c r="I91" s="539">
        <v>116</v>
      </c>
      <c r="J91" s="539">
        <v>7</v>
      </c>
      <c r="K91" s="539">
        <v>826</v>
      </c>
      <c r="L91" s="539">
        <v>7.1206896551724137</v>
      </c>
      <c r="M91" s="539">
        <v>118</v>
      </c>
      <c r="N91" s="539"/>
      <c r="O91" s="539"/>
      <c r="P91" s="532"/>
      <c r="Q91" s="540"/>
    </row>
    <row r="92" spans="1:17" ht="14.4" customHeight="1" x14ac:dyDescent="0.3">
      <c r="A92" s="526" t="s">
        <v>1207</v>
      </c>
      <c r="B92" s="527" t="s">
        <v>1003</v>
      </c>
      <c r="C92" s="527" t="s">
        <v>1022</v>
      </c>
      <c r="D92" s="527" t="s">
        <v>1060</v>
      </c>
      <c r="E92" s="527" t="s">
        <v>1061</v>
      </c>
      <c r="F92" s="539"/>
      <c r="G92" s="539"/>
      <c r="H92" s="539"/>
      <c r="I92" s="539"/>
      <c r="J92" s="539">
        <v>1</v>
      </c>
      <c r="K92" s="539">
        <v>0</v>
      </c>
      <c r="L92" s="539"/>
      <c r="M92" s="539">
        <v>0</v>
      </c>
      <c r="N92" s="539"/>
      <c r="O92" s="539"/>
      <c r="P92" s="532"/>
      <c r="Q92" s="540"/>
    </row>
    <row r="93" spans="1:17" ht="14.4" customHeight="1" x14ac:dyDescent="0.3">
      <c r="A93" s="526" t="s">
        <v>1207</v>
      </c>
      <c r="B93" s="527" t="s">
        <v>1003</v>
      </c>
      <c r="C93" s="527" t="s">
        <v>1022</v>
      </c>
      <c r="D93" s="527" t="s">
        <v>1072</v>
      </c>
      <c r="E93" s="527" t="s">
        <v>1073</v>
      </c>
      <c r="F93" s="539">
        <v>1</v>
      </c>
      <c r="G93" s="539">
        <v>485</v>
      </c>
      <c r="H93" s="539">
        <v>1</v>
      </c>
      <c r="I93" s="539">
        <v>485</v>
      </c>
      <c r="J93" s="539">
        <v>1</v>
      </c>
      <c r="K93" s="539">
        <v>492</v>
      </c>
      <c r="L93" s="539">
        <v>1.0144329896907216</v>
      </c>
      <c r="M93" s="539">
        <v>492</v>
      </c>
      <c r="N93" s="539"/>
      <c r="O93" s="539"/>
      <c r="P93" s="532"/>
      <c r="Q93" s="540"/>
    </row>
    <row r="94" spans="1:17" ht="14.4" customHeight="1" x14ac:dyDescent="0.3">
      <c r="A94" s="526" t="s">
        <v>1207</v>
      </c>
      <c r="B94" s="527" t="s">
        <v>1003</v>
      </c>
      <c r="C94" s="527" t="s">
        <v>1022</v>
      </c>
      <c r="D94" s="527" t="s">
        <v>1093</v>
      </c>
      <c r="E94" s="527" t="s">
        <v>1094</v>
      </c>
      <c r="F94" s="539"/>
      <c r="G94" s="539"/>
      <c r="H94" s="539"/>
      <c r="I94" s="539"/>
      <c r="J94" s="539">
        <v>1</v>
      </c>
      <c r="K94" s="539">
        <v>121</v>
      </c>
      <c r="L94" s="539"/>
      <c r="M94" s="539">
        <v>121</v>
      </c>
      <c r="N94" s="539"/>
      <c r="O94" s="539"/>
      <c r="P94" s="532"/>
      <c r="Q94" s="540"/>
    </row>
    <row r="95" spans="1:17" ht="14.4" customHeight="1" x14ac:dyDescent="0.3">
      <c r="A95" s="526" t="s">
        <v>1208</v>
      </c>
      <c r="B95" s="527" t="s">
        <v>1003</v>
      </c>
      <c r="C95" s="527" t="s">
        <v>1022</v>
      </c>
      <c r="D95" s="527" t="s">
        <v>1042</v>
      </c>
      <c r="E95" s="527" t="s">
        <v>1043</v>
      </c>
      <c r="F95" s="539"/>
      <c r="G95" s="539"/>
      <c r="H95" s="539"/>
      <c r="I95" s="539"/>
      <c r="J95" s="539">
        <v>1</v>
      </c>
      <c r="K95" s="539">
        <v>235</v>
      </c>
      <c r="L95" s="539"/>
      <c r="M95" s="539">
        <v>235</v>
      </c>
      <c r="N95" s="539">
        <v>1</v>
      </c>
      <c r="O95" s="539">
        <v>251</v>
      </c>
      <c r="P95" s="532"/>
      <c r="Q95" s="540">
        <v>251</v>
      </c>
    </row>
    <row r="96" spans="1:17" ht="14.4" customHeight="1" x14ac:dyDescent="0.3">
      <c r="A96" s="526" t="s">
        <v>1208</v>
      </c>
      <c r="B96" s="527" t="s">
        <v>1003</v>
      </c>
      <c r="C96" s="527" t="s">
        <v>1022</v>
      </c>
      <c r="D96" s="527" t="s">
        <v>1044</v>
      </c>
      <c r="E96" s="527" t="s">
        <v>1045</v>
      </c>
      <c r="F96" s="539">
        <v>1</v>
      </c>
      <c r="G96" s="539">
        <v>116</v>
      </c>
      <c r="H96" s="539">
        <v>1</v>
      </c>
      <c r="I96" s="539">
        <v>116</v>
      </c>
      <c r="J96" s="539">
        <v>6</v>
      </c>
      <c r="K96" s="539">
        <v>708</v>
      </c>
      <c r="L96" s="539">
        <v>6.1034482758620694</v>
      </c>
      <c r="M96" s="539">
        <v>118</v>
      </c>
      <c r="N96" s="539">
        <v>3</v>
      </c>
      <c r="O96" s="539">
        <v>378</v>
      </c>
      <c r="P96" s="532">
        <v>3.2586206896551726</v>
      </c>
      <c r="Q96" s="540">
        <v>126</v>
      </c>
    </row>
    <row r="97" spans="1:17" ht="14.4" customHeight="1" x14ac:dyDescent="0.3">
      <c r="A97" s="526" t="s">
        <v>1208</v>
      </c>
      <c r="B97" s="527" t="s">
        <v>1003</v>
      </c>
      <c r="C97" s="527" t="s">
        <v>1022</v>
      </c>
      <c r="D97" s="527" t="s">
        <v>1122</v>
      </c>
      <c r="E97" s="527" t="s">
        <v>1123</v>
      </c>
      <c r="F97" s="539"/>
      <c r="G97" s="539"/>
      <c r="H97" s="539"/>
      <c r="I97" s="539"/>
      <c r="J97" s="539"/>
      <c r="K97" s="539"/>
      <c r="L97" s="539"/>
      <c r="M97" s="539"/>
      <c r="N97" s="539">
        <v>1</v>
      </c>
      <c r="O97" s="539">
        <v>2098</v>
      </c>
      <c r="P97" s="532"/>
      <c r="Q97" s="540">
        <v>2098</v>
      </c>
    </row>
    <row r="98" spans="1:17" ht="14.4" customHeight="1" x14ac:dyDescent="0.3">
      <c r="A98" s="526" t="s">
        <v>1208</v>
      </c>
      <c r="B98" s="527" t="s">
        <v>1003</v>
      </c>
      <c r="C98" s="527" t="s">
        <v>1022</v>
      </c>
      <c r="D98" s="527" t="s">
        <v>1060</v>
      </c>
      <c r="E98" s="527" t="s">
        <v>1061</v>
      </c>
      <c r="F98" s="539"/>
      <c r="G98" s="539"/>
      <c r="H98" s="539"/>
      <c r="I98" s="539"/>
      <c r="J98" s="539">
        <v>2</v>
      </c>
      <c r="K98" s="539">
        <v>0</v>
      </c>
      <c r="L98" s="539"/>
      <c r="M98" s="539">
        <v>0</v>
      </c>
      <c r="N98" s="539"/>
      <c r="O98" s="539"/>
      <c r="P98" s="532"/>
      <c r="Q98" s="540"/>
    </row>
    <row r="99" spans="1:17" ht="14.4" customHeight="1" x14ac:dyDescent="0.3">
      <c r="A99" s="526" t="s">
        <v>1208</v>
      </c>
      <c r="B99" s="527" t="s">
        <v>1003</v>
      </c>
      <c r="C99" s="527" t="s">
        <v>1022</v>
      </c>
      <c r="D99" s="527" t="s">
        <v>1138</v>
      </c>
      <c r="E99" s="527" t="s">
        <v>1139</v>
      </c>
      <c r="F99" s="539"/>
      <c r="G99" s="539"/>
      <c r="H99" s="539"/>
      <c r="I99" s="539"/>
      <c r="J99" s="539"/>
      <c r="K99" s="539"/>
      <c r="L99" s="539"/>
      <c r="M99" s="539"/>
      <c r="N99" s="539">
        <v>2</v>
      </c>
      <c r="O99" s="539">
        <v>1432</v>
      </c>
      <c r="P99" s="532"/>
      <c r="Q99" s="540">
        <v>716</v>
      </c>
    </row>
    <row r="100" spans="1:17" ht="14.4" customHeight="1" x14ac:dyDescent="0.3">
      <c r="A100" s="526" t="s">
        <v>1209</v>
      </c>
      <c r="B100" s="527" t="s">
        <v>1003</v>
      </c>
      <c r="C100" s="527" t="s">
        <v>1022</v>
      </c>
      <c r="D100" s="527" t="s">
        <v>1031</v>
      </c>
      <c r="E100" s="527" t="s">
        <v>1032</v>
      </c>
      <c r="F100" s="539">
        <v>4</v>
      </c>
      <c r="G100" s="539">
        <v>136</v>
      </c>
      <c r="H100" s="539">
        <v>1</v>
      </c>
      <c r="I100" s="539">
        <v>34</v>
      </c>
      <c r="J100" s="539"/>
      <c r="K100" s="539"/>
      <c r="L100" s="539"/>
      <c r="M100" s="539"/>
      <c r="N100" s="539"/>
      <c r="O100" s="539"/>
      <c r="P100" s="532"/>
      <c r="Q100" s="540"/>
    </row>
    <row r="101" spans="1:17" ht="14.4" customHeight="1" x14ac:dyDescent="0.3">
      <c r="A101" s="526" t="s">
        <v>1209</v>
      </c>
      <c r="B101" s="527" t="s">
        <v>1003</v>
      </c>
      <c r="C101" s="527" t="s">
        <v>1022</v>
      </c>
      <c r="D101" s="527" t="s">
        <v>1044</v>
      </c>
      <c r="E101" s="527" t="s">
        <v>1045</v>
      </c>
      <c r="F101" s="539">
        <v>3</v>
      </c>
      <c r="G101" s="539">
        <v>348</v>
      </c>
      <c r="H101" s="539">
        <v>1</v>
      </c>
      <c r="I101" s="539">
        <v>116</v>
      </c>
      <c r="J101" s="539"/>
      <c r="K101" s="539"/>
      <c r="L101" s="539"/>
      <c r="M101" s="539"/>
      <c r="N101" s="539">
        <v>1</v>
      </c>
      <c r="O101" s="539">
        <v>126</v>
      </c>
      <c r="P101" s="532">
        <v>0.36206896551724138</v>
      </c>
      <c r="Q101" s="540">
        <v>126</v>
      </c>
    </row>
    <row r="102" spans="1:17" ht="14.4" customHeight="1" x14ac:dyDescent="0.3">
      <c r="A102" s="526" t="s">
        <v>1210</v>
      </c>
      <c r="B102" s="527" t="s">
        <v>1003</v>
      </c>
      <c r="C102" s="527" t="s">
        <v>1022</v>
      </c>
      <c r="D102" s="527" t="s">
        <v>1044</v>
      </c>
      <c r="E102" s="527" t="s">
        <v>1045</v>
      </c>
      <c r="F102" s="539">
        <v>1</v>
      </c>
      <c r="G102" s="539">
        <v>116</v>
      </c>
      <c r="H102" s="539">
        <v>1</v>
      </c>
      <c r="I102" s="539">
        <v>116</v>
      </c>
      <c r="J102" s="539">
        <v>2</v>
      </c>
      <c r="K102" s="539">
        <v>236</v>
      </c>
      <c r="L102" s="539">
        <v>2.0344827586206895</v>
      </c>
      <c r="M102" s="539">
        <v>118</v>
      </c>
      <c r="N102" s="539"/>
      <c r="O102" s="539"/>
      <c r="P102" s="532"/>
      <c r="Q102" s="540"/>
    </row>
    <row r="103" spans="1:17" ht="14.4" customHeight="1" x14ac:dyDescent="0.3">
      <c r="A103" s="526" t="s">
        <v>1210</v>
      </c>
      <c r="B103" s="527" t="s">
        <v>1003</v>
      </c>
      <c r="C103" s="527" t="s">
        <v>1022</v>
      </c>
      <c r="D103" s="527" t="s">
        <v>1060</v>
      </c>
      <c r="E103" s="527" t="s">
        <v>1061</v>
      </c>
      <c r="F103" s="539"/>
      <c r="G103" s="539"/>
      <c r="H103" s="539"/>
      <c r="I103" s="539"/>
      <c r="J103" s="539">
        <v>1</v>
      </c>
      <c r="K103" s="539">
        <v>0</v>
      </c>
      <c r="L103" s="539"/>
      <c r="M103" s="539">
        <v>0</v>
      </c>
      <c r="N103" s="539"/>
      <c r="O103" s="539"/>
      <c r="P103" s="532"/>
      <c r="Q103" s="540"/>
    </row>
    <row r="104" spans="1:17" ht="14.4" customHeight="1" x14ac:dyDescent="0.3">
      <c r="A104" s="526" t="s">
        <v>1210</v>
      </c>
      <c r="B104" s="527" t="s">
        <v>1003</v>
      </c>
      <c r="C104" s="527" t="s">
        <v>1022</v>
      </c>
      <c r="D104" s="527" t="s">
        <v>526</v>
      </c>
      <c r="E104" s="527" t="s">
        <v>1192</v>
      </c>
      <c r="F104" s="539"/>
      <c r="G104" s="539"/>
      <c r="H104" s="539"/>
      <c r="I104" s="539"/>
      <c r="J104" s="539">
        <v>2</v>
      </c>
      <c r="K104" s="539">
        <v>2386</v>
      </c>
      <c r="L104" s="539"/>
      <c r="M104" s="539">
        <v>1193</v>
      </c>
      <c r="N104" s="539"/>
      <c r="O104" s="539"/>
      <c r="P104" s="532"/>
      <c r="Q104" s="540"/>
    </row>
    <row r="105" spans="1:17" ht="14.4" customHeight="1" x14ac:dyDescent="0.3">
      <c r="A105" s="526" t="s">
        <v>1211</v>
      </c>
      <c r="B105" s="527" t="s">
        <v>1003</v>
      </c>
      <c r="C105" s="527" t="s">
        <v>1022</v>
      </c>
      <c r="D105" s="527" t="s">
        <v>1031</v>
      </c>
      <c r="E105" s="527" t="s">
        <v>1032</v>
      </c>
      <c r="F105" s="539"/>
      <c r="G105" s="539"/>
      <c r="H105" s="539"/>
      <c r="I105" s="539"/>
      <c r="J105" s="539"/>
      <c r="K105" s="539"/>
      <c r="L105" s="539"/>
      <c r="M105" s="539"/>
      <c r="N105" s="539">
        <v>1</v>
      </c>
      <c r="O105" s="539">
        <v>37</v>
      </c>
      <c r="P105" s="532"/>
      <c r="Q105" s="540">
        <v>37</v>
      </c>
    </row>
    <row r="106" spans="1:17" ht="14.4" customHeight="1" x14ac:dyDescent="0.3">
      <c r="A106" s="526" t="s">
        <v>1211</v>
      </c>
      <c r="B106" s="527" t="s">
        <v>1003</v>
      </c>
      <c r="C106" s="527" t="s">
        <v>1022</v>
      </c>
      <c r="D106" s="527" t="s">
        <v>1044</v>
      </c>
      <c r="E106" s="527" t="s">
        <v>1045</v>
      </c>
      <c r="F106" s="539">
        <v>1</v>
      </c>
      <c r="G106" s="539">
        <v>116</v>
      </c>
      <c r="H106" s="539">
        <v>1</v>
      </c>
      <c r="I106" s="539">
        <v>116</v>
      </c>
      <c r="J106" s="539"/>
      <c r="K106" s="539"/>
      <c r="L106" s="539"/>
      <c r="M106" s="539"/>
      <c r="N106" s="539">
        <v>5</v>
      </c>
      <c r="O106" s="539">
        <v>630</v>
      </c>
      <c r="P106" s="532">
        <v>5.431034482758621</v>
      </c>
      <c r="Q106" s="540">
        <v>126</v>
      </c>
    </row>
    <row r="107" spans="1:17" ht="14.4" customHeight="1" x14ac:dyDescent="0.3">
      <c r="A107" s="526" t="s">
        <v>1212</v>
      </c>
      <c r="B107" s="527" t="s">
        <v>1003</v>
      </c>
      <c r="C107" s="527" t="s">
        <v>1022</v>
      </c>
      <c r="D107" s="527" t="s">
        <v>1042</v>
      </c>
      <c r="E107" s="527" t="s">
        <v>1043</v>
      </c>
      <c r="F107" s="539"/>
      <c r="G107" s="539"/>
      <c r="H107" s="539"/>
      <c r="I107" s="539"/>
      <c r="J107" s="539">
        <v>1</v>
      </c>
      <c r="K107" s="539">
        <v>235</v>
      </c>
      <c r="L107" s="539"/>
      <c r="M107" s="539">
        <v>235</v>
      </c>
      <c r="N107" s="539"/>
      <c r="O107" s="539"/>
      <c r="P107" s="532"/>
      <c r="Q107" s="540"/>
    </row>
    <row r="108" spans="1:17" ht="14.4" customHeight="1" x14ac:dyDescent="0.3">
      <c r="A108" s="526" t="s">
        <v>1212</v>
      </c>
      <c r="B108" s="527" t="s">
        <v>1003</v>
      </c>
      <c r="C108" s="527" t="s">
        <v>1022</v>
      </c>
      <c r="D108" s="527" t="s">
        <v>1044</v>
      </c>
      <c r="E108" s="527" t="s">
        <v>1045</v>
      </c>
      <c r="F108" s="539">
        <v>2</v>
      </c>
      <c r="G108" s="539">
        <v>232</v>
      </c>
      <c r="H108" s="539">
        <v>1</v>
      </c>
      <c r="I108" s="539">
        <v>116</v>
      </c>
      <c r="J108" s="539">
        <v>3</v>
      </c>
      <c r="K108" s="539">
        <v>354</v>
      </c>
      <c r="L108" s="539">
        <v>1.5258620689655173</v>
      </c>
      <c r="M108" s="539">
        <v>118</v>
      </c>
      <c r="N108" s="539"/>
      <c r="O108" s="539"/>
      <c r="P108" s="532"/>
      <c r="Q108" s="540"/>
    </row>
    <row r="109" spans="1:17" ht="14.4" customHeight="1" x14ac:dyDescent="0.3">
      <c r="A109" s="526" t="s">
        <v>1212</v>
      </c>
      <c r="B109" s="527" t="s">
        <v>1003</v>
      </c>
      <c r="C109" s="527" t="s">
        <v>1022</v>
      </c>
      <c r="D109" s="527" t="s">
        <v>1060</v>
      </c>
      <c r="E109" s="527" t="s">
        <v>1061</v>
      </c>
      <c r="F109" s="539"/>
      <c r="G109" s="539"/>
      <c r="H109" s="539"/>
      <c r="I109" s="539"/>
      <c r="J109" s="539">
        <v>3</v>
      </c>
      <c r="K109" s="539">
        <v>0</v>
      </c>
      <c r="L109" s="539"/>
      <c r="M109" s="539">
        <v>0</v>
      </c>
      <c r="N109" s="539"/>
      <c r="O109" s="539"/>
      <c r="P109" s="532"/>
      <c r="Q109" s="540"/>
    </row>
    <row r="110" spans="1:17" ht="14.4" customHeight="1" x14ac:dyDescent="0.3">
      <c r="A110" s="526" t="s">
        <v>1213</v>
      </c>
      <c r="B110" s="527" t="s">
        <v>1003</v>
      </c>
      <c r="C110" s="527" t="s">
        <v>1022</v>
      </c>
      <c r="D110" s="527" t="s">
        <v>1031</v>
      </c>
      <c r="E110" s="527" t="s">
        <v>1032</v>
      </c>
      <c r="F110" s="539">
        <v>1</v>
      </c>
      <c r="G110" s="539">
        <v>34</v>
      </c>
      <c r="H110" s="539">
        <v>1</v>
      </c>
      <c r="I110" s="539">
        <v>34</v>
      </c>
      <c r="J110" s="539"/>
      <c r="K110" s="539"/>
      <c r="L110" s="539"/>
      <c r="M110" s="539"/>
      <c r="N110" s="539">
        <v>2</v>
      </c>
      <c r="O110" s="539">
        <v>74</v>
      </c>
      <c r="P110" s="532">
        <v>2.1764705882352939</v>
      </c>
      <c r="Q110" s="540">
        <v>37</v>
      </c>
    </row>
    <row r="111" spans="1:17" ht="14.4" customHeight="1" x14ac:dyDescent="0.3">
      <c r="A111" s="526" t="s">
        <v>1213</v>
      </c>
      <c r="B111" s="527" t="s">
        <v>1003</v>
      </c>
      <c r="C111" s="527" t="s">
        <v>1022</v>
      </c>
      <c r="D111" s="527" t="s">
        <v>1042</v>
      </c>
      <c r="E111" s="527" t="s">
        <v>1043</v>
      </c>
      <c r="F111" s="539">
        <v>2</v>
      </c>
      <c r="G111" s="539">
        <v>464</v>
      </c>
      <c r="H111" s="539">
        <v>1</v>
      </c>
      <c r="I111" s="539">
        <v>232</v>
      </c>
      <c r="J111" s="539"/>
      <c r="K111" s="539"/>
      <c r="L111" s="539"/>
      <c r="M111" s="539"/>
      <c r="N111" s="539">
        <v>1</v>
      </c>
      <c r="O111" s="539">
        <v>251</v>
      </c>
      <c r="P111" s="532">
        <v>0.54094827586206895</v>
      </c>
      <c r="Q111" s="540">
        <v>251</v>
      </c>
    </row>
    <row r="112" spans="1:17" ht="14.4" customHeight="1" x14ac:dyDescent="0.3">
      <c r="A112" s="526" t="s">
        <v>1213</v>
      </c>
      <c r="B112" s="527" t="s">
        <v>1003</v>
      </c>
      <c r="C112" s="527" t="s">
        <v>1022</v>
      </c>
      <c r="D112" s="527" t="s">
        <v>1044</v>
      </c>
      <c r="E112" s="527" t="s">
        <v>1045</v>
      </c>
      <c r="F112" s="539"/>
      <c r="G112" s="539"/>
      <c r="H112" s="539"/>
      <c r="I112" s="539"/>
      <c r="J112" s="539">
        <v>7</v>
      </c>
      <c r="K112" s="539">
        <v>826</v>
      </c>
      <c r="L112" s="539"/>
      <c r="M112" s="539">
        <v>118</v>
      </c>
      <c r="N112" s="539">
        <v>5</v>
      </c>
      <c r="O112" s="539">
        <v>630</v>
      </c>
      <c r="P112" s="532"/>
      <c r="Q112" s="540">
        <v>126</v>
      </c>
    </row>
    <row r="113" spans="1:17" ht="14.4" customHeight="1" x14ac:dyDescent="0.3">
      <c r="A113" s="526" t="s">
        <v>1213</v>
      </c>
      <c r="B113" s="527" t="s">
        <v>1003</v>
      </c>
      <c r="C113" s="527" t="s">
        <v>1022</v>
      </c>
      <c r="D113" s="527" t="s">
        <v>1066</v>
      </c>
      <c r="E113" s="527" t="s">
        <v>1067</v>
      </c>
      <c r="F113" s="539"/>
      <c r="G113" s="539"/>
      <c r="H113" s="539"/>
      <c r="I113" s="539"/>
      <c r="J113" s="539">
        <v>1</v>
      </c>
      <c r="K113" s="539">
        <v>82</v>
      </c>
      <c r="L113" s="539"/>
      <c r="M113" s="539">
        <v>82</v>
      </c>
      <c r="N113" s="539"/>
      <c r="O113" s="539"/>
      <c r="P113" s="532"/>
      <c r="Q113" s="540"/>
    </row>
    <row r="114" spans="1:17" ht="14.4" customHeight="1" x14ac:dyDescent="0.3">
      <c r="A114" s="526" t="s">
        <v>1213</v>
      </c>
      <c r="B114" s="527" t="s">
        <v>1003</v>
      </c>
      <c r="C114" s="527" t="s">
        <v>1022</v>
      </c>
      <c r="D114" s="527" t="s">
        <v>1072</v>
      </c>
      <c r="E114" s="527" t="s">
        <v>1073</v>
      </c>
      <c r="F114" s="539"/>
      <c r="G114" s="539"/>
      <c r="H114" s="539"/>
      <c r="I114" s="539"/>
      <c r="J114" s="539">
        <v>1</v>
      </c>
      <c r="K114" s="539">
        <v>492</v>
      </c>
      <c r="L114" s="539"/>
      <c r="M114" s="539">
        <v>492</v>
      </c>
      <c r="N114" s="539"/>
      <c r="O114" s="539"/>
      <c r="P114" s="532"/>
      <c r="Q114" s="540"/>
    </row>
    <row r="115" spans="1:17" ht="14.4" customHeight="1" x14ac:dyDescent="0.3">
      <c r="A115" s="526" t="s">
        <v>1213</v>
      </c>
      <c r="B115" s="527" t="s">
        <v>1003</v>
      </c>
      <c r="C115" s="527" t="s">
        <v>1022</v>
      </c>
      <c r="D115" s="527" t="s">
        <v>1095</v>
      </c>
      <c r="E115" s="527" t="s">
        <v>1096</v>
      </c>
      <c r="F115" s="539"/>
      <c r="G115" s="539"/>
      <c r="H115" s="539"/>
      <c r="I115" s="539"/>
      <c r="J115" s="539"/>
      <c r="K115" s="539"/>
      <c r="L115" s="539"/>
      <c r="M115" s="539"/>
      <c r="N115" s="539">
        <v>2</v>
      </c>
      <c r="O115" s="539">
        <v>728</v>
      </c>
      <c r="P115" s="532"/>
      <c r="Q115" s="540">
        <v>364</v>
      </c>
    </row>
    <row r="116" spans="1:17" ht="14.4" customHeight="1" x14ac:dyDescent="0.3">
      <c r="A116" s="526" t="s">
        <v>1213</v>
      </c>
      <c r="B116" s="527" t="s">
        <v>1003</v>
      </c>
      <c r="C116" s="527" t="s">
        <v>1022</v>
      </c>
      <c r="D116" s="527" t="s">
        <v>1142</v>
      </c>
      <c r="E116" s="527" t="s">
        <v>1143</v>
      </c>
      <c r="F116" s="539"/>
      <c r="G116" s="539"/>
      <c r="H116" s="539"/>
      <c r="I116" s="539"/>
      <c r="J116" s="539">
        <v>1</v>
      </c>
      <c r="K116" s="539">
        <v>628</v>
      </c>
      <c r="L116" s="539"/>
      <c r="M116" s="539">
        <v>628</v>
      </c>
      <c r="N116" s="539"/>
      <c r="O116" s="539"/>
      <c r="P116" s="532"/>
      <c r="Q116" s="540"/>
    </row>
    <row r="117" spans="1:17" ht="14.4" customHeight="1" x14ac:dyDescent="0.3">
      <c r="A117" s="526" t="s">
        <v>1213</v>
      </c>
      <c r="B117" s="527" t="s">
        <v>1003</v>
      </c>
      <c r="C117" s="527" t="s">
        <v>1022</v>
      </c>
      <c r="D117" s="527" t="s">
        <v>1099</v>
      </c>
      <c r="E117" s="527" t="s">
        <v>1100</v>
      </c>
      <c r="F117" s="539"/>
      <c r="G117" s="539"/>
      <c r="H117" s="539"/>
      <c r="I117" s="539"/>
      <c r="J117" s="539">
        <v>1</v>
      </c>
      <c r="K117" s="539">
        <v>243</v>
      </c>
      <c r="L117" s="539"/>
      <c r="M117" s="539">
        <v>243</v>
      </c>
      <c r="N117" s="539"/>
      <c r="O117" s="539"/>
      <c r="P117" s="532"/>
      <c r="Q117" s="540"/>
    </row>
    <row r="118" spans="1:17" ht="14.4" customHeight="1" x14ac:dyDescent="0.3">
      <c r="A118" s="526" t="s">
        <v>1213</v>
      </c>
      <c r="B118" s="527" t="s">
        <v>1003</v>
      </c>
      <c r="C118" s="527" t="s">
        <v>1022</v>
      </c>
      <c r="D118" s="527" t="s">
        <v>526</v>
      </c>
      <c r="E118" s="527" t="s">
        <v>1192</v>
      </c>
      <c r="F118" s="539">
        <v>1</v>
      </c>
      <c r="G118" s="539">
        <v>1186</v>
      </c>
      <c r="H118" s="539">
        <v>1</v>
      </c>
      <c r="I118" s="539">
        <v>1186</v>
      </c>
      <c r="J118" s="539"/>
      <c r="K118" s="539"/>
      <c r="L118" s="539"/>
      <c r="M118" s="539"/>
      <c r="N118" s="539"/>
      <c r="O118" s="539"/>
      <c r="P118" s="532"/>
      <c r="Q118" s="540"/>
    </row>
    <row r="119" spans="1:17" ht="14.4" customHeight="1" x14ac:dyDescent="0.3">
      <c r="A119" s="526" t="s">
        <v>1214</v>
      </c>
      <c r="B119" s="527" t="s">
        <v>1003</v>
      </c>
      <c r="C119" s="527" t="s">
        <v>1022</v>
      </c>
      <c r="D119" s="527" t="s">
        <v>1044</v>
      </c>
      <c r="E119" s="527" t="s">
        <v>1045</v>
      </c>
      <c r="F119" s="539"/>
      <c r="G119" s="539"/>
      <c r="H119" s="539"/>
      <c r="I119" s="539"/>
      <c r="J119" s="539">
        <v>3</v>
      </c>
      <c r="K119" s="539">
        <v>354</v>
      </c>
      <c r="L119" s="539"/>
      <c r="M119" s="539">
        <v>118</v>
      </c>
      <c r="N119" s="539"/>
      <c r="O119" s="539"/>
      <c r="P119" s="532"/>
      <c r="Q119" s="540"/>
    </row>
    <row r="120" spans="1:17" ht="14.4" customHeight="1" x14ac:dyDescent="0.3">
      <c r="A120" s="526" t="s">
        <v>1215</v>
      </c>
      <c r="B120" s="527" t="s">
        <v>1003</v>
      </c>
      <c r="C120" s="527" t="s">
        <v>1022</v>
      </c>
      <c r="D120" s="527" t="s">
        <v>1042</v>
      </c>
      <c r="E120" s="527" t="s">
        <v>1043</v>
      </c>
      <c r="F120" s="539"/>
      <c r="G120" s="539"/>
      <c r="H120" s="539"/>
      <c r="I120" s="539"/>
      <c r="J120" s="539">
        <v>1</v>
      </c>
      <c r="K120" s="539">
        <v>235</v>
      </c>
      <c r="L120" s="539"/>
      <c r="M120" s="539">
        <v>235</v>
      </c>
      <c r="N120" s="539">
        <v>1</v>
      </c>
      <c r="O120" s="539">
        <v>251</v>
      </c>
      <c r="P120" s="532"/>
      <c r="Q120" s="540">
        <v>251</v>
      </c>
    </row>
    <row r="121" spans="1:17" ht="14.4" customHeight="1" x14ac:dyDescent="0.3">
      <c r="A121" s="526" t="s">
        <v>1215</v>
      </c>
      <c r="B121" s="527" t="s">
        <v>1003</v>
      </c>
      <c r="C121" s="527" t="s">
        <v>1022</v>
      </c>
      <c r="D121" s="527" t="s">
        <v>1044</v>
      </c>
      <c r="E121" s="527" t="s">
        <v>1045</v>
      </c>
      <c r="F121" s="539">
        <v>9</v>
      </c>
      <c r="G121" s="539">
        <v>1044</v>
      </c>
      <c r="H121" s="539">
        <v>1</v>
      </c>
      <c r="I121" s="539">
        <v>116</v>
      </c>
      <c r="J121" s="539">
        <v>1</v>
      </c>
      <c r="K121" s="539">
        <v>118</v>
      </c>
      <c r="L121" s="539">
        <v>0.11302681992337164</v>
      </c>
      <c r="M121" s="539">
        <v>118</v>
      </c>
      <c r="N121" s="539">
        <v>2</v>
      </c>
      <c r="O121" s="539">
        <v>252</v>
      </c>
      <c r="P121" s="532">
        <v>0.2413793103448276</v>
      </c>
      <c r="Q121" s="540">
        <v>126</v>
      </c>
    </row>
    <row r="122" spans="1:17" ht="14.4" customHeight="1" x14ac:dyDescent="0.3">
      <c r="A122" s="526" t="s">
        <v>1215</v>
      </c>
      <c r="B122" s="527" t="s">
        <v>1003</v>
      </c>
      <c r="C122" s="527" t="s">
        <v>1022</v>
      </c>
      <c r="D122" s="527" t="s">
        <v>1060</v>
      </c>
      <c r="E122" s="527" t="s">
        <v>1061</v>
      </c>
      <c r="F122" s="539"/>
      <c r="G122" s="539"/>
      <c r="H122" s="539"/>
      <c r="I122" s="539"/>
      <c r="J122" s="539">
        <v>1</v>
      </c>
      <c r="K122" s="539">
        <v>0</v>
      </c>
      <c r="L122" s="539"/>
      <c r="M122" s="539">
        <v>0</v>
      </c>
      <c r="N122" s="539"/>
      <c r="O122" s="539"/>
      <c r="P122" s="532"/>
      <c r="Q122" s="540"/>
    </row>
    <row r="123" spans="1:17" ht="14.4" customHeight="1" x14ac:dyDescent="0.3">
      <c r="A123" s="526" t="s">
        <v>1215</v>
      </c>
      <c r="B123" s="527" t="s">
        <v>1003</v>
      </c>
      <c r="C123" s="527" t="s">
        <v>1022</v>
      </c>
      <c r="D123" s="527" t="s">
        <v>1095</v>
      </c>
      <c r="E123" s="527" t="s">
        <v>1096</v>
      </c>
      <c r="F123" s="539">
        <v>2</v>
      </c>
      <c r="G123" s="539">
        <v>702</v>
      </c>
      <c r="H123" s="539">
        <v>1</v>
      </c>
      <c r="I123" s="539">
        <v>351</v>
      </c>
      <c r="J123" s="539"/>
      <c r="K123" s="539"/>
      <c r="L123" s="539"/>
      <c r="M123" s="539"/>
      <c r="N123" s="539"/>
      <c r="O123" s="539"/>
      <c r="P123" s="532"/>
      <c r="Q123" s="540"/>
    </row>
    <row r="124" spans="1:17" ht="14.4" customHeight="1" thickBot="1" x14ac:dyDescent="0.35">
      <c r="A124" s="518" t="s">
        <v>1215</v>
      </c>
      <c r="B124" s="519" t="s">
        <v>1003</v>
      </c>
      <c r="C124" s="519" t="s">
        <v>1022</v>
      </c>
      <c r="D124" s="519" t="s">
        <v>526</v>
      </c>
      <c r="E124" s="519" t="s">
        <v>1192</v>
      </c>
      <c r="F124" s="541">
        <v>1</v>
      </c>
      <c r="G124" s="541">
        <v>1186</v>
      </c>
      <c r="H124" s="541">
        <v>1</v>
      </c>
      <c r="I124" s="541">
        <v>1186</v>
      </c>
      <c r="J124" s="541"/>
      <c r="K124" s="541"/>
      <c r="L124" s="541"/>
      <c r="M124" s="541"/>
      <c r="N124" s="541"/>
      <c r="O124" s="541"/>
      <c r="P124" s="524"/>
      <c r="Q124" s="542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133" customWidth="1"/>
    <col min="2" max="2" width="7.77734375" style="109" customWidth="1"/>
    <col min="3" max="3" width="7.21875" style="133" hidden="1" customWidth="1"/>
    <col min="4" max="4" width="7.77734375" style="109" customWidth="1"/>
    <col min="5" max="5" width="7.21875" style="133" hidden="1" customWidth="1"/>
    <col min="6" max="6" width="7.77734375" style="109" customWidth="1"/>
    <col min="7" max="7" width="7.77734375" style="214" customWidth="1"/>
    <col min="8" max="8" width="7.77734375" style="109" customWidth="1"/>
    <col min="9" max="9" width="7.21875" style="133" hidden="1" customWidth="1"/>
    <col min="10" max="10" width="7.77734375" style="109" customWidth="1"/>
    <col min="11" max="11" width="7.21875" style="133" hidden="1" customWidth="1"/>
    <col min="12" max="12" width="7.77734375" style="109" customWidth="1"/>
    <col min="13" max="13" width="7.77734375" style="214" customWidth="1"/>
    <col min="14" max="16384" width="8.88671875" style="133"/>
  </cols>
  <sheetData>
    <row r="1" spans="1:13" ht="18.600000000000001" customHeight="1" thickBot="1" x14ac:dyDescent="0.4">
      <c r="A1" s="324" t="s">
        <v>131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</row>
    <row r="2" spans="1:13" ht="14.4" customHeight="1" thickBot="1" x14ac:dyDescent="0.35">
      <c r="A2" s="239" t="s">
        <v>251</v>
      </c>
      <c r="B2" s="230"/>
      <c r="C2" s="114"/>
      <c r="D2" s="230"/>
      <c r="E2" s="114"/>
      <c r="F2" s="230"/>
      <c r="G2" s="231"/>
      <c r="H2" s="230"/>
      <c r="I2" s="114"/>
      <c r="J2" s="230"/>
      <c r="K2" s="114"/>
      <c r="L2" s="230"/>
      <c r="M2" s="231"/>
    </row>
    <row r="3" spans="1:13" ht="14.4" customHeight="1" thickBot="1" x14ac:dyDescent="0.35">
      <c r="A3" s="224" t="s">
        <v>132</v>
      </c>
      <c r="B3" s="225">
        <f>SUBTOTAL(9,B6:B1048576)</f>
        <v>0</v>
      </c>
      <c r="C3" s="226">
        <f t="shared" ref="C3:L3" si="0">SUBTOTAL(9,C6:C1048576)</f>
        <v>0</v>
      </c>
      <c r="D3" s="226">
        <f t="shared" si="0"/>
        <v>3727</v>
      </c>
      <c r="E3" s="226">
        <f t="shared" si="0"/>
        <v>0</v>
      </c>
      <c r="F3" s="226">
        <f t="shared" si="0"/>
        <v>0</v>
      </c>
      <c r="G3" s="229" t="str">
        <f>IF(B3&lt;&gt;0,F3/B3,"")</f>
        <v/>
      </c>
      <c r="H3" s="225">
        <f t="shared" si="0"/>
        <v>0</v>
      </c>
      <c r="I3" s="226">
        <f t="shared" si="0"/>
        <v>0</v>
      </c>
      <c r="J3" s="226">
        <f t="shared" si="0"/>
        <v>0</v>
      </c>
      <c r="K3" s="226">
        <f t="shared" si="0"/>
        <v>0</v>
      </c>
      <c r="L3" s="226">
        <f t="shared" si="0"/>
        <v>0</v>
      </c>
      <c r="M3" s="227" t="str">
        <f>IF(H3&lt;&gt;0,L3/H3,"")</f>
        <v/>
      </c>
    </row>
    <row r="4" spans="1:13" ht="14.4" customHeight="1" x14ac:dyDescent="0.3">
      <c r="A4" s="408" t="s">
        <v>95</v>
      </c>
      <c r="B4" s="389" t="s">
        <v>100</v>
      </c>
      <c r="C4" s="390"/>
      <c r="D4" s="390"/>
      <c r="E4" s="390"/>
      <c r="F4" s="390"/>
      <c r="G4" s="391"/>
      <c r="H4" s="389" t="s">
        <v>101</v>
      </c>
      <c r="I4" s="390"/>
      <c r="J4" s="390"/>
      <c r="K4" s="390"/>
      <c r="L4" s="390"/>
      <c r="M4" s="391"/>
    </row>
    <row r="5" spans="1:13" s="212" customFormat="1" ht="14.4" customHeight="1" thickBot="1" x14ac:dyDescent="0.35">
      <c r="A5" s="622"/>
      <c r="B5" s="623">
        <v>2014</v>
      </c>
      <c r="C5" s="624"/>
      <c r="D5" s="624">
        <v>2015</v>
      </c>
      <c r="E5" s="624"/>
      <c r="F5" s="624">
        <v>2016</v>
      </c>
      <c r="G5" s="596" t="s">
        <v>2</v>
      </c>
      <c r="H5" s="623">
        <v>2014</v>
      </c>
      <c r="I5" s="624"/>
      <c r="J5" s="624">
        <v>2015</v>
      </c>
      <c r="K5" s="624"/>
      <c r="L5" s="624">
        <v>2016</v>
      </c>
      <c r="M5" s="596" t="s">
        <v>2</v>
      </c>
    </row>
    <row r="6" spans="1:13" ht="14.4" customHeight="1" thickBot="1" x14ac:dyDescent="0.35">
      <c r="A6" s="599" t="s">
        <v>1217</v>
      </c>
      <c r="B6" s="597"/>
      <c r="C6" s="598"/>
      <c r="D6" s="597">
        <v>3727</v>
      </c>
      <c r="E6" s="598"/>
      <c r="F6" s="597"/>
      <c r="G6" s="293"/>
      <c r="H6" s="597"/>
      <c r="I6" s="598"/>
      <c r="J6" s="597"/>
      <c r="K6" s="598"/>
      <c r="L6" s="597"/>
      <c r="M6" s="294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133" bestFit="1" customWidth="1"/>
    <col min="2" max="2" width="8.6640625" style="133" bestFit="1" customWidth="1"/>
    <col min="3" max="3" width="2.109375" style="133" bestFit="1" customWidth="1"/>
    <col min="4" max="4" width="8" style="133" bestFit="1" customWidth="1"/>
    <col min="5" max="5" width="52.88671875" style="133" bestFit="1" customWidth="1"/>
    <col min="6" max="7" width="11.109375" style="211" customWidth="1"/>
    <col min="8" max="9" width="9.33203125" style="211" hidden="1" customWidth="1"/>
    <col min="10" max="11" width="11.109375" style="211" customWidth="1"/>
    <col min="12" max="13" width="9.33203125" style="211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3"/>
  </cols>
  <sheetData>
    <row r="1" spans="1:17" ht="18.600000000000001" customHeight="1" thickBot="1" x14ac:dyDescent="0.4">
      <c r="A1" s="324" t="s">
        <v>1232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</row>
    <row r="2" spans="1:17" ht="14.4" customHeight="1" thickBot="1" x14ac:dyDescent="0.35">
      <c r="A2" s="239" t="s">
        <v>251</v>
      </c>
      <c r="B2" s="114"/>
      <c r="C2" s="114"/>
      <c r="D2" s="114"/>
      <c r="E2" s="11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1"/>
      <c r="Q2" s="234"/>
    </row>
    <row r="3" spans="1:17" ht="14.4" customHeight="1" thickBot="1" x14ac:dyDescent="0.35">
      <c r="E3" s="87" t="s">
        <v>132</v>
      </c>
      <c r="F3" s="103">
        <f t="shared" ref="F3:O3" si="0">SUBTOTAL(9,F6:F1048576)</f>
        <v>0</v>
      </c>
      <c r="G3" s="107">
        <f t="shared" si="0"/>
        <v>0</v>
      </c>
      <c r="H3" s="108"/>
      <c r="I3" s="108"/>
      <c r="J3" s="103">
        <f t="shared" si="0"/>
        <v>22</v>
      </c>
      <c r="K3" s="107">
        <f t="shared" si="0"/>
        <v>3727</v>
      </c>
      <c r="L3" s="108"/>
      <c r="M3" s="108"/>
      <c r="N3" s="103">
        <f t="shared" si="0"/>
        <v>0</v>
      </c>
      <c r="O3" s="107">
        <f t="shared" si="0"/>
        <v>0</v>
      </c>
      <c r="P3" s="88" t="str">
        <f>IF(G3=0,"",O3/G3)</f>
        <v/>
      </c>
      <c r="Q3" s="105" t="str">
        <f>IF(N3=0,"",O3/N3)</f>
        <v/>
      </c>
    </row>
    <row r="4" spans="1:17" ht="14.4" customHeight="1" x14ac:dyDescent="0.3">
      <c r="A4" s="397" t="s">
        <v>69</v>
      </c>
      <c r="B4" s="396" t="s">
        <v>96</v>
      </c>
      <c r="C4" s="397" t="s">
        <v>97</v>
      </c>
      <c r="D4" s="406" t="s">
        <v>71</v>
      </c>
      <c r="E4" s="398" t="s">
        <v>11</v>
      </c>
      <c r="F4" s="404">
        <v>2014</v>
      </c>
      <c r="G4" s="405"/>
      <c r="H4" s="106"/>
      <c r="I4" s="106"/>
      <c r="J4" s="404">
        <v>2015</v>
      </c>
      <c r="K4" s="405"/>
      <c r="L4" s="106"/>
      <c r="M4" s="106"/>
      <c r="N4" s="404">
        <v>2016</v>
      </c>
      <c r="O4" s="405"/>
      <c r="P4" s="407" t="s">
        <v>2</v>
      </c>
      <c r="Q4" s="395" t="s">
        <v>99</v>
      </c>
    </row>
    <row r="5" spans="1:17" ht="14.4" customHeight="1" thickBot="1" x14ac:dyDescent="0.35">
      <c r="A5" s="609"/>
      <c r="B5" s="607"/>
      <c r="C5" s="609"/>
      <c r="D5" s="617"/>
      <c r="E5" s="611"/>
      <c r="F5" s="618" t="s">
        <v>72</v>
      </c>
      <c r="G5" s="619" t="s">
        <v>14</v>
      </c>
      <c r="H5" s="620"/>
      <c r="I5" s="620"/>
      <c r="J5" s="618" t="s">
        <v>72</v>
      </c>
      <c r="K5" s="619" t="s">
        <v>14</v>
      </c>
      <c r="L5" s="620"/>
      <c r="M5" s="620"/>
      <c r="N5" s="618" t="s">
        <v>72</v>
      </c>
      <c r="O5" s="619" t="s">
        <v>14</v>
      </c>
      <c r="P5" s="621"/>
      <c r="Q5" s="616"/>
    </row>
    <row r="6" spans="1:17" ht="14.4" customHeight="1" x14ac:dyDescent="0.3">
      <c r="A6" s="511" t="s">
        <v>1218</v>
      </c>
      <c r="B6" s="449" t="s">
        <v>1219</v>
      </c>
      <c r="C6" s="449" t="s">
        <v>1022</v>
      </c>
      <c r="D6" s="449" t="s">
        <v>1220</v>
      </c>
      <c r="E6" s="449" t="s">
        <v>1221</v>
      </c>
      <c r="F6" s="452"/>
      <c r="G6" s="452"/>
      <c r="H6" s="452"/>
      <c r="I6" s="452"/>
      <c r="J6" s="452">
        <v>8</v>
      </c>
      <c r="K6" s="452">
        <v>432</v>
      </c>
      <c r="L6" s="452"/>
      <c r="M6" s="452">
        <v>54</v>
      </c>
      <c r="N6" s="452"/>
      <c r="O6" s="452"/>
      <c r="P6" s="472"/>
      <c r="Q6" s="538"/>
    </row>
    <row r="7" spans="1:17" ht="14.4" customHeight="1" x14ac:dyDescent="0.3">
      <c r="A7" s="526" t="s">
        <v>1218</v>
      </c>
      <c r="B7" s="527" t="s">
        <v>1219</v>
      </c>
      <c r="C7" s="527" t="s">
        <v>1022</v>
      </c>
      <c r="D7" s="527" t="s">
        <v>1222</v>
      </c>
      <c r="E7" s="527" t="s">
        <v>1223</v>
      </c>
      <c r="F7" s="539"/>
      <c r="G7" s="539"/>
      <c r="H7" s="539"/>
      <c r="I7" s="539"/>
      <c r="J7" s="539">
        <v>3</v>
      </c>
      <c r="K7" s="539">
        <v>855</v>
      </c>
      <c r="L7" s="539"/>
      <c r="M7" s="539">
        <v>285</v>
      </c>
      <c r="N7" s="539"/>
      <c r="O7" s="539"/>
      <c r="P7" s="532"/>
      <c r="Q7" s="540"/>
    </row>
    <row r="8" spans="1:17" ht="14.4" customHeight="1" x14ac:dyDescent="0.3">
      <c r="A8" s="526" t="s">
        <v>1218</v>
      </c>
      <c r="B8" s="527" t="s">
        <v>1219</v>
      </c>
      <c r="C8" s="527" t="s">
        <v>1022</v>
      </c>
      <c r="D8" s="527" t="s">
        <v>1224</v>
      </c>
      <c r="E8" s="527" t="s">
        <v>1225</v>
      </c>
      <c r="F8" s="539"/>
      <c r="G8" s="539"/>
      <c r="H8" s="539"/>
      <c r="I8" s="539"/>
      <c r="J8" s="539">
        <v>1</v>
      </c>
      <c r="K8" s="539">
        <v>462</v>
      </c>
      <c r="L8" s="539"/>
      <c r="M8" s="539">
        <v>462</v>
      </c>
      <c r="N8" s="539"/>
      <c r="O8" s="539"/>
      <c r="P8" s="532"/>
      <c r="Q8" s="540"/>
    </row>
    <row r="9" spans="1:17" ht="14.4" customHeight="1" x14ac:dyDescent="0.3">
      <c r="A9" s="526" t="s">
        <v>1218</v>
      </c>
      <c r="B9" s="527" t="s">
        <v>1219</v>
      </c>
      <c r="C9" s="527" t="s">
        <v>1022</v>
      </c>
      <c r="D9" s="527" t="s">
        <v>1226</v>
      </c>
      <c r="E9" s="527" t="s">
        <v>1227</v>
      </c>
      <c r="F9" s="539"/>
      <c r="G9" s="539"/>
      <c r="H9" s="539"/>
      <c r="I9" s="539"/>
      <c r="J9" s="539">
        <v>4</v>
      </c>
      <c r="K9" s="539">
        <v>1424</v>
      </c>
      <c r="L9" s="539"/>
      <c r="M9" s="539">
        <v>356</v>
      </c>
      <c r="N9" s="539"/>
      <c r="O9" s="539"/>
      <c r="P9" s="532"/>
      <c r="Q9" s="540"/>
    </row>
    <row r="10" spans="1:17" ht="14.4" customHeight="1" x14ac:dyDescent="0.3">
      <c r="A10" s="526" t="s">
        <v>1218</v>
      </c>
      <c r="B10" s="527" t="s">
        <v>1219</v>
      </c>
      <c r="C10" s="527" t="s">
        <v>1022</v>
      </c>
      <c r="D10" s="527" t="s">
        <v>1228</v>
      </c>
      <c r="E10" s="527" t="s">
        <v>1229</v>
      </c>
      <c r="F10" s="539"/>
      <c r="G10" s="539"/>
      <c r="H10" s="539"/>
      <c r="I10" s="539"/>
      <c r="J10" s="539">
        <v>4</v>
      </c>
      <c r="K10" s="539">
        <v>216</v>
      </c>
      <c r="L10" s="539"/>
      <c r="M10" s="539">
        <v>54</v>
      </c>
      <c r="N10" s="539"/>
      <c r="O10" s="539"/>
      <c r="P10" s="532"/>
      <c r="Q10" s="540"/>
    </row>
    <row r="11" spans="1:17" ht="14.4" customHeight="1" thickBot="1" x14ac:dyDescent="0.35">
      <c r="A11" s="518" t="s">
        <v>1218</v>
      </c>
      <c r="B11" s="519" t="s">
        <v>1219</v>
      </c>
      <c r="C11" s="519" t="s">
        <v>1022</v>
      </c>
      <c r="D11" s="519" t="s">
        <v>1230</v>
      </c>
      <c r="E11" s="519" t="s">
        <v>1231</v>
      </c>
      <c r="F11" s="541"/>
      <c r="G11" s="541"/>
      <c r="H11" s="541"/>
      <c r="I11" s="541"/>
      <c r="J11" s="541">
        <v>2</v>
      </c>
      <c r="K11" s="541">
        <v>338</v>
      </c>
      <c r="L11" s="541"/>
      <c r="M11" s="541">
        <v>169</v>
      </c>
      <c r="N11" s="541"/>
      <c r="O11" s="541"/>
      <c r="P11" s="524"/>
      <c r="Q11" s="542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0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3" bestFit="1" customWidth="1"/>
    <col min="2" max="3" width="9.5546875" style="133" customWidth="1"/>
    <col min="4" max="4" width="2.21875" style="133" customWidth="1"/>
    <col min="5" max="8" width="9.5546875" style="133" customWidth="1"/>
    <col min="9" max="16384" width="8.88671875" style="133"/>
  </cols>
  <sheetData>
    <row r="1" spans="1:8" ht="18.600000000000001" customHeight="1" thickBot="1" x14ac:dyDescent="0.4">
      <c r="A1" s="315" t="s">
        <v>140</v>
      </c>
      <c r="B1" s="315"/>
      <c r="C1" s="315"/>
      <c r="D1" s="315"/>
      <c r="E1" s="315"/>
      <c r="F1" s="315"/>
      <c r="G1" s="316"/>
      <c r="H1" s="316"/>
    </row>
    <row r="2" spans="1:8" ht="14.4" customHeight="1" thickBot="1" x14ac:dyDescent="0.35">
      <c r="A2" s="239" t="s">
        <v>251</v>
      </c>
      <c r="B2" s="114"/>
      <c r="C2" s="114"/>
      <c r="D2" s="114"/>
      <c r="E2" s="114"/>
      <c r="F2" s="114"/>
    </row>
    <row r="3" spans="1:8" ht="14.4" customHeight="1" x14ac:dyDescent="0.3">
      <c r="A3" s="317"/>
      <c r="B3" s="110">
        <v>2014</v>
      </c>
      <c r="C3" s="40">
        <v>2015</v>
      </c>
      <c r="D3" s="7"/>
      <c r="E3" s="321">
        <v>2016</v>
      </c>
      <c r="F3" s="322"/>
      <c r="G3" s="322"/>
      <c r="H3" s="323"/>
    </row>
    <row r="4" spans="1:8" ht="14.4" customHeight="1" thickBot="1" x14ac:dyDescent="0.35">
      <c r="A4" s="318"/>
      <c r="B4" s="319" t="s">
        <v>73</v>
      </c>
      <c r="C4" s="320"/>
      <c r="D4" s="7"/>
      <c r="E4" s="131" t="s">
        <v>73</v>
      </c>
      <c r="F4" s="112" t="s">
        <v>74</v>
      </c>
      <c r="G4" s="112" t="s">
        <v>68</v>
      </c>
      <c r="H4" s="113" t="s">
        <v>75</v>
      </c>
    </row>
    <row r="5" spans="1:8" ht="14.4" customHeight="1" x14ac:dyDescent="0.3">
      <c r="A5" s="115" t="str">
        <f>HYPERLINK("#'Léky Žádanky'!A1","Léky (Kč)")</f>
        <v>Léky (Kč)</v>
      </c>
      <c r="B5" s="27">
        <v>19.58231</v>
      </c>
      <c r="C5" s="29">
        <v>16.821829999999999</v>
      </c>
      <c r="D5" s="8"/>
      <c r="E5" s="120">
        <v>18.447600000000001</v>
      </c>
      <c r="F5" s="28">
        <v>32.303327762615339</v>
      </c>
      <c r="G5" s="119">
        <f>E5-F5</f>
        <v>-13.855727762615338</v>
      </c>
      <c r="H5" s="125">
        <f>IF(F5&lt;0.00000001,"",E5/F5)</f>
        <v>0.57107429103169427</v>
      </c>
    </row>
    <row r="6" spans="1:8" ht="14.4" customHeight="1" x14ac:dyDescent="0.3">
      <c r="A6" s="115" t="str">
        <f>HYPERLINK("#'Materiál Žádanky'!A1","Materiál - SZM (Kč)")</f>
        <v>Materiál - SZM (Kč)</v>
      </c>
      <c r="B6" s="10">
        <v>217.26509000000004</v>
      </c>
      <c r="C6" s="31">
        <v>173.98848000000001</v>
      </c>
      <c r="D6" s="8"/>
      <c r="E6" s="121">
        <v>116.79112000000001</v>
      </c>
      <c r="F6" s="30">
        <v>388.27444746230731</v>
      </c>
      <c r="G6" s="122">
        <f>E6-F6</f>
        <v>-271.48332746230733</v>
      </c>
      <c r="H6" s="126">
        <f>IF(F6&lt;0.00000001,"",E6/F6)</f>
        <v>0.30079527706066156</v>
      </c>
    </row>
    <row r="7" spans="1:8" ht="14.4" customHeight="1" x14ac:dyDescent="0.3">
      <c r="A7" s="115" t="str">
        <f>HYPERLINK("#'Osobní náklady'!A1","Osobní náklady (Kč) *")</f>
        <v>Osobní náklady (Kč) *</v>
      </c>
      <c r="B7" s="10">
        <v>1727.780390000004</v>
      </c>
      <c r="C7" s="31">
        <v>1631.4120600000031</v>
      </c>
      <c r="D7" s="8"/>
      <c r="E7" s="121">
        <v>1817.60995</v>
      </c>
      <c r="F7" s="30">
        <v>1765.167153244885</v>
      </c>
      <c r="G7" s="122">
        <f>E7-F7</f>
        <v>52.442796755115069</v>
      </c>
      <c r="H7" s="126">
        <f>IF(F7&lt;0.00000001,"",E7/F7)</f>
        <v>1.0297098190722109</v>
      </c>
    </row>
    <row r="8" spans="1:8" ht="14.4" customHeight="1" thickBot="1" x14ac:dyDescent="0.35">
      <c r="A8" s="1" t="s">
        <v>76</v>
      </c>
      <c r="B8" s="11">
        <v>304.71435000000116</v>
      </c>
      <c r="C8" s="33">
        <v>301.67337000000009</v>
      </c>
      <c r="D8" s="8"/>
      <c r="E8" s="123">
        <v>301.07872999999995</v>
      </c>
      <c r="F8" s="32">
        <v>268.6626954453842</v>
      </c>
      <c r="G8" s="124">
        <f>E8-F8</f>
        <v>32.416034554615749</v>
      </c>
      <c r="H8" s="127">
        <f>IF(F8&lt;0.00000001,"",E8/F8)</f>
        <v>1.1206569989215549</v>
      </c>
    </row>
    <row r="9" spans="1:8" ht="14.4" customHeight="1" thickBot="1" x14ac:dyDescent="0.35">
      <c r="A9" s="2" t="s">
        <v>77</v>
      </c>
      <c r="B9" s="3">
        <v>2269.3421400000052</v>
      </c>
      <c r="C9" s="35">
        <v>2123.8957400000031</v>
      </c>
      <c r="D9" s="8"/>
      <c r="E9" s="3">
        <v>2253.9274</v>
      </c>
      <c r="F9" s="34">
        <v>2454.4076239151918</v>
      </c>
      <c r="G9" s="34">
        <f>E9-F9</f>
        <v>-200.4802239151918</v>
      </c>
      <c r="H9" s="128">
        <f>IF(F9&lt;0.00000001,"",E9/F9)</f>
        <v>0.918318285046967</v>
      </c>
    </row>
    <row r="10" spans="1:8" ht="14.4" customHeight="1" thickBot="1" x14ac:dyDescent="0.35">
      <c r="A10" s="12"/>
      <c r="B10" s="12"/>
      <c r="C10" s="111"/>
      <c r="D10" s="8"/>
      <c r="E10" s="12"/>
      <c r="F10" s="13"/>
    </row>
    <row r="11" spans="1:8" ht="14.4" customHeight="1" x14ac:dyDescent="0.3">
      <c r="A11" s="136" t="str">
        <f>HYPERLINK("#'ZV Vykáz.-A'!A1","Ambulance *")</f>
        <v>Ambulance *</v>
      </c>
      <c r="B11" s="9">
        <f>IF(ISERROR(VLOOKUP("Celkem:",'ZV Vykáz.-A'!A:F,2,0)),0,VLOOKUP("Celkem:",'ZV Vykáz.-A'!A:F,2,0)/1000)</f>
        <v>591.52099999999996</v>
      </c>
      <c r="C11" s="29">
        <f>IF(ISERROR(VLOOKUP("Celkem:",'ZV Vykáz.-A'!A:F,4,0)),0,VLOOKUP("Celkem:",'ZV Vykáz.-A'!A:F,4,0)/1000)</f>
        <v>658.8</v>
      </c>
      <c r="D11" s="8"/>
      <c r="E11" s="120">
        <f>IF(ISERROR(VLOOKUP("Celkem:",'ZV Vykáz.-A'!A:F,6,0)),0,VLOOKUP("Celkem:",'ZV Vykáz.-A'!A:F,6,0)/1000)</f>
        <v>712.2356400000001</v>
      </c>
      <c r="F11" s="28">
        <f>B11</f>
        <v>591.52099999999996</v>
      </c>
      <c r="G11" s="119">
        <f>E11-F11</f>
        <v>120.71464000000014</v>
      </c>
      <c r="H11" s="125">
        <f>IF(F11&lt;0.00000001,"",E11/F11)</f>
        <v>1.2040749863487521</v>
      </c>
    </row>
    <row r="12" spans="1:8" ht="14.4" customHeight="1" thickBot="1" x14ac:dyDescent="0.35">
      <c r="A12" s="137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3">
        <f>IF(ISERROR(VLOOKUP("Celkem",#REF!,4,0)),0,VLOOKUP("Celkem",#REF!,4,0)*30)</f>
        <v>0</v>
      </c>
      <c r="F12" s="32">
        <f>B12</f>
        <v>0</v>
      </c>
      <c r="G12" s="124">
        <f>E12-F12</f>
        <v>0</v>
      </c>
      <c r="H12" s="127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591.52099999999996</v>
      </c>
      <c r="C13" s="37">
        <f>SUM(C11:C12)</f>
        <v>658.8</v>
      </c>
      <c r="D13" s="8"/>
      <c r="E13" s="5">
        <f>SUM(E11:E12)</f>
        <v>712.2356400000001</v>
      </c>
      <c r="F13" s="36">
        <f>SUM(F11:F12)</f>
        <v>591.52099999999996</v>
      </c>
      <c r="G13" s="36">
        <f>E13-F13</f>
        <v>120.71464000000014</v>
      </c>
      <c r="H13" s="129">
        <f>IF(F13&lt;0.00000001,"",E13/F13)</f>
        <v>1.2040749863487521</v>
      </c>
    </row>
    <row r="14" spans="1:8" ht="14.4" customHeight="1" thickBot="1" x14ac:dyDescent="0.35">
      <c r="A14" s="12"/>
      <c r="B14" s="12"/>
      <c r="C14" s="111"/>
      <c r="D14" s="8"/>
      <c r="E14" s="12"/>
      <c r="F14" s="13"/>
    </row>
    <row r="15" spans="1:8" ht="14.4" customHeight="1" thickBot="1" x14ac:dyDescent="0.35">
      <c r="A15" s="138" t="str">
        <f>HYPERLINK("#'HI Graf'!A1","Hospodářský index (Výnosy / Náklady) *")</f>
        <v>Hospodářský index (Výnosy / Náklady) *</v>
      </c>
      <c r="B15" s="6">
        <f>IF(B9=0,"",B13/B9)</f>
        <v>0.26065747847083059</v>
      </c>
      <c r="C15" s="39">
        <f>IF(C9=0,"",C13/C9)</f>
        <v>0.31018471744757065</v>
      </c>
      <c r="D15" s="8"/>
      <c r="E15" s="6">
        <f>IF(E9=0,"",E13/E9)</f>
        <v>0.31599759601839889</v>
      </c>
      <c r="F15" s="38">
        <f>IF(F9=0,"",F13/F9)</f>
        <v>0.24100357016346974</v>
      </c>
      <c r="G15" s="38">
        <f>IF(ISERROR(F15-E15),"",E15-F15)</f>
        <v>7.4994025854929147E-2</v>
      </c>
      <c r="H15" s="130">
        <f>IF(ISERROR(F15-E15),"",IF(F15&lt;0.00000001,"",E15/F15))</f>
        <v>1.3111739208015118</v>
      </c>
    </row>
    <row r="17" spans="1:8" ht="14.4" customHeight="1" x14ac:dyDescent="0.3">
      <c r="A17" s="116" t="s">
        <v>161</v>
      </c>
    </row>
    <row r="18" spans="1:8" ht="14.4" customHeight="1" x14ac:dyDescent="0.3">
      <c r="A18" s="278" t="s">
        <v>193</v>
      </c>
      <c r="B18" s="279"/>
      <c r="C18" s="279"/>
      <c r="D18" s="279"/>
      <c r="E18" s="279"/>
      <c r="F18" s="279"/>
      <c r="G18" s="279"/>
      <c r="H18" s="279"/>
    </row>
    <row r="19" spans="1:8" x14ac:dyDescent="0.3">
      <c r="A19" s="277" t="s">
        <v>192</v>
      </c>
      <c r="B19" s="279"/>
      <c r="C19" s="279"/>
      <c r="D19" s="279"/>
      <c r="E19" s="279"/>
      <c r="F19" s="279"/>
      <c r="G19" s="279"/>
      <c r="H19" s="279"/>
    </row>
    <row r="20" spans="1:8" ht="14.4" customHeight="1" x14ac:dyDescent="0.3">
      <c r="A20" s="117" t="s">
        <v>216</v>
      </c>
    </row>
    <row r="21" spans="1:8" ht="14.4" customHeight="1" x14ac:dyDescent="0.3">
      <c r="A21" s="117" t="s">
        <v>162</v>
      </c>
    </row>
    <row r="22" spans="1:8" ht="14.4" customHeight="1" x14ac:dyDescent="0.3">
      <c r="A22" s="118" t="s">
        <v>250</v>
      </c>
    </row>
    <row r="23" spans="1:8" ht="14.4" customHeight="1" x14ac:dyDescent="0.3">
      <c r="A23" s="118" t="s">
        <v>163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9" priority="4" operator="greaterThan">
      <formula>0</formula>
    </cfRule>
  </conditionalFormatting>
  <conditionalFormatting sqref="G11:G13 G15">
    <cfRule type="cellIs" dxfId="58" priority="3" operator="lessThan">
      <formula>0</formula>
    </cfRule>
  </conditionalFormatting>
  <conditionalFormatting sqref="H5:H9">
    <cfRule type="cellIs" dxfId="57" priority="2" operator="greaterThan">
      <formula>1</formula>
    </cfRule>
  </conditionalFormatting>
  <conditionalFormatting sqref="H11:H13 H15">
    <cfRule type="cellIs" dxfId="56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3"/>
    <col min="2" max="13" width="8.88671875" style="133" customWidth="1"/>
    <col min="14" max="16384" width="8.88671875" style="133"/>
  </cols>
  <sheetData>
    <row r="1" spans="1:13" ht="18.600000000000001" customHeight="1" thickBot="1" x14ac:dyDescent="0.4">
      <c r="A1" s="315" t="s">
        <v>105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</row>
    <row r="2" spans="1:13" ht="14.4" customHeight="1" x14ac:dyDescent="0.3">
      <c r="A2" s="239" t="s">
        <v>251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ht="14.4" customHeight="1" x14ac:dyDescent="0.3">
      <c r="A3" s="202"/>
      <c r="B3" s="203" t="s">
        <v>82</v>
      </c>
      <c r="C3" s="204" t="s">
        <v>83</v>
      </c>
      <c r="D3" s="204" t="s">
        <v>84</v>
      </c>
      <c r="E3" s="203" t="s">
        <v>85</v>
      </c>
      <c r="F3" s="204" t="s">
        <v>86</v>
      </c>
      <c r="G3" s="204" t="s">
        <v>87</v>
      </c>
      <c r="H3" s="204" t="s">
        <v>88</v>
      </c>
      <c r="I3" s="204" t="s">
        <v>89</v>
      </c>
      <c r="J3" s="204" t="s">
        <v>90</v>
      </c>
      <c r="K3" s="204" t="s">
        <v>91</v>
      </c>
      <c r="L3" s="204" t="s">
        <v>92</v>
      </c>
      <c r="M3" s="204" t="s">
        <v>93</v>
      </c>
    </row>
    <row r="4" spans="1:13" ht="14.4" customHeight="1" x14ac:dyDescent="0.3">
      <c r="A4" s="202" t="s">
        <v>81</v>
      </c>
      <c r="B4" s="205">
        <f>(B10+B8)/B6</f>
        <v>0.28108732677166809</v>
      </c>
      <c r="C4" s="205">
        <f t="shared" ref="C4:M4" si="0">(C10+C8)/C6</f>
        <v>0.31599758714499854</v>
      </c>
      <c r="D4" s="205">
        <f t="shared" si="0"/>
        <v>0.31599758714499854</v>
      </c>
      <c r="E4" s="205">
        <f t="shared" si="0"/>
        <v>0.31599758714499854</v>
      </c>
      <c r="F4" s="205">
        <f t="shared" si="0"/>
        <v>0.31599758714499854</v>
      </c>
      <c r="G4" s="205">
        <f t="shared" si="0"/>
        <v>0.31599758714499854</v>
      </c>
      <c r="H4" s="205">
        <f t="shared" si="0"/>
        <v>0.31599758714499854</v>
      </c>
      <c r="I4" s="205">
        <f t="shared" si="0"/>
        <v>0.31599758714499854</v>
      </c>
      <c r="J4" s="205">
        <f t="shared" si="0"/>
        <v>0.31599758714499854</v>
      </c>
      <c r="K4" s="205">
        <f t="shared" si="0"/>
        <v>0.31599758714499854</v>
      </c>
      <c r="L4" s="205">
        <f t="shared" si="0"/>
        <v>0.31599758714499854</v>
      </c>
      <c r="M4" s="205">
        <f t="shared" si="0"/>
        <v>0.31599758714499854</v>
      </c>
    </row>
    <row r="5" spans="1:13" ht="14.4" customHeight="1" x14ac:dyDescent="0.3">
      <c r="A5" s="206" t="s">
        <v>53</v>
      </c>
      <c r="B5" s="205">
        <f>IF(ISERROR(VLOOKUP($A5,'Man Tab'!$A:$Q,COLUMN()+2,0)),0,VLOOKUP($A5,'Man Tab'!$A:$Q,COLUMN()+2,0))</f>
        <v>1184.6698100000001</v>
      </c>
      <c r="C5" s="205">
        <f>IF(ISERROR(VLOOKUP($A5,'Man Tab'!$A:$Q,COLUMN()+2,0)),0,VLOOKUP($A5,'Man Tab'!$A:$Q,COLUMN()+2,0))</f>
        <v>1069.2575899999999</v>
      </c>
      <c r="D5" s="205">
        <f>IF(ISERROR(VLOOKUP($A5,'Man Tab'!$A:$Q,COLUMN()+2,0)),0,VLOOKUP($A5,'Man Tab'!$A:$Q,COLUMN()+2,0))</f>
        <v>0</v>
      </c>
      <c r="E5" s="205">
        <f>IF(ISERROR(VLOOKUP($A5,'Man Tab'!$A:$Q,COLUMN()+2,0)),0,VLOOKUP($A5,'Man Tab'!$A:$Q,COLUMN()+2,0))</f>
        <v>0</v>
      </c>
      <c r="F5" s="205">
        <f>IF(ISERROR(VLOOKUP($A5,'Man Tab'!$A:$Q,COLUMN()+2,0)),0,VLOOKUP($A5,'Man Tab'!$A:$Q,COLUMN()+2,0))</f>
        <v>0</v>
      </c>
      <c r="G5" s="205">
        <f>IF(ISERROR(VLOOKUP($A5,'Man Tab'!$A:$Q,COLUMN()+2,0)),0,VLOOKUP($A5,'Man Tab'!$A:$Q,COLUMN()+2,0))</f>
        <v>0</v>
      </c>
      <c r="H5" s="205">
        <f>IF(ISERROR(VLOOKUP($A5,'Man Tab'!$A:$Q,COLUMN()+2,0)),0,VLOOKUP($A5,'Man Tab'!$A:$Q,COLUMN()+2,0))</f>
        <v>0</v>
      </c>
      <c r="I5" s="205">
        <f>IF(ISERROR(VLOOKUP($A5,'Man Tab'!$A:$Q,COLUMN()+2,0)),0,VLOOKUP($A5,'Man Tab'!$A:$Q,COLUMN()+2,0))</f>
        <v>0</v>
      </c>
      <c r="J5" s="205">
        <f>IF(ISERROR(VLOOKUP($A5,'Man Tab'!$A:$Q,COLUMN()+2,0)),0,VLOOKUP($A5,'Man Tab'!$A:$Q,COLUMN()+2,0))</f>
        <v>0</v>
      </c>
      <c r="K5" s="205">
        <f>IF(ISERROR(VLOOKUP($A5,'Man Tab'!$A:$Q,COLUMN()+2,0)),0,VLOOKUP($A5,'Man Tab'!$A:$Q,COLUMN()+2,0))</f>
        <v>0</v>
      </c>
      <c r="L5" s="205">
        <f>IF(ISERROR(VLOOKUP($A5,'Man Tab'!$A:$Q,COLUMN()+2,0)),0,VLOOKUP($A5,'Man Tab'!$A:$Q,COLUMN()+2,0))</f>
        <v>0</v>
      </c>
      <c r="M5" s="205">
        <f>IF(ISERROR(VLOOKUP($A5,'Man Tab'!$A:$Q,COLUMN()+2,0)),0,VLOOKUP($A5,'Man Tab'!$A:$Q,COLUMN()+2,0))</f>
        <v>0</v>
      </c>
    </row>
    <row r="6" spans="1:13" ht="14.4" customHeight="1" x14ac:dyDescent="0.3">
      <c r="A6" s="206" t="s">
        <v>77</v>
      </c>
      <c r="B6" s="207">
        <f>B5</f>
        <v>1184.6698100000001</v>
      </c>
      <c r="C6" s="207">
        <f t="shared" ref="C6:M6" si="1">C5+B6</f>
        <v>2253.9274</v>
      </c>
      <c r="D6" s="207">
        <f t="shared" si="1"/>
        <v>2253.9274</v>
      </c>
      <c r="E6" s="207">
        <f t="shared" si="1"/>
        <v>2253.9274</v>
      </c>
      <c r="F6" s="207">
        <f t="shared" si="1"/>
        <v>2253.9274</v>
      </c>
      <c r="G6" s="207">
        <f t="shared" si="1"/>
        <v>2253.9274</v>
      </c>
      <c r="H6" s="207">
        <f t="shared" si="1"/>
        <v>2253.9274</v>
      </c>
      <c r="I6" s="207">
        <f t="shared" si="1"/>
        <v>2253.9274</v>
      </c>
      <c r="J6" s="207">
        <f t="shared" si="1"/>
        <v>2253.9274</v>
      </c>
      <c r="K6" s="207">
        <f t="shared" si="1"/>
        <v>2253.9274</v>
      </c>
      <c r="L6" s="207">
        <f t="shared" si="1"/>
        <v>2253.9274</v>
      </c>
      <c r="M6" s="207">
        <f t="shared" si="1"/>
        <v>2253.9274</v>
      </c>
    </row>
    <row r="7" spans="1:13" ht="14.4" customHeight="1" x14ac:dyDescent="0.3">
      <c r="A7" s="206" t="s">
        <v>103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</row>
    <row r="8" spans="1:13" ht="14.4" customHeight="1" x14ac:dyDescent="0.3">
      <c r="A8" s="206" t="s">
        <v>78</v>
      </c>
      <c r="B8" s="207">
        <f>B7*30</f>
        <v>0</v>
      </c>
      <c r="C8" s="207">
        <f t="shared" ref="C8:M8" si="2">C7*30</f>
        <v>0</v>
      </c>
      <c r="D8" s="207">
        <f t="shared" si="2"/>
        <v>0</v>
      </c>
      <c r="E8" s="207">
        <f t="shared" si="2"/>
        <v>0</v>
      </c>
      <c r="F8" s="207">
        <f t="shared" si="2"/>
        <v>0</v>
      </c>
      <c r="G8" s="207">
        <f t="shared" si="2"/>
        <v>0</v>
      </c>
      <c r="H8" s="207">
        <f t="shared" si="2"/>
        <v>0</v>
      </c>
      <c r="I8" s="207">
        <f t="shared" si="2"/>
        <v>0</v>
      </c>
      <c r="J8" s="207">
        <f t="shared" si="2"/>
        <v>0</v>
      </c>
      <c r="K8" s="207">
        <f t="shared" si="2"/>
        <v>0</v>
      </c>
      <c r="L8" s="207">
        <f t="shared" si="2"/>
        <v>0</v>
      </c>
      <c r="M8" s="207">
        <f t="shared" si="2"/>
        <v>0</v>
      </c>
    </row>
    <row r="9" spans="1:13" ht="14.4" customHeight="1" x14ac:dyDescent="0.3">
      <c r="A9" s="206" t="s">
        <v>104</v>
      </c>
      <c r="B9" s="206">
        <v>332995.67</v>
      </c>
      <c r="C9" s="206">
        <v>379239.94999999995</v>
      </c>
      <c r="D9" s="206">
        <v>0</v>
      </c>
      <c r="E9" s="206">
        <v>0</v>
      </c>
      <c r="F9" s="206">
        <v>0</v>
      </c>
      <c r="G9" s="206">
        <v>0</v>
      </c>
      <c r="H9" s="206">
        <v>0</v>
      </c>
      <c r="I9" s="206">
        <v>0</v>
      </c>
      <c r="J9" s="206">
        <v>0</v>
      </c>
      <c r="K9" s="206">
        <v>0</v>
      </c>
      <c r="L9" s="206">
        <v>0</v>
      </c>
      <c r="M9" s="206">
        <v>0</v>
      </c>
    </row>
    <row r="10" spans="1:13" ht="14.4" customHeight="1" x14ac:dyDescent="0.3">
      <c r="A10" s="206" t="s">
        <v>79</v>
      </c>
      <c r="B10" s="207">
        <f>B9/1000</f>
        <v>332.99566999999996</v>
      </c>
      <c r="C10" s="207">
        <f t="shared" ref="C10:M10" si="3">C9/1000+B10</f>
        <v>712.23561999999993</v>
      </c>
      <c r="D10" s="207">
        <f t="shared" si="3"/>
        <v>712.23561999999993</v>
      </c>
      <c r="E10" s="207">
        <f t="shared" si="3"/>
        <v>712.23561999999993</v>
      </c>
      <c r="F10" s="207">
        <f t="shared" si="3"/>
        <v>712.23561999999993</v>
      </c>
      <c r="G10" s="207">
        <f t="shared" si="3"/>
        <v>712.23561999999993</v>
      </c>
      <c r="H10" s="207">
        <f t="shared" si="3"/>
        <v>712.23561999999993</v>
      </c>
      <c r="I10" s="207">
        <f t="shared" si="3"/>
        <v>712.23561999999993</v>
      </c>
      <c r="J10" s="207">
        <f t="shared" si="3"/>
        <v>712.23561999999993</v>
      </c>
      <c r="K10" s="207">
        <f t="shared" si="3"/>
        <v>712.23561999999993</v>
      </c>
      <c r="L10" s="207">
        <f t="shared" si="3"/>
        <v>712.23561999999993</v>
      </c>
      <c r="M10" s="207">
        <f t="shared" si="3"/>
        <v>712.23561999999993</v>
      </c>
    </row>
    <row r="11" spans="1:13" ht="14.4" customHeight="1" x14ac:dyDescent="0.3">
      <c r="A11" s="202"/>
      <c r="B11" s="202" t="s">
        <v>94</v>
      </c>
      <c r="C11" s="202">
        <f ca="1">IF(MONTH(TODAY())=1,12,MONTH(TODAY())-1)</f>
        <v>2</v>
      </c>
      <c r="D11" s="202"/>
      <c r="E11" s="202"/>
      <c r="F11" s="202"/>
      <c r="G11" s="202"/>
      <c r="H11" s="202"/>
      <c r="I11" s="202"/>
      <c r="J11" s="202"/>
      <c r="K11" s="202"/>
      <c r="L11" s="202"/>
      <c r="M11" s="202"/>
    </row>
    <row r="12" spans="1:13" ht="14.4" customHeight="1" x14ac:dyDescent="0.3">
      <c r="A12" s="202">
        <v>0</v>
      </c>
      <c r="B12" s="205">
        <f>IF(ISERROR(HI!F15),#REF!,HI!F15)</f>
        <v>0.24100357016346974</v>
      </c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</row>
    <row r="13" spans="1:13" ht="14.4" customHeight="1" x14ac:dyDescent="0.3">
      <c r="A13" s="202">
        <v>1</v>
      </c>
      <c r="B13" s="205">
        <f>IF(ISERROR(HI!F15),#REF!,HI!F15)</f>
        <v>0.24100357016346974</v>
      </c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3" bestFit="1" customWidth="1"/>
    <col min="2" max="2" width="12.77734375" style="133" bestFit="1" customWidth="1"/>
    <col min="3" max="3" width="13.6640625" style="133" bestFit="1" customWidth="1"/>
    <col min="4" max="15" width="7.77734375" style="133" bestFit="1" customWidth="1"/>
    <col min="16" max="16" width="8.88671875" style="133" customWidth="1"/>
    <col min="17" max="17" width="6.6640625" style="133" bestFit="1" customWidth="1"/>
    <col min="18" max="16384" width="8.88671875" style="133"/>
  </cols>
  <sheetData>
    <row r="1" spans="1:17" s="208" customFormat="1" ht="18.600000000000001" customHeight="1" thickBot="1" x14ac:dyDescent="0.4">
      <c r="A1" s="324" t="s">
        <v>253</v>
      </c>
      <c r="B1" s="324"/>
      <c r="C1" s="324"/>
      <c r="D1" s="324"/>
      <c r="E1" s="324"/>
      <c r="F1" s="324"/>
      <c r="G1" s="324"/>
      <c r="H1" s="315"/>
      <c r="I1" s="315"/>
      <c r="J1" s="315"/>
      <c r="K1" s="315"/>
      <c r="L1" s="315"/>
      <c r="M1" s="315"/>
      <c r="N1" s="315"/>
      <c r="O1" s="315"/>
      <c r="P1" s="315"/>
      <c r="Q1" s="315"/>
    </row>
    <row r="2" spans="1:17" s="208" customFormat="1" ht="14.4" customHeight="1" thickBot="1" x14ac:dyDescent="0.3">
      <c r="A2" s="239" t="s">
        <v>251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</row>
    <row r="3" spans="1:17" ht="14.4" customHeight="1" x14ac:dyDescent="0.3">
      <c r="A3" s="76"/>
      <c r="B3" s="325" t="s">
        <v>29</v>
      </c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141"/>
      <c r="Q3" s="143"/>
    </row>
    <row r="4" spans="1:17" ht="14.4" customHeight="1" x14ac:dyDescent="0.3">
      <c r="A4" s="77"/>
      <c r="B4" s="20">
        <v>2016</v>
      </c>
      <c r="C4" s="142" t="s">
        <v>30</v>
      </c>
      <c r="D4" s="132" t="s">
        <v>230</v>
      </c>
      <c r="E4" s="132" t="s">
        <v>231</v>
      </c>
      <c r="F4" s="132" t="s">
        <v>232</v>
      </c>
      <c r="G4" s="132" t="s">
        <v>233</v>
      </c>
      <c r="H4" s="132" t="s">
        <v>234</v>
      </c>
      <c r="I4" s="132" t="s">
        <v>235</v>
      </c>
      <c r="J4" s="132" t="s">
        <v>236</v>
      </c>
      <c r="K4" s="132" t="s">
        <v>237</v>
      </c>
      <c r="L4" s="132" t="s">
        <v>238</v>
      </c>
      <c r="M4" s="132" t="s">
        <v>239</v>
      </c>
      <c r="N4" s="132" t="s">
        <v>240</v>
      </c>
      <c r="O4" s="132" t="s">
        <v>241</v>
      </c>
      <c r="P4" s="327" t="s">
        <v>3</v>
      </c>
      <c r="Q4" s="328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5" t="s">
        <v>252</v>
      </c>
    </row>
    <row r="7" spans="1:17" ht="14.4" customHeight="1" x14ac:dyDescent="0.3">
      <c r="A7" s="15" t="s">
        <v>35</v>
      </c>
      <c r="B7" s="51">
        <v>193.819966575693</v>
      </c>
      <c r="C7" s="52">
        <v>16.151663881307002</v>
      </c>
      <c r="D7" s="52">
        <v>15.94848</v>
      </c>
      <c r="E7" s="52">
        <v>2.49912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18.447600000000001</v>
      </c>
      <c r="Q7" s="96">
        <v>0.57107429103100005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6" t="s">
        <v>252</v>
      </c>
    </row>
    <row r="9" spans="1:17" ht="14.4" customHeight="1" x14ac:dyDescent="0.3">
      <c r="A9" s="15" t="s">
        <v>37</v>
      </c>
      <c r="B9" s="51">
        <v>2329.6466847738502</v>
      </c>
      <c r="C9" s="52">
        <v>194.13722373115399</v>
      </c>
      <c r="D9" s="52">
        <v>99.893360000000001</v>
      </c>
      <c r="E9" s="52">
        <v>16.897760000000002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116.79112000000001</v>
      </c>
      <c r="Q9" s="96">
        <v>0.30079527705999998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6" t="s">
        <v>252</v>
      </c>
    </row>
    <row r="11" spans="1:17" ht="14.4" customHeight="1" x14ac:dyDescent="0.3">
      <c r="A11" s="15" t="s">
        <v>39</v>
      </c>
      <c r="B11" s="51">
        <v>75.775779626036993</v>
      </c>
      <c r="C11" s="52">
        <v>6.3146483021690001</v>
      </c>
      <c r="D11" s="52">
        <v>9.9780899999999999</v>
      </c>
      <c r="E11" s="52">
        <v>1.3582000000000001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11.33629</v>
      </c>
      <c r="Q11" s="96">
        <v>0.89761847830099994</v>
      </c>
    </row>
    <row r="12" spans="1:17" ht="14.4" customHeight="1" x14ac:dyDescent="0.3">
      <c r="A12" s="15" t="s">
        <v>40</v>
      </c>
      <c r="B12" s="51">
        <v>13.169597754183</v>
      </c>
      <c r="C12" s="52">
        <v>1.097466479515</v>
      </c>
      <c r="D12" s="52">
        <v>0</v>
      </c>
      <c r="E12" s="52">
        <v>1.954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1.954</v>
      </c>
      <c r="Q12" s="96">
        <v>0.89023220138000003</v>
      </c>
    </row>
    <row r="13" spans="1:17" ht="14.4" customHeight="1" x14ac:dyDescent="0.3">
      <c r="A13" s="15" t="s">
        <v>41</v>
      </c>
      <c r="B13" s="51">
        <v>122.160414425224</v>
      </c>
      <c r="C13" s="52">
        <v>10.180034535435</v>
      </c>
      <c r="D13" s="52">
        <v>9.3989399999999996</v>
      </c>
      <c r="E13" s="52">
        <v>1.3915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10.79044</v>
      </c>
      <c r="Q13" s="96">
        <v>0.52998052032300003</v>
      </c>
    </row>
    <row r="14" spans="1:17" ht="14.4" customHeight="1" x14ac:dyDescent="0.3">
      <c r="A14" s="15" t="s">
        <v>42</v>
      </c>
      <c r="B14" s="51">
        <v>356.73804441616397</v>
      </c>
      <c r="C14" s="52">
        <v>29.728170368013</v>
      </c>
      <c r="D14" s="52">
        <v>40.225999999999999</v>
      </c>
      <c r="E14" s="52">
        <v>30.55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70.775999999999996</v>
      </c>
      <c r="Q14" s="96">
        <v>1.19038607361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6" t="s">
        <v>252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6" t="s">
        <v>252</v>
      </c>
    </row>
    <row r="17" spans="1:17" ht="14.4" customHeight="1" x14ac:dyDescent="0.3">
      <c r="A17" s="15" t="s">
        <v>45</v>
      </c>
      <c r="B17" s="51">
        <v>92.615007258399999</v>
      </c>
      <c r="C17" s="52">
        <v>7.7179172715329996</v>
      </c>
      <c r="D17" s="52">
        <v>0</v>
      </c>
      <c r="E17" s="52">
        <v>0.41453000000000001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0.41453000000000001</v>
      </c>
      <c r="Q17" s="96">
        <v>2.6855042974000001E-2</v>
      </c>
    </row>
    <row r="18" spans="1:17" ht="14.4" customHeight="1" x14ac:dyDescent="0.3">
      <c r="A18" s="15" t="s">
        <v>46</v>
      </c>
      <c r="B18" s="51">
        <v>28.043429207839999</v>
      </c>
      <c r="C18" s="52">
        <v>2.3369524339860002</v>
      </c>
      <c r="D18" s="52">
        <v>6.0119999999999996</v>
      </c>
      <c r="E18" s="52">
        <v>5.1079999999999997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11.12</v>
      </c>
      <c r="Q18" s="96">
        <v>2.3791669522830001</v>
      </c>
    </row>
    <row r="19" spans="1:17" ht="14.4" customHeight="1" x14ac:dyDescent="0.3">
      <c r="A19" s="15" t="s">
        <v>47</v>
      </c>
      <c r="B19" s="51">
        <v>263.10183753773401</v>
      </c>
      <c r="C19" s="52">
        <v>21.925153128144</v>
      </c>
      <c r="D19" s="52">
        <v>29.71651</v>
      </c>
      <c r="E19" s="52">
        <v>33.451520000000002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63.168030000000002</v>
      </c>
      <c r="Q19" s="96">
        <v>1.440537943584</v>
      </c>
    </row>
    <row r="20" spans="1:17" ht="14.4" customHeight="1" x14ac:dyDescent="0.3">
      <c r="A20" s="15" t="s">
        <v>48</v>
      </c>
      <c r="B20" s="51">
        <v>10591.0029194693</v>
      </c>
      <c r="C20" s="52">
        <v>882.58357662244202</v>
      </c>
      <c r="D20" s="52">
        <v>914.63643000000002</v>
      </c>
      <c r="E20" s="52">
        <v>902.97352000000001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1817.60995</v>
      </c>
      <c r="Q20" s="96">
        <v>1.029709819072</v>
      </c>
    </row>
    <row r="21" spans="1:17" ht="14.4" customHeight="1" x14ac:dyDescent="0.3">
      <c r="A21" s="16" t="s">
        <v>49</v>
      </c>
      <c r="B21" s="51">
        <v>624.001556653021</v>
      </c>
      <c r="C21" s="52">
        <v>52.000129721085003</v>
      </c>
      <c r="D21" s="52">
        <v>57.66</v>
      </c>
      <c r="E21" s="52">
        <v>57.66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115.32</v>
      </c>
      <c r="Q21" s="96">
        <v>1.1088433876849999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6" t="s">
        <v>252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6" t="s">
        <v>252</v>
      </c>
    </row>
    <row r="24" spans="1:17" ht="14.4" customHeight="1" x14ac:dyDescent="0.3">
      <c r="A24" s="16" t="s">
        <v>52</v>
      </c>
      <c r="B24" s="51">
        <v>36.370505793695003</v>
      </c>
      <c r="C24" s="52">
        <v>3.0308754828070001</v>
      </c>
      <c r="D24" s="52">
        <v>1.2</v>
      </c>
      <c r="E24" s="52">
        <v>14.999439999999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16.199439999999001</v>
      </c>
      <c r="Q24" s="96">
        <v>2.672402758194</v>
      </c>
    </row>
    <row r="25" spans="1:17" ht="14.4" customHeight="1" x14ac:dyDescent="0.3">
      <c r="A25" s="17" t="s">
        <v>53</v>
      </c>
      <c r="B25" s="54">
        <v>14726.4457434911</v>
      </c>
      <c r="C25" s="55">
        <v>1227.2038119576</v>
      </c>
      <c r="D25" s="55">
        <v>1184.6698100000001</v>
      </c>
      <c r="E25" s="55">
        <v>1069.2575899999999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2253.9274</v>
      </c>
      <c r="Q25" s="97">
        <v>0.91831828504599999</v>
      </c>
    </row>
    <row r="26" spans="1:17" ht="14.4" customHeight="1" x14ac:dyDescent="0.3">
      <c r="A26" s="15" t="s">
        <v>54</v>
      </c>
      <c r="B26" s="51">
        <v>0</v>
      </c>
      <c r="C26" s="52">
        <v>0</v>
      </c>
      <c r="D26" s="52">
        <v>128.76568</v>
      </c>
      <c r="E26" s="52">
        <v>111.4901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240.25577999999999</v>
      </c>
      <c r="Q26" s="96" t="s">
        <v>252</v>
      </c>
    </row>
    <row r="27" spans="1:17" ht="14.4" customHeight="1" x14ac:dyDescent="0.3">
      <c r="A27" s="18" t="s">
        <v>55</v>
      </c>
      <c r="B27" s="54">
        <v>14726.4457434911</v>
      </c>
      <c r="C27" s="55">
        <v>1227.2038119576</v>
      </c>
      <c r="D27" s="55">
        <v>1313.4354900000001</v>
      </c>
      <c r="E27" s="55">
        <v>1180.7476899999999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2494.18318</v>
      </c>
      <c r="Q27" s="97">
        <v>1.016205766188</v>
      </c>
    </row>
    <row r="28" spans="1:17" ht="14.4" customHeight="1" x14ac:dyDescent="0.3">
      <c r="A28" s="16" t="s">
        <v>56</v>
      </c>
      <c r="B28" s="51">
        <v>1065.91467878394</v>
      </c>
      <c r="C28" s="52">
        <v>88.826223231994007</v>
      </c>
      <c r="D28" s="52">
        <v>82.340320000000006</v>
      </c>
      <c r="E28" s="52">
        <v>58.651240000000001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140.99155999999999</v>
      </c>
      <c r="Q28" s="96">
        <v>0.79363703008999997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6" t="s">
        <v>252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6">
        <v>10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8" t="s">
        <v>252</v>
      </c>
    </row>
    <row r="32" spans="1:17" ht="14.4" customHeight="1" x14ac:dyDescent="0.3"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</row>
    <row r="33" spans="1:17" ht="14.4" customHeight="1" x14ac:dyDescent="0.3">
      <c r="A33" s="116" t="s">
        <v>161</v>
      </c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</row>
    <row r="34" spans="1:17" ht="14.4" customHeight="1" x14ac:dyDescent="0.3">
      <c r="A34" s="139" t="s">
        <v>242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</row>
    <row r="35" spans="1:17" ht="14.4" customHeight="1" x14ac:dyDescent="0.3">
      <c r="A35" s="140" t="s">
        <v>60</v>
      </c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3" customWidth="1"/>
    <col min="2" max="11" width="10" style="133" customWidth="1"/>
    <col min="12" max="16384" width="8.88671875" style="133"/>
  </cols>
  <sheetData>
    <row r="1" spans="1:11" s="60" customFormat="1" ht="18.600000000000001" customHeight="1" thickBot="1" x14ac:dyDescent="0.4">
      <c r="A1" s="324" t="s">
        <v>61</v>
      </c>
      <c r="B1" s="324"/>
      <c r="C1" s="324"/>
      <c r="D1" s="324"/>
      <c r="E1" s="324"/>
      <c r="F1" s="324"/>
      <c r="G1" s="324"/>
      <c r="H1" s="329"/>
      <c r="I1" s="329"/>
      <c r="J1" s="329"/>
      <c r="K1" s="329"/>
    </row>
    <row r="2" spans="1:11" s="60" customFormat="1" ht="14.4" customHeight="1" thickBot="1" x14ac:dyDescent="0.35">
      <c r="A2" s="239" t="s">
        <v>251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25" t="s">
        <v>62</v>
      </c>
      <c r="C3" s="326"/>
      <c r="D3" s="326"/>
      <c r="E3" s="326"/>
      <c r="F3" s="332" t="s">
        <v>63</v>
      </c>
      <c r="G3" s="326"/>
      <c r="H3" s="326"/>
      <c r="I3" s="326"/>
      <c r="J3" s="326"/>
      <c r="K3" s="333"/>
    </row>
    <row r="4" spans="1:11" ht="14.4" customHeight="1" x14ac:dyDescent="0.3">
      <c r="A4" s="77"/>
      <c r="B4" s="330"/>
      <c r="C4" s="331"/>
      <c r="D4" s="331"/>
      <c r="E4" s="331"/>
      <c r="F4" s="334" t="s">
        <v>247</v>
      </c>
      <c r="G4" s="336" t="s">
        <v>64</v>
      </c>
      <c r="H4" s="144" t="s">
        <v>145</v>
      </c>
      <c r="I4" s="334" t="s">
        <v>65</v>
      </c>
      <c r="J4" s="336" t="s">
        <v>219</v>
      </c>
      <c r="K4" s="337" t="s">
        <v>249</v>
      </c>
    </row>
    <row r="5" spans="1:11" ht="42" thickBot="1" x14ac:dyDescent="0.35">
      <c r="A5" s="78"/>
      <c r="B5" s="24" t="s">
        <v>243</v>
      </c>
      <c r="C5" s="25" t="s">
        <v>244</v>
      </c>
      <c r="D5" s="26" t="s">
        <v>245</v>
      </c>
      <c r="E5" s="26" t="s">
        <v>246</v>
      </c>
      <c r="F5" s="335"/>
      <c r="G5" s="335"/>
      <c r="H5" s="25" t="s">
        <v>248</v>
      </c>
      <c r="I5" s="335"/>
      <c r="J5" s="335"/>
      <c r="K5" s="338"/>
    </row>
    <row r="6" spans="1:11" ht="14.4" customHeight="1" thickBot="1" x14ac:dyDescent="0.35">
      <c r="A6" s="427" t="s">
        <v>254</v>
      </c>
      <c r="B6" s="409">
        <v>14369.0043140821</v>
      </c>
      <c r="C6" s="409">
        <v>14464.44289</v>
      </c>
      <c r="D6" s="410">
        <v>95.438575917918001</v>
      </c>
      <c r="E6" s="411">
        <v>1.00664197559</v>
      </c>
      <c r="F6" s="409">
        <v>14726.4457434911</v>
      </c>
      <c r="G6" s="410">
        <v>2454.40762391519</v>
      </c>
      <c r="H6" s="412">
        <v>1069.2575899999999</v>
      </c>
      <c r="I6" s="409">
        <v>2253.9274</v>
      </c>
      <c r="J6" s="410">
        <v>-200.480223915191</v>
      </c>
      <c r="K6" s="413">
        <v>0.153053047507</v>
      </c>
    </row>
    <row r="7" spans="1:11" ht="14.4" customHeight="1" thickBot="1" x14ac:dyDescent="0.35">
      <c r="A7" s="428" t="s">
        <v>255</v>
      </c>
      <c r="B7" s="409">
        <v>2960.2635958997098</v>
      </c>
      <c r="C7" s="409">
        <v>2602.11276</v>
      </c>
      <c r="D7" s="410">
        <v>-358.15083589971198</v>
      </c>
      <c r="E7" s="411">
        <v>0.87901387011700005</v>
      </c>
      <c r="F7" s="409">
        <v>3091.3104875711501</v>
      </c>
      <c r="G7" s="410">
        <v>515.21841459519101</v>
      </c>
      <c r="H7" s="412">
        <v>54.650019999999998</v>
      </c>
      <c r="I7" s="409">
        <v>230.09488999999999</v>
      </c>
      <c r="J7" s="410">
        <v>-285.12352459519099</v>
      </c>
      <c r="K7" s="413">
        <v>7.4432798297999994E-2</v>
      </c>
    </row>
    <row r="8" spans="1:11" ht="14.4" customHeight="1" thickBot="1" x14ac:dyDescent="0.35">
      <c r="A8" s="429" t="s">
        <v>256</v>
      </c>
      <c r="B8" s="409">
        <v>2580.17090949052</v>
      </c>
      <c r="C8" s="409">
        <v>2238.9727600000001</v>
      </c>
      <c r="D8" s="410">
        <v>-341.19814949052</v>
      </c>
      <c r="E8" s="411">
        <v>0.86776141524700001</v>
      </c>
      <c r="F8" s="409">
        <v>2734.5724431549802</v>
      </c>
      <c r="G8" s="410">
        <v>455.76207385916399</v>
      </c>
      <c r="H8" s="412">
        <v>24.100020000000001</v>
      </c>
      <c r="I8" s="409">
        <v>159.31889000000001</v>
      </c>
      <c r="J8" s="410">
        <v>-296.44318385916398</v>
      </c>
      <c r="K8" s="413">
        <v>5.826098716E-2</v>
      </c>
    </row>
    <row r="9" spans="1:11" ht="14.4" customHeight="1" thickBot="1" x14ac:dyDescent="0.35">
      <c r="A9" s="430" t="s">
        <v>257</v>
      </c>
      <c r="B9" s="414">
        <v>0</v>
      </c>
      <c r="C9" s="414">
        <v>1.6000000000000001E-3</v>
      </c>
      <c r="D9" s="415">
        <v>1.6000000000000001E-3</v>
      </c>
      <c r="E9" s="416" t="s">
        <v>252</v>
      </c>
      <c r="F9" s="414">
        <v>0</v>
      </c>
      <c r="G9" s="415">
        <v>0</v>
      </c>
      <c r="H9" s="417">
        <v>-5.5999999999999995E-4</v>
      </c>
      <c r="I9" s="414">
        <v>-5.5999999999999995E-4</v>
      </c>
      <c r="J9" s="415">
        <v>-5.5999999999999995E-4</v>
      </c>
      <c r="K9" s="418" t="s">
        <v>252</v>
      </c>
    </row>
    <row r="10" spans="1:11" ht="14.4" customHeight="1" thickBot="1" x14ac:dyDescent="0.35">
      <c r="A10" s="431" t="s">
        <v>258</v>
      </c>
      <c r="B10" s="409">
        <v>0</v>
      </c>
      <c r="C10" s="409">
        <v>1.6000000000000001E-3</v>
      </c>
      <c r="D10" s="410">
        <v>1.6000000000000001E-3</v>
      </c>
      <c r="E10" s="419" t="s">
        <v>252</v>
      </c>
      <c r="F10" s="409">
        <v>0</v>
      </c>
      <c r="G10" s="410">
        <v>0</v>
      </c>
      <c r="H10" s="412">
        <v>-5.5999999999999995E-4</v>
      </c>
      <c r="I10" s="409">
        <v>-5.5999999999999995E-4</v>
      </c>
      <c r="J10" s="410">
        <v>-5.5999999999999995E-4</v>
      </c>
      <c r="K10" s="420" t="s">
        <v>252</v>
      </c>
    </row>
    <row r="11" spans="1:11" ht="14.4" customHeight="1" thickBot="1" x14ac:dyDescent="0.35">
      <c r="A11" s="430" t="s">
        <v>259</v>
      </c>
      <c r="B11" s="414">
        <v>187.64416680688899</v>
      </c>
      <c r="C11" s="414">
        <v>171.92321999999999</v>
      </c>
      <c r="D11" s="415">
        <v>-15.720946806888</v>
      </c>
      <c r="E11" s="421">
        <v>0.91621936842200002</v>
      </c>
      <c r="F11" s="414">
        <v>193.819966575693</v>
      </c>
      <c r="G11" s="415">
        <v>32.303327762614998</v>
      </c>
      <c r="H11" s="417">
        <v>2.49912</v>
      </c>
      <c r="I11" s="414">
        <v>18.447600000000001</v>
      </c>
      <c r="J11" s="415">
        <v>-13.855727762615</v>
      </c>
      <c r="K11" s="422">
        <v>9.5179048505000002E-2</v>
      </c>
    </row>
    <row r="12" spans="1:11" ht="14.4" customHeight="1" thickBot="1" x14ac:dyDescent="0.35">
      <c r="A12" s="431" t="s">
        <v>260</v>
      </c>
      <c r="B12" s="409">
        <v>160.862341011322</v>
      </c>
      <c r="C12" s="409">
        <v>146.93244000000001</v>
      </c>
      <c r="D12" s="410">
        <v>-13.929901011321</v>
      </c>
      <c r="E12" s="411">
        <v>0.91340483469400002</v>
      </c>
      <c r="F12" s="409">
        <v>166.819959132989</v>
      </c>
      <c r="G12" s="410">
        <v>27.803326522163999</v>
      </c>
      <c r="H12" s="412">
        <v>2.2786300000000002</v>
      </c>
      <c r="I12" s="409">
        <v>17.009799999999998</v>
      </c>
      <c r="J12" s="410">
        <v>-10.793526522164001</v>
      </c>
      <c r="K12" s="413">
        <v>0.101965017186</v>
      </c>
    </row>
    <row r="13" spans="1:11" ht="14.4" customHeight="1" thickBot="1" x14ac:dyDescent="0.35">
      <c r="A13" s="431" t="s">
        <v>261</v>
      </c>
      <c r="B13" s="409">
        <v>26.781825795566998</v>
      </c>
      <c r="C13" s="409">
        <v>24.990780000000001</v>
      </c>
      <c r="D13" s="410">
        <v>-1.7910457955670001</v>
      </c>
      <c r="E13" s="411">
        <v>0.93312458197399994</v>
      </c>
      <c r="F13" s="409">
        <v>27.000007442703001</v>
      </c>
      <c r="G13" s="410">
        <v>4.5000012404499996</v>
      </c>
      <c r="H13" s="412">
        <v>0.22048999999999999</v>
      </c>
      <c r="I13" s="409">
        <v>1.4378</v>
      </c>
      <c r="J13" s="410">
        <v>-3.0622012404499999</v>
      </c>
      <c r="K13" s="413">
        <v>5.3251837172000001E-2</v>
      </c>
    </row>
    <row r="14" spans="1:11" ht="14.4" customHeight="1" thickBot="1" x14ac:dyDescent="0.35">
      <c r="A14" s="430" t="s">
        <v>262</v>
      </c>
      <c r="B14" s="414">
        <v>2126.60416984019</v>
      </c>
      <c r="C14" s="414">
        <v>1847.17257</v>
      </c>
      <c r="D14" s="415">
        <v>-279.43159984019201</v>
      </c>
      <c r="E14" s="421">
        <v>0.86860196937199996</v>
      </c>
      <c r="F14" s="414">
        <v>2329.6466847738502</v>
      </c>
      <c r="G14" s="415">
        <v>388.27444746230799</v>
      </c>
      <c r="H14" s="417">
        <v>16.897760000000002</v>
      </c>
      <c r="I14" s="414">
        <v>116.79112000000001</v>
      </c>
      <c r="J14" s="415">
        <v>-271.48332746230801</v>
      </c>
      <c r="K14" s="422">
        <v>5.0132546175999999E-2</v>
      </c>
    </row>
    <row r="15" spans="1:11" ht="14.4" customHeight="1" thickBot="1" x14ac:dyDescent="0.35">
      <c r="A15" s="431" t="s">
        <v>263</v>
      </c>
      <c r="B15" s="409">
        <v>63.999997984155002</v>
      </c>
      <c r="C15" s="409">
        <v>49.256959999999999</v>
      </c>
      <c r="D15" s="410">
        <v>-14.743037984155</v>
      </c>
      <c r="E15" s="411">
        <v>0.76964002424099998</v>
      </c>
      <c r="F15" s="409">
        <v>70.000019295897005</v>
      </c>
      <c r="G15" s="410">
        <v>11.666669882649</v>
      </c>
      <c r="H15" s="412">
        <v>0</v>
      </c>
      <c r="I15" s="409">
        <v>0</v>
      </c>
      <c r="J15" s="410">
        <v>-11.666669882649</v>
      </c>
      <c r="K15" s="413">
        <v>0</v>
      </c>
    </row>
    <row r="16" spans="1:11" ht="14.4" customHeight="1" thickBot="1" x14ac:dyDescent="0.35">
      <c r="A16" s="431" t="s">
        <v>264</v>
      </c>
      <c r="B16" s="409">
        <v>249.999995653334</v>
      </c>
      <c r="C16" s="409">
        <v>148.90243000000001</v>
      </c>
      <c r="D16" s="410">
        <v>-101.097565653334</v>
      </c>
      <c r="E16" s="411">
        <v>0.59560973035499998</v>
      </c>
      <c r="F16" s="409">
        <v>250.000068913918</v>
      </c>
      <c r="G16" s="410">
        <v>41.666678152319001</v>
      </c>
      <c r="H16" s="412">
        <v>-5.101</v>
      </c>
      <c r="I16" s="409">
        <v>0</v>
      </c>
      <c r="J16" s="410">
        <v>-41.666678152319001</v>
      </c>
      <c r="K16" s="413">
        <v>0</v>
      </c>
    </row>
    <row r="17" spans="1:11" ht="14.4" customHeight="1" thickBot="1" x14ac:dyDescent="0.35">
      <c r="A17" s="431" t="s">
        <v>265</v>
      </c>
      <c r="B17" s="409">
        <v>499.99998267633299</v>
      </c>
      <c r="C17" s="409">
        <v>494.80536000000001</v>
      </c>
      <c r="D17" s="410">
        <v>-5.194622676332</v>
      </c>
      <c r="E17" s="411">
        <v>0.98961075428699996</v>
      </c>
      <c r="F17" s="409">
        <v>500.000137827836</v>
      </c>
      <c r="G17" s="410">
        <v>83.333356304638997</v>
      </c>
      <c r="H17" s="412">
        <v>-2.2120000000000002</v>
      </c>
      <c r="I17" s="409">
        <v>43.67</v>
      </c>
      <c r="J17" s="410">
        <v>-39.663356304639002</v>
      </c>
      <c r="K17" s="413">
        <v>8.7339975924000002E-2</v>
      </c>
    </row>
    <row r="18" spans="1:11" ht="14.4" customHeight="1" thickBot="1" x14ac:dyDescent="0.35">
      <c r="A18" s="431" t="s">
        <v>266</v>
      </c>
      <c r="B18" s="409">
        <v>45</v>
      </c>
      <c r="C18" s="409">
        <v>43.585900000000002</v>
      </c>
      <c r="D18" s="410">
        <v>-1.414099999999</v>
      </c>
      <c r="E18" s="411">
        <v>0.96857555555499997</v>
      </c>
      <c r="F18" s="409">
        <v>45.000012404505</v>
      </c>
      <c r="G18" s="410">
        <v>7.5000020674170003</v>
      </c>
      <c r="H18" s="412">
        <v>0</v>
      </c>
      <c r="I18" s="409">
        <v>0</v>
      </c>
      <c r="J18" s="410">
        <v>-7.5000020674170003</v>
      </c>
      <c r="K18" s="413">
        <v>0</v>
      </c>
    </row>
    <row r="19" spans="1:11" ht="14.4" customHeight="1" thickBot="1" x14ac:dyDescent="0.35">
      <c r="A19" s="431" t="s">
        <v>267</v>
      </c>
      <c r="B19" s="409">
        <v>354.92981404305698</v>
      </c>
      <c r="C19" s="409">
        <v>354.10723000000002</v>
      </c>
      <c r="D19" s="410">
        <v>-0.82258404305699995</v>
      </c>
      <c r="E19" s="411">
        <v>0.99768240364500005</v>
      </c>
      <c r="F19" s="409">
        <v>439.47321886219498</v>
      </c>
      <c r="G19" s="410">
        <v>73.245536477032005</v>
      </c>
      <c r="H19" s="412">
        <v>6.1947599999999996</v>
      </c>
      <c r="I19" s="409">
        <v>14.625830000000001</v>
      </c>
      <c r="J19" s="410">
        <v>-58.619706477031997</v>
      </c>
      <c r="K19" s="413">
        <v>3.3280366976000002E-2</v>
      </c>
    </row>
    <row r="20" spans="1:11" ht="14.4" customHeight="1" thickBot="1" x14ac:dyDescent="0.35">
      <c r="A20" s="431" t="s">
        <v>268</v>
      </c>
      <c r="B20" s="409">
        <v>224.82485656095099</v>
      </c>
      <c r="C20" s="409">
        <v>129.45984999999999</v>
      </c>
      <c r="D20" s="410">
        <v>-95.365006560951002</v>
      </c>
      <c r="E20" s="411">
        <v>0.57582534235799998</v>
      </c>
      <c r="F20" s="409">
        <v>294.25460049960401</v>
      </c>
      <c r="G20" s="410">
        <v>49.042433416599998</v>
      </c>
      <c r="H20" s="412">
        <v>17.265999999999998</v>
      </c>
      <c r="I20" s="409">
        <v>25.613959999999999</v>
      </c>
      <c r="J20" s="410">
        <v>-23.428473416599999</v>
      </c>
      <c r="K20" s="413">
        <v>8.7046931319000001E-2</v>
      </c>
    </row>
    <row r="21" spans="1:11" ht="14.4" customHeight="1" thickBot="1" x14ac:dyDescent="0.35">
      <c r="A21" s="431" t="s">
        <v>269</v>
      </c>
      <c r="B21" s="409">
        <v>0.24509999227900001</v>
      </c>
      <c r="C21" s="409">
        <v>20.50648</v>
      </c>
      <c r="D21" s="410">
        <v>20.26138000772</v>
      </c>
      <c r="E21" s="411">
        <v>83.665771709116001</v>
      </c>
      <c r="F21" s="409">
        <v>2.000000551311</v>
      </c>
      <c r="G21" s="410">
        <v>0.33333342521800002</v>
      </c>
      <c r="H21" s="412">
        <v>0</v>
      </c>
      <c r="I21" s="409">
        <v>0</v>
      </c>
      <c r="J21" s="410">
        <v>-0.33333342521800002</v>
      </c>
      <c r="K21" s="413">
        <v>0</v>
      </c>
    </row>
    <row r="22" spans="1:11" ht="14.4" customHeight="1" thickBot="1" x14ac:dyDescent="0.35">
      <c r="A22" s="431" t="s">
        <v>270</v>
      </c>
      <c r="B22" s="409">
        <v>539.71703364557902</v>
      </c>
      <c r="C22" s="409">
        <v>526.51998000000003</v>
      </c>
      <c r="D22" s="410">
        <v>-13.197053645578</v>
      </c>
      <c r="E22" s="411">
        <v>0.97554819873499998</v>
      </c>
      <c r="F22" s="409">
        <v>558.79413981563903</v>
      </c>
      <c r="G22" s="410">
        <v>93.132356635939004</v>
      </c>
      <c r="H22" s="412">
        <v>0</v>
      </c>
      <c r="I22" s="409">
        <v>26.688970000000001</v>
      </c>
      <c r="J22" s="410">
        <v>-66.443386635939007</v>
      </c>
      <c r="K22" s="413">
        <v>4.7761721352999997E-2</v>
      </c>
    </row>
    <row r="23" spans="1:11" ht="14.4" customHeight="1" thickBot="1" x14ac:dyDescent="0.35">
      <c r="A23" s="431" t="s">
        <v>271</v>
      </c>
      <c r="B23" s="409">
        <v>15.999999496038001</v>
      </c>
      <c r="C23" s="409">
        <v>2.6595300000000002</v>
      </c>
      <c r="D23" s="410">
        <v>-13.340469496038001</v>
      </c>
      <c r="E23" s="411">
        <v>0.166220630235</v>
      </c>
      <c r="F23" s="409">
        <v>10.000002756556</v>
      </c>
      <c r="G23" s="410">
        <v>1.6666671260920001</v>
      </c>
      <c r="H23" s="412">
        <v>0</v>
      </c>
      <c r="I23" s="409">
        <v>0.16</v>
      </c>
      <c r="J23" s="410">
        <v>-1.5066671260919999</v>
      </c>
      <c r="K23" s="413">
        <v>1.5999995589000001E-2</v>
      </c>
    </row>
    <row r="24" spans="1:11" ht="14.4" customHeight="1" thickBot="1" x14ac:dyDescent="0.35">
      <c r="A24" s="431" t="s">
        <v>272</v>
      </c>
      <c r="B24" s="409">
        <v>89.888434913751993</v>
      </c>
      <c r="C24" s="409">
        <v>36.03631</v>
      </c>
      <c r="D24" s="410">
        <v>-53.852124913752</v>
      </c>
      <c r="E24" s="411">
        <v>0.40090040542499999</v>
      </c>
      <c r="F24" s="409">
        <v>60.000016539340002</v>
      </c>
      <c r="G24" s="410">
        <v>10.000002756556</v>
      </c>
      <c r="H24" s="412">
        <v>0.75</v>
      </c>
      <c r="I24" s="409">
        <v>0.75</v>
      </c>
      <c r="J24" s="410">
        <v>-9.2500027565560003</v>
      </c>
      <c r="K24" s="413">
        <v>1.2499996554E-2</v>
      </c>
    </row>
    <row r="25" spans="1:11" ht="14.4" customHeight="1" thickBot="1" x14ac:dyDescent="0.35">
      <c r="A25" s="431" t="s">
        <v>273</v>
      </c>
      <c r="B25" s="409">
        <v>41.998954874711004</v>
      </c>
      <c r="C25" s="409">
        <v>41.332540000000002</v>
      </c>
      <c r="D25" s="410">
        <v>-0.66641487471100003</v>
      </c>
      <c r="E25" s="411">
        <v>0.98413258432899997</v>
      </c>
      <c r="F25" s="409">
        <v>100.12446730704301</v>
      </c>
      <c r="G25" s="410">
        <v>16.687411217840001</v>
      </c>
      <c r="H25" s="412">
        <v>0</v>
      </c>
      <c r="I25" s="409">
        <v>5.2823599999999997</v>
      </c>
      <c r="J25" s="410">
        <v>-11.405051217840001</v>
      </c>
      <c r="K25" s="413">
        <v>5.2757933620000003E-2</v>
      </c>
    </row>
    <row r="26" spans="1:11" ht="14.4" customHeight="1" thickBot="1" x14ac:dyDescent="0.35">
      <c r="A26" s="430" t="s">
        <v>274</v>
      </c>
      <c r="B26" s="414">
        <v>49.580151179299001</v>
      </c>
      <c r="C26" s="414">
        <v>59.365830000000003</v>
      </c>
      <c r="D26" s="415">
        <v>9.7856788206999994</v>
      </c>
      <c r="E26" s="421">
        <v>1.1973708951649999</v>
      </c>
      <c r="F26" s="414">
        <v>75.775779626036993</v>
      </c>
      <c r="G26" s="415">
        <v>12.629296604339</v>
      </c>
      <c r="H26" s="417">
        <v>1.3582000000000001</v>
      </c>
      <c r="I26" s="414">
        <v>11.33629</v>
      </c>
      <c r="J26" s="415">
        <v>-1.2930066043390001</v>
      </c>
      <c r="K26" s="422">
        <v>0.14960307971600001</v>
      </c>
    </row>
    <row r="27" spans="1:11" ht="14.4" customHeight="1" thickBot="1" x14ac:dyDescent="0.35">
      <c r="A27" s="431" t="s">
        <v>275</v>
      </c>
      <c r="B27" s="409">
        <v>0</v>
      </c>
      <c r="C27" s="409">
        <v>0.71389999999999998</v>
      </c>
      <c r="D27" s="410">
        <v>0.71389999999999998</v>
      </c>
      <c r="E27" s="419" t="s">
        <v>252</v>
      </c>
      <c r="F27" s="409">
        <v>0.66260132750800005</v>
      </c>
      <c r="G27" s="410">
        <v>0.110433554584</v>
      </c>
      <c r="H27" s="412">
        <v>0</v>
      </c>
      <c r="I27" s="409">
        <v>0</v>
      </c>
      <c r="J27" s="410">
        <v>-0.110433554584</v>
      </c>
      <c r="K27" s="413">
        <v>0</v>
      </c>
    </row>
    <row r="28" spans="1:11" ht="14.4" customHeight="1" thickBot="1" x14ac:dyDescent="0.35">
      <c r="A28" s="431" t="s">
        <v>276</v>
      </c>
      <c r="B28" s="409">
        <v>0.99999996850200001</v>
      </c>
      <c r="C28" s="409">
        <v>0.83731999999999995</v>
      </c>
      <c r="D28" s="410">
        <v>-0.16267996850200001</v>
      </c>
      <c r="E28" s="411">
        <v>0.83732002637299996</v>
      </c>
      <c r="F28" s="409">
        <v>4.0306666712109998</v>
      </c>
      <c r="G28" s="410">
        <v>0.67177777853499998</v>
      </c>
      <c r="H28" s="412">
        <v>0</v>
      </c>
      <c r="I28" s="409">
        <v>0.25280000000000002</v>
      </c>
      <c r="J28" s="410">
        <v>-0.41897777853500001</v>
      </c>
      <c r="K28" s="413">
        <v>6.2719153087999996E-2</v>
      </c>
    </row>
    <row r="29" spans="1:11" ht="14.4" customHeight="1" thickBot="1" x14ac:dyDescent="0.35">
      <c r="A29" s="431" t="s">
        <v>277</v>
      </c>
      <c r="B29" s="409">
        <v>15.719037466403</v>
      </c>
      <c r="C29" s="409">
        <v>25.392700000000001</v>
      </c>
      <c r="D29" s="410">
        <v>9.6736625335959996</v>
      </c>
      <c r="E29" s="411">
        <v>1.6154106162199999</v>
      </c>
      <c r="F29" s="409">
        <v>28.547976575042998</v>
      </c>
      <c r="G29" s="410">
        <v>4.7579960958400003</v>
      </c>
      <c r="H29" s="412">
        <v>0</v>
      </c>
      <c r="I29" s="409">
        <v>3.0287500000000001</v>
      </c>
      <c r="J29" s="410">
        <v>-1.72924609584</v>
      </c>
      <c r="K29" s="413">
        <v>0.106093333516</v>
      </c>
    </row>
    <row r="30" spans="1:11" ht="14.4" customHeight="1" thickBot="1" x14ac:dyDescent="0.35">
      <c r="A30" s="431" t="s">
        <v>278</v>
      </c>
      <c r="B30" s="409">
        <v>10.999999653526</v>
      </c>
      <c r="C30" s="409">
        <v>11.970829999999999</v>
      </c>
      <c r="D30" s="410">
        <v>0.97083034647300004</v>
      </c>
      <c r="E30" s="411">
        <v>1.088257307004</v>
      </c>
      <c r="F30" s="409">
        <v>13.605100335635001</v>
      </c>
      <c r="G30" s="410">
        <v>2.2675167226049999</v>
      </c>
      <c r="H30" s="412">
        <v>0.34226000000000001</v>
      </c>
      <c r="I30" s="409">
        <v>1.85423</v>
      </c>
      <c r="J30" s="410">
        <v>-0.41328672260499999</v>
      </c>
      <c r="K30" s="413">
        <v>0.13628932931400001</v>
      </c>
    </row>
    <row r="31" spans="1:11" ht="14.4" customHeight="1" thickBot="1" x14ac:dyDescent="0.35">
      <c r="A31" s="431" t="s">
        <v>279</v>
      </c>
      <c r="B31" s="409">
        <v>4.9999998425119996</v>
      </c>
      <c r="C31" s="409">
        <v>1.31897</v>
      </c>
      <c r="D31" s="410">
        <v>-3.6810298425119998</v>
      </c>
      <c r="E31" s="411">
        <v>0.26379400830799998</v>
      </c>
      <c r="F31" s="409">
        <v>1.4518706861390001</v>
      </c>
      <c r="G31" s="410">
        <v>0.24197844768900001</v>
      </c>
      <c r="H31" s="412">
        <v>0</v>
      </c>
      <c r="I31" s="409">
        <v>0</v>
      </c>
      <c r="J31" s="410">
        <v>-0.24197844768900001</v>
      </c>
      <c r="K31" s="413">
        <v>0</v>
      </c>
    </row>
    <row r="32" spans="1:11" ht="14.4" customHeight="1" thickBot="1" x14ac:dyDescent="0.35">
      <c r="A32" s="431" t="s">
        <v>280</v>
      </c>
      <c r="B32" s="409">
        <v>3.2655632784650002</v>
      </c>
      <c r="C32" s="409">
        <v>4.2924899999999999</v>
      </c>
      <c r="D32" s="410">
        <v>1.0269267215340001</v>
      </c>
      <c r="E32" s="411">
        <v>1.314471542568</v>
      </c>
      <c r="F32" s="409">
        <v>4.5920455288830002</v>
      </c>
      <c r="G32" s="410">
        <v>0.76534092147999999</v>
      </c>
      <c r="H32" s="412">
        <v>0</v>
      </c>
      <c r="I32" s="409">
        <v>0.39929999999999999</v>
      </c>
      <c r="J32" s="410">
        <v>-0.36604092148</v>
      </c>
      <c r="K32" s="413">
        <v>8.6954712771999995E-2</v>
      </c>
    </row>
    <row r="33" spans="1:11" ht="14.4" customHeight="1" thickBot="1" x14ac:dyDescent="0.35">
      <c r="A33" s="431" t="s">
        <v>281</v>
      </c>
      <c r="B33" s="409">
        <v>0</v>
      </c>
      <c r="C33" s="409">
        <v>0.42349999999999999</v>
      </c>
      <c r="D33" s="410">
        <v>0.42349999999999999</v>
      </c>
      <c r="E33" s="419" t="s">
        <v>282</v>
      </c>
      <c r="F33" s="409">
        <v>0.465980017415</v>
      </c>
      <c r="G33" s="410">
        <v>7.7663336235000005E-2</v>
      </c>
      <c r="H33" s="412">
        <v>0</v>
      </c>
      <c r="I33" s="409">
        <v>0</v>
      </c>
      <c r="J33" s="410">
        <v>-7.7663336235000005E-2</v>
      </c>
      <c r="K33" s="413">
        <v>0</v>
      </c>
    </row>
    <row r="34" spans="1:11" ht="14.4" customHeight="1" thickBot="1" x14ac:dyDescent="0.35">
      <c r="A34" s="431" t="s">
        <v>283</v>
      </c>
      <c r="B34" s="409">
        <v>10.595551064383001</v>
      </c>
      <c r="C34" s="409">
        <v>7.7499500000000001</v>
      </c>
      <c r="D34" s="410">
        <v>-2.845601064382</v>
      </c>
      <c r="E34" s="411">
        <v>0.73143434946399999</v>
      </c>
      <c r="F34" s="409">
        <v>10.761268529424999</v>
      </c>
      <c r="G34" s="410">
        <v>1.793544754904</v>
      </c>
      <c r="H34" s="412">
        <v>0.96475999999999995</v>
      </c>
      <c r="I34" s="409">
        <v>1.53346</v>
      </c>
      <c r="J34" s="410">
        <v>-0.26008475490400002</v>
      </c>
      <c r="K34" s="413">
        <v>0.14249807035299999</v>
      </c>
    </row>
    <row r="35" spans="1:11" ht="14.4" customHeight="1" thickBot="1" x14ac:dyDescent="0.35">
      <c r="A35" s="431" t="s">
        <v>284</v>
      </c>
      <c r="B35" s="409">
        <v>0</v>
      </c>
      <c r="C35" s="409">
        <v>0</v>
      </c>
      <c r="D35" s="410">
        <v>0</v>
      </c>
      <c r="E35" s="411">
        <v>1</v>
      </c>
      <c r="F35" s="409">
        <v>0</v>
      </c>
      <c r="G35" s="410">
        <v>0</v>
      </c>
      <c r="H35" s="412">
        <v>0</v>
      </c>
      <c r="I35" s="409">
        <v>2.99</v>
      </c>
      <c r="J35" s="410">
        <v>2.99</v>
      </c>
      <c r="K35" s="420" t="s">
        <v>282</v>
      </c>
    </row>
    <row r="36" spans="1:11" ht="14.4" customHeight="1" thickBot="1" x14ac:dyDescent="0.35">
      <c r="A36" s="431" t="s">
        <v>285</v>
      </c>
      <c r="B36" s="409">
        <v>2.9999999055069999</v>
      </c>
      <c r="C36" s="409">
        <v>6.6661700000000002</v>
      </c>
      <c r="D36" s="410">
        <v>3.6661700944920002</v>
      </c>
      <c r="E36" s="411">
        <v>2.222056736656</v>
      </c>
      <c r="F36" s="409">
        <v>11.658269954774999</v>
      </c>
      <c r="G36" s="410">
        <v>1.9430449924619999</v>
      </c>
      <c r="H36" s="412">
        <v>5.1180000000000003E-2</v>
      </c>
      <c r="I36" s="409">
        <v>1.2777499999999999</v>
      </c>
      <c r="J36" s="410">
        <v>-0.66529499246199997</v>
      </c>
      <c r="K36" s="413">
        <v>0.109600309905</v>
      </c>
    </row>
    <row r="37" spans="1:11" ht="14.4" customHeight="1" thickBot="1" x14ac:dyDescent="0.35">
      <c r="A37" s="430" t="s">
        <v>286</v>
      </c>
      <c r="B37" s="414">
        <v>37.342427302205998</v>
      </c>
      <c r="C37" s="414">
        <v>12.77135</v>
      </c>
      <c r="D37" s="415">
        <v>-24.571077302206</v>
      </c>
      <c r="E37" s="421">
        <v>0.34200642332699999</v>
      </c>
      <c r="F37" s="414">
        <v>13.169597754183</v>
      </c>
      <c r="G37" s="415">
        <v>2.19493295903</v>
      </c>
      <c r="H37" s="417">
        <v>1.954</v>
      </c>
      <c r="I37" s="414">
        <v>1.954</v>
      </c>
      <c r="J37" s="415">
        <v>-0.24093295903</v>
      </c>
      <c r="K37" s="422">
        <v>0.14837203356299999</v>
      </c>
    </row>
    <row r="38" spans="1:11" ht="14.4" customHeight="1" thickBot="1" x14ac:dyDescent="0.35">
      <c r="A38" s="431" t="s">
        <v>287</v>
      </c>
      <c r="B38" s="409">
        <v>1.3097232742839999</v>
      </c>
      <c r="C38" s="409">
        <v>0</v>
      </c>
      <c r="D38" s="410">
        <v>-1.3097232742839999</v>
      </c>
      <c r="E38" s="411">
        <v>0</v>
      </c>
      <c r="F38" s="409">
        <v>0</v>
      </c>
      <c r="G38" s="410">
        <v>0</v>
      </c>
      <c r="H38" s="412">
        <v>0</v>
      </c>
      <c r="I38" s="409">
        <v>0</v>
      </c>
      <c r="J38" s="410">
        <v>0</v>
      </c>
      <c r="K38" s="413">
        <v>2</v>
      </c>
    </row>
    <row r="39" spans="1:11" ht="14.4" customHeight="1" thickBot="1" x14ac:dyDescent="0.35">
      <c r="A39" s="431" t="s">
        <v>288</v>
      </c>
      <c r="B39" s="409">
        <v>33.032704122414003</v>
      </c>
      <c r="C39" s="409">
        <v>12.21067</v>
      </c>
      <c r="D39" s="410">
        <v>-20.822034122413999</v>
      </c>
      <c r="E39" s="411">
        <v>0.36965396337899997</v>
      </c>
      <c r="F39" s="409">
        <v>12.518504555390001</v>
      </c>
      <c r="G39" s="410">
        <v>2.0864174258979999</v>
      </c>
      <c r="H39" s="412">
        <v>1.954</v>
      </c>
      <c r="I39" s="409">
        <v>1.954</v>
      </c>
      <c r="J39" s="410">
        <v>-0.13241742589800001</v>
      </c>
      <c r="K39" s="413">
        <v>0.15608893149700001</v>
      </c>
    </row>
    <row r="40" spans="1:11" ht="14.4" customHeight="1" thickBot="1" x14ac:dyDescent="0.35">
      <c r="A40" s="431" t="s">
        <v>289</v>
      </c>
      <c r="B40" s="409">
        <v>2.9999999055069999</v>
      </c>
      <c r="C40" s="409">
        <v>0.56067999999999996</v>
      </c>
      <c r="D40" s="410">
        <v>-2.4393199055069998</v>
      </c>
      <c r="E40" s="411">
        <v>0.18689333922000001</v>
      </c>
      <c r="F40" s="409">
        <v>0.65109319879299998</v>
      </c>
      <c r="G40" s="410">
        <v>0.10851553313200001</v>
      </c>
      <c r="H40" s="412">
        <v>0</v>
      </c>
      <c r="I40" s="409">
        <v>0</v>
      </c>
      <c r="J40" s="410">
        <v>-0.10851553313200001</v>
      </c>
      <c r="K40" s="413">
        <v>0</v>
      </c>
    </row>
    <row r="41" spans="1:11" ht="14.4" customHeight="1" thickBot="1" x14ac:dyDescent="0.35">
      <c r="A41" s="430" t="s">
        <v>290</v>
      </c>
      <c r="B41" s="414">
        <v>178.999994361934</v>
      </c>
      <c r="C41" s="414">
        <v>147.73819</v>
      </c>
      <c r="D41" s="415">
        <v>-31.261804361932999</v>
      </c>
      <c r="E41" s="421">
        <v>0.82535304275599997</v>
      </c>
      <c r="F41" s="414">
        <v>122.160414425224</v>
      </c>
      <c r="G41" s="415">
        <v>20.360069070870001</v>
      </c>
      <c r="H41" s="417">
        <v>1.3915</v>
      </c>
      <c r="I41" s="414">
        <v>10.79044</v>
      </c>
      <c r="J41" s="415">
        <v>-9.5696290708700005</v>
      </c>
      <c r="K41" s="422">
        <v>8.8330086720000006E-2</v>
      </c>
    </row>
    <row r="42" spans="1:11" ht="14.4" customHeight="1" thickBot="1" x14ac:dyDescent="0.35">
      <c r="A42" s="431" t="s">
        <v>291</v>
      </c>
      <c r="B42" s="409">
        <v>7.9999997480190004</v>
      </c>
      <c r="C42" s="409">
        <v>3.3681700000000001</v>
      </c>
      <c r="D42" s="410">
        <v>-4.6318297480190003</v>
      </c>
      <c r="E42" s="411">
        <v>0.42102126326099998</v>
      </c>
      <c r="F42" s="409">
        <v>0</v>
      </c>
      <c r="G42" s="410">
        <v>0</v>
      </c>
      <c r="H42" s="412">
        <v>0.31218000000000001</v>
      </c>
      <c r="I42" s="409">
        <v>1.0514699999999999</v>
      </c>
      <c r="J42" s="410">
        <v>1.0514699999999999</v>
      </c>
      <c r="K42" s="420" t="s">
        <v>252</v>
      </c>
    </row>
    <row r="43" spans="1:11" ht="14.4" customHeight="1" thickBot="1" x14ac:dyDescent="0.35">
      <c r="A43" s="431" t="s">
        <v>292</v>
      </c>
      <c r="B43" s="409">
        <v>0.99999996850200001</v>
      </c>
      <c r="C43" s="409">
        <v>0</v>
      </c>
      <c r="D43" s="410">
        <v>-0.99999996850200001</v>
      </c>
      <c r="E43" s="411">
        <v>0</v>
      </c>
      <c r="F43" s="409">
        <v>0</v>
      </c>
      <c r="G43" s="410">
        <v>0</v>
      </c>
      <c r="H43" s="412">
        <v>0</v>
      </c>
      <c r="I43" s="409">
        <v>0</v>
      </c>
      <c r="J43" s="410">
        <v>0</v>
      </c>
      <c r="K43" s="413">
        <v>2</v>
      </c>
    </row>
    <row r="44" spans="1:11" ht="14.4" customHeight="1" thickBot="1" x14ac:dyDescent="0.35">
      <c r="A44" s="431" t="s">
        <v>293</v>
      </c>
      <c r="B44" s="409">
        <v>61.999998047150001</v>
      </c>
      <c r="C44" s="409">
        <v>40.069850000000002</v>
      </c>
      <c r="D44" s="410">
        <v>-21.930148047149999</v>
      </c>
      <c r="E44" s="411">
        <v>0.64628792358200005</v>
      </c>
      <c r="F44" s="409">
        <v>25.160387686623</v>
      </c>
      <c r="G44" s="410">
        <v>4.1933979477700003</v>
      </c>
      <c r="H44" s="412">
        <v>0</v>
      </c>
      <c r="I44" s="409">
        <v>1.92208</v>
      </c>
      <c r="J44" s="410">
        <v>-2.2713179477700001</v>
      </c>
      <c r="K44" s="413">
        <v>7.6393099499E-2</v>
      </c>
    </row>
    <row r="45" spans="1:11" ht="14.4" customHeight="1" thickBot="1" x14ac:dyDescent="0.35">
      <c r="A45" s="431" t="s">
        <v>294</v>
      </c>
      <c r="B45" s="409">
        <v>76.999997574686006</v>
      </c>
      <c r="C45" s="409">
        <v>74.972020000000001</v>
      </c>
      <c r="D45" s="410">
        <v>-2.027977574686</v>
      </c>
      <c r="E45" s="411">
        <v>0.97366262807000004</v>
      </c>
      <c r="F45" s="409">
        <v>75.000020674175005</v>
      </c>
      <c r="G45" s="410">
        <v>12.500003445695</v>
      </c>
      <c r="H45" s="412">
        <v>0</v>
      </c>
      <c r="I45" s="409">
        <v>6.7375699999999998</v>
      </c>
      <c r="J45" s="410">
        <v>-5.7624334456949997</v>
      </c>
      <c r="K45" s="413">
        <v>8.9834241903000003E-2</v>
      </c>
    </row>
    <row r="46" spans="1:11" ht="14.4" customHeight="1" thickBot="1" x14ac:dyDescent="0.35">
      <c r="A46" s="431" t="s">
        <v>295</v>
      </c>
      <c r="B46" s="409">
        <v>30.999999023575</v>
      </c>
      <c r="C46" s="409">
        <v>29.328150000000001</v>
      </c>
      <c r="D46" s="410">
        <v>-1.6718490235750001</v>
      </c>
      <c r="E46" s="411">
        <v>0.94606938463699997</v>
      </c>
      <c r="F46" s="409">
        <v>22.000006064423999</v>
      </c>
      <c r="G46" s="410">
        <v>3.6666676774039999</v>
      </c>
      <c r="H46" s="412">
        <v>1.0793200000000001</v>
      </c>
      <c r="I46" s="409">
        <v>1.0793200000000001</v>
      </c>
      <c r="J46" s="410">
        <v>-2.5873476774039998</v>
      </c>
      <c r="K46" s="413">
        <v>4.9059986476000003E-2</v>
      </c>
    </row>
    <row r="47" spans="1:11" ht="14.4" customHeight="1" thickBot="1" x14ac:dyDescent="0.35">
      <c r="A47" s="429" t="s">
        <v>42</v>
      </c>
      <c r="B47" s="409">
        <v>380.09268640919203</v>
      </c>
      <c r="C47" s="409">
        <v>363.14</v>
      </c>
      <c r="D47" s="410">
        <v>-16.952686409190999</v>
      </c>
      <c r="E47" s="411">
        <v>0.95539854615599995</v>
      </c>
      <c r="F47" s="409">
        <v>356.73804441616397</v>
      </c>
      <c r="G47" s="410">
        <v>59.456340736027002</v>
      </c>
      <c r="H47" s="412">
        <v>30.55</v>
      </c>
      <c r="I47" s="409">
        <v>70.775999999999996</v>
      </c>
      <c r="J47" s="410">
        <v>11.319659263972</v>
      </c>
      <c r="K47" s="413">
        <v>0.19839767893499999</v>
      </c>
    </row>
    <row r="48" spans="1:11" ht="14.4" customHeight="1" thickBot="1" x14ac:dyDescent="0.35">
      <c r="A48" s="430" t="s">
        <v>296</v>
      </c>
      <c r="B48" s="414">
        <v>380.09268640919203</v>
      </c>
      <c r="C48" s="414">
        <v>363.14</v>
      </c>
      <c r="D48" s="415">
        <v>-16.952686409190999</v>
      </c>
      <c r="E48" s="421">
        <v>0.95539854615599995</v>
      </c>
      <c r="F48" s="414">
        <v>356.73804441616397</v>
      </c>
      <c r="G48" s="415">
        <v>59.456340736027002</v>
      </c>
      <c r="H48" s="417">
        <v>30.55</v>
      </c>
      <c r="I48" s="414">
        <v>70.775999999999996</v>
      </c>
      <c r="J48" s="415">
        <v>11.319659263972</v>
      </c>
      <c r="K48" s="422">
        <v>0.19839767893499999</v>
      </c>
    </row>
    <row r="49" spans="1:11" ht="14.4" customHeight="1" thickBot="1" x14ac:dyDescent="0.35">
      <c r="A49" s="431" t="s">
        <v>297</v>
      </c>
      <c r="B49" s="409">
        <v>107.09269500803001</v>
      </c>
      <c r="C49" s="409">
        <v>107.102</v>
      </c>
      <c r="D49" s="410">
        <v>9.3049919700000008E-3</v>
      </c>
      <c r="E49" s="411">
        <v>1.0000868872699999</v>
      </c>
      <c r="F49" s="409">
        <v>105.674207939959</v>
      </c>
      <c r="G49" s="410">
        <v>17.612367989993</v>
      </c>
      <c r="H49" s="412">
        <v>7.5140000000000002</v>
      </c>
      <c r="I49" s="409">
        <v>15.944000000000001</v>
      </c>
      <c r="J49" s="410">
        <v>-1.668367989993</v>
      </c>
      <c r="K49" s="413">
        <v>0.150878821907</v>
      </c>
    </row>
    <row r="50" spans="1:11" ht="14.4" customHeight="1" thickBot="1" x14ac:dyDescent="0.35">
      <c r="A50" s="431" t="s">
        <v>298</v>
      </c>
      <c r="B50" s="409">
        <v>199.99999370048499</v>
      </c>
      <c r="C50" s="409">
        <v>178.57</v>
      </c>
      <c r="D50" s="410">
        <v>-21.429993700484001</v>
      </c>
      <c r="E50" s="411">
        <v>0.89285002812199998</v>
      </c>
      <c r="F50" s="409">
        <v>174.608697168144</v>
      </c>
      <c r="G50" s="410">
        <v>29.101449528023998</v>
      </c>
      <c r="H50" s="412">
        <v>13.705</v>
      </c>
      <c r="I50" s="409">
        <v>32.872999999999998</v>
      </c>
      <c r="J50" s="410">
        <v>3.771550471976</v>
      </c>
      <c r="K50" s="413">
        <v>0.188266681632</v>
      </c>
    </row>
    <row r="51" spans="1:11" ht="14.4" customHeight="1" thickBot="1" x14ac:dyDescent="0.35">
      <c r="A51" s="431" t="s">
        <v>299</v>
      </c>
      <c r="B51" s="409">
        <v>72.999997700677</v>
      </c>
      <c r="C51" s="409">
        <v>77.468000000000004</v>
      </c>
      <c r="D51" s="410">
        <v>4.4680022993220003</v>
      </c>
      <c r="E51" s="411">
        <v>1.0612055128769999</v>
      </c>
      <c r="F51" s="409">
        <v>76.455139308061007</v>
      </c>
      <c r="G51" s="410">
        <v>12.74252321801</v>
      </c>
      <c r="H51" s="412">
        <v>9.3309999999999995</v>
      </c>
      <c r="I51" s="409">
        <v>21.959</v>
      </c>
      <c r="J51" s="410">
        <v>9.2164767819889999</v>
      </c>
      <c r="K51" s="413">
        <v>0.28721417812700001</v>
      </c>
    </row>
    <row r="52" spans="1:11" ht="14.4" customHeight="1" thickBot="1" x14ac:dyDescent="0.35">
      <c r="A52" s="432" t="s">
        <v>300</v>
      </c>
      <c r="B52" s="414">
        <v>552.74385624042202</v>
      </c>
      <c r="C52" s="414">
        <v>454.61126000000002</v>
      </c>
      <c r="D52" s="415">
        <v>-98.132596240422004</v>
      </c>
      <c r="E52" s="421">
        <v>0.82246280056700005</v>
      </c>
      <c r="F52" s="414">
        <v>383.76027400397498</v>
      </c>
      <c r="G52" s="415">
        <v>63.960045667328998</v>
      </c>
      <c r="H52" s="417">
        <v>38.974049999999998</v>
      </c>
      <c r="I52" s="414">
        <v>74.702560000000005</v>
      </c>
      <c r="J52" s="415">
        <v>10.74251433267</v>
      </c>
      <c r="K52" s="422">
        <v>0.19465943991599999</v>
      </c>
    </row>
    <row r="53" spans="1:11" ht="14.4" customHeight="1" thickBot="1" x14ac:dyDescent="0.35">
      <c r="A53" s="429" t="s">
        <v>45</v>
      </c>
      <c r="B53" s="409">
        <v>177.36953063971799</v>
      </c>
      <c r="C53" s="409">
        <v>89.848200000000006</v>
      </c>
      <c r="D53" s="410">
        <v>-87.521330639716993</v>
      </c>
      <c r="E53" s="411">
        <v>0.50655938297799996</v>
      </c>
      <c r="F53" s="409">
        <v>92.615007258399999</v>
      </c>
      <c r="G53" s="410">
        <v>15.435834543065999</v>
      </c>
      <c r="H53" s="412">
        <v>0.41453000000000001</v>
      </c>
      <c r="I53" s="409">
        <v>0.41453000000000001</v>
      </c>
      <c r="J53" s="410">
        <v>-15.021304543066</v>
      </c>
      <c r="K53" s="413">
        <v>4.4758404950000002E-3</v>
      </c>
    </row>
    <row r="54" spans="1:11" ht="14.4" customHeight="1" thickBot="1" x14ac:dyDescent="0.35">
      <c r="A54" s="433" t="s">
        <v>301</v>
      </c>
      <c r="B54" s="409">
        <v>177.36953063971799</v>
      </c>
      <c r="C54" s="409">
        <v>89.848200000000006</v>
      </c>
      <c r="D54" s="410">
        <v>-87.521330639716993</v>
      </c>
      <c r="E54" s="411">
        <v>0.50655938297799996</v>
      </c>
      <c r="F54" s="409">
        <v>92.615007258399999</v>
      </c>
      <c r="G54" s="410">
        <v>15.435834543065999</v>
      </c>
      <c r="H54" s="412">
        <v>0.41453000000000001</v>
      </c>
      <c r="I54" s="409">
        <v>0.41453000000000001</v>
      </c>
      <c r="J54" s="410">
        <v>-15.021304543066</v>
      </c>
      <c r="K54" s="413">
        <v>4.4758404950000002E-3</v>
      </c>
    </row>
    <row r="55" spans="1:11" ht="14.4" customHeight="1" thickBot="1" x14ac:dyDescent="0.35">
      <c r="A55" s="431" t="s">
        <v>302</v>
      </c>
      <c r="B55" s="409">
        <v>107.81204629163599</v>
      </c>
      <c r="C55" s="409">
        <v>66.899559999999994</v>
      </c>
      <c r="D55" s="410">
        <v>-40.912486291636</v>
      </c>
      <c r="E55" s="411">
        <v>0.62052026931199999</v>
      </c>
      <c r="F55" s="409">
        <v>53.699694135130002</v>
      </c>
      <c r="G55" s="410">
        <v>8.9499490225210003</v>
      </c>
      <c r="H55" s="412">
        <v>0</v>
      </c>
      <c r="I55" s="409">
        <v>0</v>
      </c>
      <c r="J55" s="410">
        <v>-8.9499490225210003</v>
      </c>
      <c r="K55" s="413">
        <v>0</v>
      </c>
    </row>
    <row r="56" spans="1:11" ht="14.4" customHeight="1" thickBot="1" x14ac:dyDescent="0.35">
      <c r="A56" s="431" t="s">
        <v>303</v>
      </c>
      <c r="B56" s="409">
        <v>0.34669936658400002</v>
      </c>
      <c r="C56" s="409">
        <v>0.36299999999999999</v>
      </c>
      <c r="D56" s="410">
        <v>1.6300633415000002E-2</v>
      </c>
      <c r="E56" s="411">
        <v>1.0470166230069999</v>
      </c>
      <c r="F56" s="409">
        <v>-3.8408245032139998</v>
      </c>
      <c r="G56" s="410">
        <v>-0.64013741720200001</v>
      </c>
      <c r="H56" s="412">
        <v>0</v>
      </c>
      <c r="I56" s="409">
        <v>0</v>
      </c>
      <c r="J56" s="410">
        <v>0.64013741720200001</v>
      </c>
      <c r="K56" s="413">
        <v>0</v>
      </c>
    </row>
    <row r="57" spans="1:11" ht="14.4" customHeight="1" thickBot="1" x14ac:dyDescent="0.35">
      <c r="A57" s="431" t="s">
        <v>304</v>
      </c>
      <c r="B57" s="409">
        <v>64.999997952656997</v>
      </c>
      <c r="C57" s="409">
        <v>17.278410000000001</v>
      </c>
      <c r="D57" s="410">
        <v>-47.721587952657003</v>
      </c>
      <c r="E57" s="411">
        <v>0.26582170067999999</v>
      </c>
      <c r="F57" s="409">
        <v>17.756130735092</v>
      </c>
      <c r="G57" s="410">
        <v>2.9593551225149999</v>
      </c>
      <c r="H57" s="412">
        <v>0</v>
      </c>
      <c r="I57" s="409">
        <v>0</v>
      </c>
      <c r="J57" s="410">
        <v>-2.9593551225149999</v>
      </c>
      <c r="K57" s="413">
        <v>0</v>
      </c>
    </row>
    <row r="58" spans="1:11" ht="14.4" customHeight="1" thickBot="1" x14ac:dyDescent="0.35">
      <c r="A58" s="431" t="s">
        <v>305</v>
      </c>
      <c r="B58" s="409">
        <v>4.2107870288390004</v>
      </c>
      <c r="C58" s="409">
        <v>5.3072299999999997</v>
      </c>
      <c r="D58" s="410">
        <v>1.0964429711599999</v>
      </c>
      <c r="E58" s="411">
        <v>1.260389082528</v>
      </c>
      <c r="F58" s="409">
        <v>25.000006891390999</v>
      </c>
      <c r="G58" s="410">
        <v>4.1666678152310004</v>
      </c>
      <c r="H58" s="412">
        <v>0.41453000000000001</v>
      </c>
      <c r="I58" s="409">
        <v>0.41453000000000001</v>
      </c>
      <c r="J58" s="410">
        <v>-3.7521378152309999</v>
      </c>
      <c r="K58" s="413">
        <v>1.6581195428999999E-2</v>
      </c>
    </row>
    <row r="59" spans="1:11" ht="14.4" customHeight="1" thickBot="1" x14ac:dyDescent="0.35">
      <c r="A59" s="434" t="s">
        <v>46</v>
      </c>
      <c r="B59" s="414">
        <v>0</v>
      </c>
      <c r="C59" s="414">
        <v>90.704999999999998</v>
      </c>
      <c r="D59" s="415">
        <v>90.704999999999998</v>
      </c>
      <c r="E59" s="416" t="s">
        <v>252</v>
      </c>
      <c r="F59" s="414">
        <v>28.043429207839999</v>
      </c>
      <c r="G59" s="415">
        <v>4.6739048679730004</v>
      </c>
      <c r="H59" s="417">
        <v>5.1079999999999997</v>
      </c>
      <c r="I59" s="414">
        <v>11.12</v>
      </c>
      <c r="J59" s="415">
        <v>6.4460951320259996</v>
      </c>
      <c r="K59" s="422">
        <v>0.39652782537999998</v>
      </c>
    </row>
    <row r="60" spans="1:11" ht="14.4" customHeight="1" thickBot="1" x14ac:dyDescent="0.35">
      <c r="A60" s="430" t="s">
        <v>306</v>
      </c>
      <c r="B60" s="414">
        <v>0</v>
      </c>
      <c r="C60" s="414">
        <v>90.704999999999998</v>
      </c>
      <c r="D60" s="415">
        <v>90.704999999999998</v>
      </c>
      <c r="E60" s="416" t="s">
        <v>252</v>
      </c>
      <c r="F60" s="414">
        <v>28.043429207839999</v>
      </c>
      <c r="G60" s="415">
        <v>4.6739048679730004</v>
      </c>
      <c r="H60" s="417">
        <v>5.1079999999999997</v>
      </c>
      <c r="I60" s="414">
        <v>11.12</v>
      </c>
      <c r="J60" s="415">
        <v>6.4460951320259996</v>
      </c>
      <c r="K60" s="422">
        <v>0.39652782537999998</v>
      </c>
    </row>
    <row r="61" spans="1:11" ht="14.4" customHeight="1" thickBot="1" x14ac:dyDescent="0.35">
      <c r="A61" s="431" t="s">
        <v>307</v>
      </c>
      <c r="B61" s="409">
        <v>0</v>
      </c>
      <c r="C61" s="409">
        <v>58.564999999999998</v>
      </c>
      <c r="D61" s="410">
        <v>58.564999999999998</v>
      </c>
      <c r="E61" s="419" t="s">
        <v>252</v>
      </c>
      <c r="F61" s="409">
        <v>0</v>
      </c>
      <c r="G61" s="410">
        <v>0</v>
      </c>
      <c r="H61" s="412">
        <v>5.1079999999999997</v>
      </c>
      <c r="I61" s="409">
        <v>11.12</v>
      </c>
      <c r="J61" s="410">
        <v>11.12</v>
      </c>
      <c r="K61" s="420" t="s">
        <v>252</v>
      </c>
    </row>
    <row r="62" spans="1:11" ht="14.4" customHeight="1" thickBot="1" x14ac:dyDescent="0.35">
      <c r="A62" s="431" t="s">
        <v>308</v>
      </c>
      <c r="B62" s="409">
        <v>0</v>
      </c>
      <c r="C62" s="409">
        <v>32.14</v>
      </c>
      <c r="D62" s="410">
        <v>32.14</v>
      </c>
      <c r="E62" s="419" t="s">
        <v>252</v>
      </c>
      <c r="F62" s="409">
        <v>28.043429207839999</v>
      </c>
      <c r="G62" s="410">
        <v>4.6739048679730004</v>
      </c>
      <c r="H62" s="412">
        <v>0</v>
      </c>
      <c r="I62" s="409">
        <v>0</v>
      </c>
      <c r="J62" s="410">
        <v>-4.6739048679730004</v>
      </c>
      <c r="K62" s="413">
        <v>0</v>
      </c>
    </row>
    <row r="63" spans="1:11" ht="14.4" customHeight="1" thickBot="1" x14ac:dyDescent="0.35">
      <c r="A63" s="429" t="s">
        <v>47</v>
      </c>
      <c r="B63" s="409">
        <v>375.37432560070499</v>
      </c>
      <c r="C63" s="409">
        <v>274.05806000000001</v>
      </c>
      <c r="D63" s="410">
        <v>-101.31626560070499</v>
      </c>
      <c r="E63" s="411">
        <v>0.73009271361700001</v>
      </c>
      <c r="F63" s="409">
        <v>263.10183753773401</v>
      </c>
      <c r="G63" s="410">
        <v>43.850306256289002</v>
      </c>
      <c r="H63" s="412">
        <v>33.451520000000002</v>
      </c>
      <c r="I63" s="409">
        <v>63.168030000000002</v>
      </c>
      <c r="J63" s="410">
        <v>19.317723743710001</v>
      </c>
      <c r="K63" s="413">
        <v>0.240089657264</v>
      </c>
    </row>
    <row r="64" spans="1:11" ht="14.4" customHeight="1" thickBot="1" x14ac:dyDescent="0.35">
      <c r="A64" s="430" t="s">
        <v>309</v>
      </c>
      <c r="B64" s="414">
        <v>0.10486887285300001</v>
      </c>
      <c r="C64" s="414">
        <v>0</v>
      </c>
      <c r="D64" s="415">
        <v>-0.10486887285300001</v>
      </c>
      <c r="E64" s="421">
        <v>0</v>
      </c>
      <c r="F64" s="414">
        <v>0</v>
      </c>
      <c r="G64" s="415">
        <v>0</v>
      </c>
      <c r="H64" s="417">
        <v>0</v>
      </c>
      <c r="I64" s="414">
        <v>0</v>
      </c>
      <c r="J64" s="415">
        <v>0</v>
      </c>
      <c r="K64" s="422">
        <v>2</v>
      </c>
    </row>
    <row r="65" spans="1:11" ht="14.4" customHeight="1" thickBot="1" x14ac:dyDescent="0.35">
      <c r="A65" s="431" t="s">
        <v>310</v>
      </c>
      <c r="B65" s="409">
        <v>0.10486887285300001</v>
      </c>
      <c r="C65" s="409">
        <v>0</v>
      </c>
      <c r="D65" s="410">
        <v>-0.10486887285300001</v>
      </c>
      <c r="E65" s="411">
        <v>0</v>
      </c>
      <c r="F65" s="409">
        <v>0</v>
      </c>
      <c r="G65" s="410">
        <v>0</v>
      </c>
      <c r="H65" s="412">
        <v>0</v>
      </c>
      <c r="I65" s="409">
        <v>0</v>
      </c>
      <c r="J65" s="410">
        <v>0</v>
      </c>
      <c r="K65" s="413">
        <v>2</v>
      </c>
    </row>
    <row r="66" spans="1:11" ht="14.4" customHeight="1" thickBot="1" x14ac:dyDescent="0.35">
      <c r="A66" s="430" t="s">
        <v>311</v>
      </c>
      <c r="B66" s="414">
        <v>16.809319618993001</v>
      </c>
      <c r="C66" s="414">
        <v>12.187279999999999</v>
      </c>
      <c r="D66" s="415">
        <v>-4.622039618993</v>
      </c>
      <c r="E66" s="421">
        <v>0.72503113012499998</v>
      </c>
      <c r="F66" s="414">
        <v>11.769632228580999</v>
      </c>
      <c r="G66" s="415">
        <v>1.9616053714299999</v>
      </c>
      <c r="H66" s="417">
        <v>1.0943799999999999</v>
      </c>
      <c r="I66" s="414">
        <v>2.14934</v>
      </c>
      <c r="J66" s="415">
        <v>0.187734628569</v>
      </c>
      <c r="K66" s="422">
        <v>0.18261743088099999</v>
      </c>
    </row>
    <row r="67" spans="1:11" ht="14.4" customHeight="1" thickBot="1" x14ac:dyDescent="0.35">
      <c r="A67" s="431" t="s">
        <v>312</v>
      </c>
      <c r="B67" s="409">
        <v>3.678170838932</v>
      </c>
      <c r="C67" s="409">
        <v>3.9037999999999999</v>
      </c>
      <c r="D67" s="410">
        <v>0.22562916106700001</v>
      </c>
      <c r="E67" s="411">
        <v>1.061342762734</v>
      </c>
      <c r="F67" s="409">
        <v>2.6598175462359999</v>
      </c>
      <c r="G67" s="410">
        <v>0.44330292437199997</v>
      </c>
      <c r="H67" s="412">
        <v>0.28689999999999999</v>
      </c>
      <c r="I67" s="409">
        <v>0.5605</v>
      </c>
      <c r="J67" s="410">
        <v>0.11719707562700001</v>
      </c>
      <c r="K67" s="413">
        <v>0.21072873994399999</v>
      </c>
    </row>
    <row r="68" spans="1:11" ht="14.4" customHeight="1" thickBot="1" x14ac:dyDescent="0.35">
      <c r="A68" s="431" t="s">
        <v>313</v>
      </c>
      <c r="B68" s="409">
        <v>13.131148780061</v>
      </c>
      <c r="C68" s="409">
        <v>8.2834800000000008</v>
      </c>
      <c r="D68" s="410">
        <v>-4.8476687800600002</v>
      </c>
      <c r="E68" s="411">
        <v>0.63082675695299995</v>
      </c>
      <c r="F68" s="409">
        <v>9.109814682344</v>
      </c>
      <c r="G68" s="410">
        <v>1.5183024470569999</v>
      </c>
      <c r="H68" s="412">
        <v>0.80747999999999998</v>
      </c>
      <c r="I68" s="409">
        <v>1.58884</v>
      </c>
      <c r="J68" s="410">
        <v>7.0537552941999995E-2</v>
      </c>
      <c r="K68" s="413">
        <v>0.17440969497200001</v>
      </c>
    </row>
    <row r="69" spans="1:11" ht="14.4" customHeight="1" thickBot="1" x14ac:dyDescent="0.35">
      <c r="A69" s="430" t="s">
        <v>314</v>
      </c>
      <c r="B69" s="414">
        <v>17.999999433043001</v>
      </c>
      <c r="C69" s="414">
        <v>13.5</v>
      </c>
      <c r="D69" s="415">
        <v>-4.4999994330430004</v>
      </c>
      <c r="E69" s="421">
        <v>0.750000023623</v>
      </c>
      <c r="F69" s="414">
        <v>12.000003307868001</v>
      </c>
      <c r="G69" s="415">
        <v>2.000000551311</v>
      </c>
      <c r="H69" s="417">
        <v>0</v>
      </c>
      <c r="I69" s="414">
        <v>2.97</v>
      </c>
      <c r="J69" s="415">
        <v>0.96999944868800003</v>
      </c>
      <c r="K69" s="422">
        <v>0.24749993177499999</v>
      </c>
    </row>
    <row r="70" spans="1:11" ht="14.4" customHeight="1" thickBot="1" x14ac:dyDescent="0.35">
      <c r="A70" s="431" t="s">
        <v>315</v>
      </c>
      <c r="B70" s="409">
        <v>17.999999433043001</v>
      </c>
      <c r="C70" s="409">
        <v>13.5</v>
      </c>
      <c r="D70" s="410">
        <v>-4.4999994330430004</v>
      </c>
      <c r="E70" s="411">
        <v>0.750000023623</v>
      </c>
      <c r="F70" s="409">
        <v>12.000003307868001</v>
      </c>
      <c r="G70" s="410">
        <v>2.000000551311</v>
      </c>
      <c r="H70" s="412">
        <v>0</v>
      </c>
      <c r="I70" s="409">
        <v>2.97</v>
      </c>
      <c r="J70" s="410">
        <v>0.96999944868800003</v>
      </c>
      <c r="K70" s="413">
        <v>0.24749993177499999</v>
      </c>
    </row>
    <row r="71" spans="1:11" ht="14.4" customHeight="1" thickBot="1" x14ac:dyDescent="0.35">
      <c r="A71" s="430" t="s">
        <v>316</v>
      </c>
      <c r="B71" s="414">
        <v>273.05511842977398</v>
      </c>
      <c r="C71" s="414">
        <v>157.44078999999999</v>
      </c>
      <c r="D71" s="415">
        <v>-115.61432842977401</v>
      </c>
      <c r="E71" s="421">
        <v>0.57658977756999996</v>
      </c>
      <c r="F71" s="414">
        <v>157.31087915717001</v>
      </c>
      <c r="G71" s="415">
        <v>26.218479859527999</v>
      </c>
      <c r="H71" s="417">
        <v>23.588139999999999</v>
      </c>
      <c r="I71" s="414">
        <v>47.162190000000002</v>
      </c>
      <c r="J71" s="415">
        <v>20.943710140471001</v>
      </c>
      <c r="K71" s="422">
        <v>0.29980246917800002</v>
      </c>
    </row>
    <row r="72" spans="1:11" ht="14.4" customHeight="1" thickBot="1" x14ac:dyDescent="0.35">
      <c r="A72" s="431" t="s">
        <v>317</v>
      </c>
      <c r="B72" s="409">
        <v>221.84644712114999</v>
      </c>
      <c r="C72" s="409">
        <v>98.716759999999994</v>
      </c>
      <c r="D72" s="410">
        <v>-123.12968712115</v>
      </c>
      <c r="E72" s="411">
        <v>0.44497787222200003</v>
      </c>
      <c r="F72" s="409">
        <v>106.548011716533</v>
      </c>
      <c r="G72" s="410">
        <v>17.758001952754999</v>
      </c>
      <c r="H72" s="412">
        <v>19.310669999999998</v>
      </c>
      <c r="I72" s="409">
        <v>38.621339999999996</v>
      </c>
      <c r="J72" s="410">
        <v>20.863338047244</v>
      </c>
      <c r="K72" s="413">
        <v>0.36247827977000002</v>
      </c>
    </row>
    <row r="73" spans="1:11" ht="14.4" customHeight="1" thickBot="1" x14ac:dyDescent="0.35">
      <c r="A73" s="431" t="s">
        <v>318</v>
      </c>
      <c r="B73" s="409">
        <v>51.208671308623998</v>
      </c>
      <c r="C73" s="409">
        <v>58.724029999999999</v>
      </c>
      <c r="D73" s="410">
        <v>7.5153586913749999</v>
      </c>
      <c r="E73" s="411">
        <v>1.1467594940329999</v>
      </c>
      <c r="F73" s="409">
        <v>50.762867440637002</v>
      </c>
      <c r="G73" s="410">
        <v>8.4604779067720006</v>
      </c>
      <c r="H73" s="412">
        <v>4.2774700000000001</v>
      </c>
      <c r="I73" s="409">
        <v>8.5408500000000007</v>
      </c>
      <c r="J73" s="410">
        <v>8.0372093226999994E-2</v>
      </c>
      <c r="K73" s="413">
        <v>0.168249951797</v>
      </c>
    </row>
    <row r="74" spans="1:11" ht="14.4" customHeight="1" thickBot="1" x14ac:dyDescent="0.35">
      <c r="A74" s="430" t="s">
        <v>319</v>
      </c>
      <c r="B74" s="414">
        <v>0</v>
      </c>
      <c r="C74" s="414">
        <v>1.8028900000000001</v>
      </c>
      <c r="D74" s="415">
        <v>1.8028900000000001</v>
      </c>
      <c r="E74" s="416" t="s">
        <v>282</v>
      </c>
      <c r="F74" s="414">
        <v>0</v>
      </c>
      <c r="G74" s="415">
        <v>0</v>
      </c>
      <c r="H74" s="417">
        <v>0</v>
      </c>
      <c r="I74" s="414">
        <v>0</v>
      </c>
      <c r="J74" s="415">
        <v>0</v>
      </c>
      <c r="K74" s="418" t="s">
        <v>252</v>
      </c>
    </row>
    <row r="75" spans="1:11" ht="14.4" customHeight="1" thickBot="1" x14ac:dyDescent="0.35">
      <c r="A75" s="431" t="s">
        <v>320</v>
      </c>
      <c r="B75" s="409">
        <v>0</v>
      </c>
      <c r="C75" s="409">
        <v>1.8028900000000001</v>
      </c>
      <c r="D75" s="410">
        <v>1.8028900000000001</v>
      </c>
      <c r="E75" s="419" t="s">
        <v>282</v>
      </c>
      <c r="F75" s="409">
        <v>0</v>
      </c>
      <c r="G75" s="410">
        <v>0</v>
      </c>
      <c r="H75" s="412">
        <v>0</v>
      </c>
      <c r="I75" s="409">
        <v>0</v>
      </c>
      <c r="J75" s="410">
        <v>0</v>
      </c>
      <c r="K75" s="420" t="s">
        <v>252</v>
      </c>
    </row>
    <row r="76" spans="1:11" ht="14.4" customHeight="1" thickBot="1" x14ac:dyDescent="0.35">
      <c r="A76" s="430" t="s">
        <v>321</v>
      </c>
      <c r="B76" s="414">
        <v>67.405019246039998</v>
      </c>
      <c r="C76" s="414">
        <v>86.654030000000006</v>
      </c>
      <c r="D76" s="415">
        <v>19.249010753958999</v>
      </c>
      <c r="E76" s="421">
        <v>1.2855723649249999</v>
      </c>
      <c r="F76" s="414">
        <v>82.021322844113996</v>
      </c>
      <c r="G76" s="415">
        <v>13.670220474019001</v>
      </c>
      <c r="H76" s="417">
        <v>8.7690000000000001</v>
      </c>
      <c r="I76" s="414">
        <v>10.8865</v>
      </c>
      <c r="J76" s="415">
        <v>-2.7837204740189998</v>
      </c>
      <c r="K76" s="422">
        <v>0.13272768132099999</v>
      </c>
    </row>
    <row r="77" spans="1:11" ht="14.4" customHeight="1" thickBot="1" x14ac:dyDescent="0.35">
      <c r="A77" s="431" t="s">
        <v>322</v>
      </c>
      <c r="B77" s="409">
        <v>0</v>
      </c>
      <c r="C77" s="409">
        <v>0</v>
      </c>
      <c r="D77" s="410">
        <v>0</v>
      </c>
      <c r="E77" s="411">
        <v>1</v>
      </c>
      <c r="F77" s="409">
        <v>14.000003859178999</v>
      </c>
      <c r="G77" s="410">
        <v>2.333333976529</v>
      </c>
      <c r="H77" s="412">
        <v>0</v>
      </c>
      <c r="I77" s="409">
        <v>0</v>
      </c>
      <c r="J77" s="410">
        <v>-2.333333976529</v>
      </c>
      <c r="K77" s="413">
        <v>0</v>
      </c>
    </row>
    <row r="78" spans="1:11" ht="14.4" customHeight="1" thickBot="1" x14ac:dyDescent="0.35">
      <c r="A78" s="431" t="s">
        <v>323</v>
      </c>
      <c r="B78" s="409">
        <v>62.566935763427999</v>
      </c>
      <c r="C78" s="409">
        <v>86.213589999999996</v>
      </c>
      <c r="D78" s="410">
        <v>23.646654236570999</v>
      </c>
      <c r="E78" s="411">
        <v>1.377941702722</v>
      </c>
      <c r="F78" s="409">
        <v>66.822956791449002</v>
      </c>
      <c r="G78" s="410">
        <v>11.137159465241</v>
      </c>
      <c r="H78" s="412">
        <v>8.7690000000000001</v>
      </c>
      <c r="I78" s="409">
        <v>10.8865</v>
      </c>
      <c r="J78" s="410">
        <v>-0.25065946524100002</v>
      </c>
      <c r="K78" s="413">
        <v>0.16291556858100001</v>
      </c>
    </row>
    <row r="79" spans="1:11" ht="14.4" customHeight="1" thickBot="1" x14ac:dyDescent="0.35">
      <c r="A79" s="431" t="s">
        <v>324</v>
      </c>
      <c r="B79" s="409">
        <v>1.652689792596</v>
      </c>
      <c r="C79" s="409">
        <v>0.19359999999999999</v>
      </c>
      <c r="D79" s="410">
        <v>-1.459089792596</v>
      </c>
      <c r="E79" s="411">
        <v>0.117142370496</v>
      </c>
      <c r="F79" s="409">
        <v>0.41945911452000001</v>
      </c>
      <c r="G79" s="410">
        <v>6.9909852420000002E-2</v>
      </c>
      <c r="H79" s="412">
        <v>0</v>
      </c>
      <c r="I79" s="409">
        <v>0</v>
      </c>
      <c r="J79" s="410">
        <v>-6.9909852420000002E-2</v>
      </c>
      <c r="K79" s="413">
        <v>0</v>
      </c>
    </row>
    <row r="80" spans="1:11" ht="14.4" customHeight="1" thickBot="1" x14ac:dyDescent="0.35">
      <c r="A80" s="431" t="s">
        <v>325</v>
      </c>
      <c r="B80" s="409">
        <v>3.1853936900150002</v>
      </c>
      <c r="C80" s="409">
        <v>0.24684</v>
      </c>
      <c r="D80" s="410">
        <v>-2.938553690015</v>
      </c>
      <c r="E80" s="411">
        <v>7.7491206431000006E-2</v>
      </c>
      <c r="F80" s="409">
        <v>0.778903078965</v>
      </c>
      <c r="G80" s="410">
        <v>0.129817179827</v>
      </c>
      <c r="H80" s="412">
        <v>0</v>
      </c>
      <c r="I80" s="409">
        <v>0</v>
      </c>
      <c r="J80" s="410">
        <v>-0.129817179827</v>
      </c>
      <c r="K80" s="413">
        <v>0</v>
      </c>
    </row>
    <row r="81" spans="1:11" ht="14.4" customHeight="1" thickBot="1" x14ac:dyDescent="0.35">
      <c r="A81" s="430" t="s">
        <v>326</v>
      </c>
      <c r="B81" s="414">
        <v>0</v>
      </c>
      <c r="C81" s="414">
        <v>0.372</v>
      </c>
      <c r="D81" s="415">
        <v>0.372</v>
      </c>
      <c r="E81" s="416" t="s">
        <v>282</v>
      </c>
      <c r="F81" s="414">
        <v>0</v>
      </c>
      <c r="G81" s="415">
        <v>0</v>
      </c>
      <c r="H81" s="417">
        <v>0</v>
      </c>
      <c r="I81" s="414">
        <v>0</v>
      </c>
      <c r="J81" s="415">
        <v>0</v>
      </c>
      <c r="K81" s="418" t="s">
        <v>252</v>
      </c>
    </row>
    <row r="82" spans="1:11" ht="14.4" customHeight="1" thickBot="1" x14ac:dyDescent="0.35">
      <c r="A82" s="431" t="s">
        <v>327</v>
      </c>
      <c r="B82" s="409">
        <v>0</v>
      </c>
      <c r="C82" s="409">
        <v>0.372</v>
      </c>
      <c r="D82" s="410">
        <v>0.372</v>
      </c>
      <c r="E82" s="419" t="s">
        <v>282</v>
      </c>
      <c r="F82" s="409">
        <v>0</v>
      </c>
      <c r="G82" s="410">
        <v>0</v>
      </c>
      <c r="H82" s="412">
        <v>0</v>
      </c>
      <c r="I82" s="409">
        <v>0</v>
      </c>
      <c r="J82" s="410">
        <v>0</v>
      </c>
      <c r="K82" s="420" t="s">
        <v>252</v>
      </c>
    </row>
    <row r="83" spans="1:11" ht="14.4" customHeight="1" thickBot="1" x14ac:dyDescent="0.35">
      <c r="A83" s="430" t="s">
        <v>328</v>
      </c>
      <c r="B83" s="414">
        <v>0</v>
      </c>
      <c r="C83" s="414">
        <v>2.10107</v>
      </c>
      <c r="D83" s="415">
        <v>2.10107</v>
      </c>
      <c r="E83" s="416" t="s">
        <v>282</v>
      </c>
      <c r="F83" s="414">
        <v>0</v>
      </c>
      <c r="G83" s="415">
        <v>0</v>
      </c>
      <c r="H83" s="417">
        <v>0</v>
      </c>
      <c r="I83" s="414">
        <v>0</v>
      </c>
      <c r="J83" s="415">
        <v>0</v>
      </c>
      <c r="K83" s="418" t="s">
        <v>252</v>
      </c>
    </row>
    <row r="84" spans="1:11" ht="14.4" customHeight="1" thickBot="1" x14ac:dyDescent="0.35">
      <c r="A84" s="431" t="s">
        <v>329</v>
      </c>
      <c r="B84" s="409">
        <v>0</v>
      </c>
      <c r="C84" s="409">
        <v>2.10107</v>
      </c>
      <c r="D84" s="410">
        <v>2.10107</v>
      </c>
      <c r="E84" s="419" t="s">
        <v>282</v>
      </c>
      <c r="F84" s="409">
        <v>0</v>
      </c>
      <c r="G84" s="410">
        <v>0</v>
      </c>
      <c r="H84" s="412">
        <v>0</v>
      </c>
      <c r="I84" s="409">
        <v>0</v>
      </c>
      <c r="J84" s="410">
        <v>0</v>
      </c>
      <c r="K84" s="420" t="s">
        <v>252</v>
      </c>
    </row>
    <row r="85" spans="1:11" ht="14.4" customHeight="1" thickBot="1" x14ac:dyDescent="0.35">
      <c r="A85" s="428" t="s">
        <v>48</v>
      </c>
      <c r="B85" s="409">
        <v>10147.9996803626</v>
      </c>
      <c r="C85" s="409">
        <v>10658.494500000001</v>
      </c>
      <c r="D85" s="410">
        <v>510.49481963740601</v>
      </c>
      <c r="E85" s="411">
        <v>1.050304970015</v>
      </c>
      <c r="F85" s="409">
        <v>10591.0029194693</v>
      </c>
      <c r="G85" s="410">
        <v>1765.16715324488</v>
      </c>
      <c r="H85" s="412">
        <v>902.97352000000001</v>
      </c>
      <c r="I85" s="409">
        <v>1817.60995</v>
      </c>
      <c r="J85" s="410">
        <v>52.442796755114998</v>
      </c>
      <c r="K85" s="413">
        <v>0.171618303178</v>
      </c>
    </row>
    <row r="86" spans="1:11" ht="14.4" customHeight="1" thickBot="1" x14ac:dyDescent="0.35">
      <c r="A86" s="434" t="s">
        <v>330</v>
      </c>
      <c r="B86" s="414">
        <v>7522.9997630437301</v>
      </c>
      <c r="C86" s="414">
        <v>7903.0129999999999</v>
      </c>
      <c r="D86" s="415">
        <v>380.01323695627099</v>
      </c>
      <c r="E86" s="421">
        <v>1.050513525046</v>
      </c>
      <c r="F86" s="414">
        <v>7822.0021561787298</v>
      </c>
      <c r="G86" s="415">
        <v>1303.6670260297899</v>
      </c>
      <c r="H86" s="417">
        <v>666.40099999999995</v>
      </c>
      <c r="I86" s="414">
        <v>1341.4110000000001</v>
      </c>
      <c r="J86" s="415">
        <v>37.743973970211002</v>
      </c>
      <c r="K86" s="422">
        <v>0.17149202636499999</v>
      </c>
    </row>
    <row r="87" spans="1:11" ht="14.4" customHeight="1" thickBot="1" x14ac:dyDescent="0.35">
      <c r="A87" s="430" t="s">
        <v>331</v>
      </c>
      <c r="B87" s="414">
        <v>7499.9997637681699</v>
      </c>
      <c r="C87" s="414">
        <v>7901.8010000000004</v>
      </c>
      <c r="D87" s="415">
        <v>401.80123623182601</v>
      </c>
      <c r="E87" s="421">
        <v>1.053573499851</v>
      </c>
      <c r="F87" s="414">
        <v>7800.0021501143101</v>
      </c>
      <c r="G87" s="415">
        <v>1300.0003583523801</v>
      </c>
      <c r="H87" s="417">
        <v>666.40099999999995</v>
      </c>
      <c r="I87" s="414">
        <v>1341.2909999999999</v>
      </c>
      <c r="J87" s="415">
        <v>41.290641647614997</v>
      </c>
      <c r="K87" s="422">
        <v>0.171960337213</v>
      </c>
    </row>
    <row r="88" spans="1:11" ht="14.4" customHeight="1" thickBot="1" x14ac:dyDescent="0.35">
      <c r="A88" s="431" t="s">
        <v>332</v>
      </c>
      <c r="B88" s="409">
        <v>7499.9997637681699</v>
      </c>
      <c r="C88" s="409">
        <v>7901.8010000000004</v>
      </c>
      <c r="D88" s="410">
        <v>401.80123623182601</v>
      </c>
      <c r="E88" s="411">
        <v>1.053573499851</v>
      </c>
      <c r="F88" s="409">
        <v>7800.0021501143101</v>
      </c>
      <c r="G88" s="410">
        <v>1300.0003583523801</v>
      </c>
      <c r="H88" s="412">
        <v>666.40099999999995</v>
      </c>
      <c r="I88" s="409">
        <v>1341.2909999999999</v>
      </c>
      <c r="J88" s="410">
        <v>41.290641647614997</v>
      </c>
      <c r="K88" s="413">
        <v>0.171960337213</v>
      </c>
    </row>
    <row r="89" spans="1:11" ht="14.4" customHeight="1" thickBot="1" x14ac:dyDescent="0.35">
      <c r="A89" s="430" t="s">
        <v>333</v>
      </c>
      <c r="B89" s="414">
        <v>0</v>
      </c>
      <c r="C89" s="414">
        <v>1.212</v>
      </c>
      <c r="D89" s="415">
        <v>1.212</v>
      </c>
      <c r="E89" s="416" t="s">
        <v>252</v>
      </c>
      <c r="F89" s="414">
        <v>0</v>
      </c>
      <c r="G89" s="415">
        <v>0</v>
      </c>
      <c r="H89" s="417">
        <v>0</v>
      </c>
      <c r="I89" s="414">
        <v>0.12</v>
      </c>
      <c r="J89" s="415">
        <v>0.12</v>
      </c>
      <c r="K89" s="418" t="s">
        <v>252</v>
      </c>
    </row>
    <row r="90" spans="1:11" ht="14.4" customHeight="1" thickBot="1" x14ac:dyDescent="0.35">
      <c r="A90" s="431" t="s">
        <v>334</v>
      </c>
      <c r="B90" s="409">
        <v>0</v>
      </c>
      <c r="C90" s="409">
        <v>1.212</v>
      </c>
      <c r="D90" s="410">
        <v>1.212</v>
      </c>
      <c r="E90" s="419" t="s">
        <v>252</v>
      </c>
      <c r="F90" s="409">
        <v>0</v>
      </c>
      <c r="G90" s="410">
        <v>0</v>
      </c>
      <c r="H90" s="412">
        <v>0</v>
      </c>
      <c r="I90" s="409">
        <v>0.12</v>
      </c>
      <c r="J90" s="410">
        <v>0.12</v>
      </c>
      <c r="K90" s="420" t="s">
        <v>252</v>
      </c>
    </row>
    <row r="91" spans="1:11" ht="14.4" customHeight="1" thickBot="1" x14ac:dyDescent="0.35">
      <c r="A91" s="430" t="s">
        <v>335</v>
      </c>
      <c r="B91" s="414">
        <v>22.999999275554998</v>
      </c>
      <c r="C91" s="414">
        <v>0</v>
      </c>
      <c r="D91" s="415">
        <v>-22.999999275554998</v>
      </c>
      <c r="E91" s="421">
        <v>0</v>
      </c>
      <c r="F91" s="414">
        <v>22.000006064425001</v>
      </c>
      <c r="G91" s="415">
        <v>3.6666676774039999</v>
      </c>
      <c r="H91" s="417">
        <v>0</v>
      </c>
      <c r="I91" s="414">
        <v>0</v>
      </c>
      <c r="J91" s="415">
        <v>-3.6666676774039999</v>
      </c>
      <c r="K91" s="422">
        <v>0</v>
      </c>
    </row>
    <row r="92" spans="1:11" ht="14.4" customHeight="1" thickBot="1" x14ac:dyDescent="0.35">
      <c r="A92" s="431" t="s">
        <v>336</v>
      </c>
      <c r="B92" s="409">
        <v>22.999999275554998</v>
      </c>
      <c r="C92" s="409">
        <v>0</v>
      </c>
      <c r="D92" s="410">
        <v>-22.999999275554998</v>
      </c>
      <c r="E92" s="411">
        <v>0</v>
      </c>
      <c r="F92" s="409">
        <v>22.000006064425001</v>
      </c>
      <c r="G92" s="410">
        <v>3.6666676774039999</v>
      </c>
      <c r="H92" s="412">
        <v>0</v>
      </c>
      <c r="I92" s="409">
        <v>0</v>
      </c>
      <c r="J92" s="410">
        <v>-3.6666676774039999</v>
      </c>
      <c r="K92" s="413">
        <v>0</v>
      </c>
    </row>
    <row r="93" spans="1:11" ht="14.4" customHeight="1" thickBot="1" x14ac:dyDescent="0.35">
      <c r="A93" s="429" t="s">
        <v>337</v>
      </c>
      <c r="B93" s="409">
        <v>2549.99991968118</v>
      </c>
      <c r="C93" s="409">
        <v>2676.4647</v>
      </c>
      <c r="D93" s="410">
        <v>126.46478031882</v>
      </c>
      <c r="E93" s="411">
        <v>1.0495940330589999</v>
      </c>
      <c r="F93" s="409">
        <v>2652.0007310388601</v>
      </c>
      <c r="G93" s="410">
        <v>442.00012183981102</v>
      </c>
      <c r="H93" s="412">
        <v>226.57624999999999</v>
      </c>
      <c r="I93" s="409">
        <v>456.07875000000001</v>
      </c>
      <c r="J93" s="410">
        <v>14.078628160189</v>
      </c>
      <c r="K93" s="413">
        <v>0.17197534852099999</v>
      </c>
    </row>
    <row r="94" spans="1:11" ht="14.4" customHeight="1" thickBot="1" x14ac:dyDescent="0.35">
      <c r="A94" s="430" t="s">
        <v>338</v>
      </c>
      <c r="B94" s="414">
        <v>674.99997873913605</v>
      </c>
      <c r="C94" s="414">
        <v>715.83969000000002</v>
      </c>
      <c r="D94" s="415">
        <v>40.839711260864</v>
      </c>
      <c r="E94" s="421">
        <v>1.060503277847</v>
      </c>
      <c r="F94" s="414">
        <v>702.00019351028698</v>
      </c>
      <c r="G94" s="415">
        <v>117.000032251715</v>
      </c>
      <c r="H94" s="417">
        <v>59.975999999999999</v>
      </c>
      <c r="I94" s="414">
        <v>120.726</v>
      </c>
      <c r="J94" s="415">
        <v>3.725967748285</v>
      </c>
      <c r="K94" s="422">
        <v>0.171974311568</v>
      </c>
    </row>
    <row r="95" spans="1:11" ht="14.4" customHeight="1" thickBot="1" x14ac:dyDescent="0.35">
      <c r="A95" s="431" t="s">
        <v>339</v>
      </c>
      <c r="B95" s="409">
        <v>674.99997873913605</v>
      </c>
      <c r="C95" s="409">
        <v>715.83969000000002</v>
      </c>
      <c r="D95" s="410">
        <v>40.839711260864</v>
      </c>
      <c r="E95" s="411">
        <v>1.060503277847</v>
      </c>
      <c r="F95" s="409">
        <v>702.00019351028698</v>
      </c>
      <c r="G95" s="410">
        <v>117.000032251715</v>
      </c>
      <c r="H95" s="412">
        <v>59.975999999999999</v>
      </c>
      <c r="I95" s="409">
        <v>120.726</v>
      </c>
      <c r="J95" s="410">
        <v>3.725967748285</v>
      </c>
      <c r="K95" s="413">
        <v>0.171974311568</v>
      </c>
    </row>
    <row r="96" spans="1:11" ht="14.4" customHeight="1" thickBot="1" x14ac:dyDescent="0.35">
      <c r="A96" s="430" t="s">
        <v>340</v>
      </c>
      <c r="B96" s="414">
        <v>1874.99994094204</v>
      </c>
      <c r="C96" s="414">
        <v>1960.62501</v>
      </c>
      <c r="D96" s="415">
        <v>85.625069057955002</v>
      </c>
      <c r="E96" s="421">
        <v>1.0456667049349999</v>
      </c>
      <c r="F96" s="414">
        <v>1950.00053752858</v>
      </c>
      <c r="G96" s="415">
        <v>325.00008958809599</v>
      </c>
      <c r="H96" s="417">
        <v>166.60024999999999</v>
      </c>
      <c r="I96" s="414">
        <v>335.35275000000001</v>
      </c>
      <c r="J96" s="415">
        <v>10.352660411904001</v>
      </c>
      <c r="K96" s="422">
        <v>0.17197572182400001</v>
      </c>
    </row>
    <row r="97" spans="1:11" ht="14.4" customHeight="1" thickBot="1" x14ac:dyDescent="0.35">
      <c r="A97" s="431" t="s">
        <v>341</v>
      </c>
      <c r="B97" s="409">
        <v>1874.99994094204</v>
      </c>
      <c r="C97" s="409">
        <v>1960.62501</v>
      </c>
      <c r="D97" s="410">
        <v>85.625069057955002</v>
      </c>
      <c r="E97" s="411">
        <v>1.0456667049349999</v>
      </c>
      <c r="F97" s="409">
        <v>1950.00053752858</v>
      </c>
      <c r="G97" s="410">
        <v>325.00008958809599</v>
      </c>
      <c r="H97" s="412">
        <v>166.60024999999999</v>
      </c>
      <c r="I97" s="409">
        <v>335.35275000000001</v>
      </c>
      <c r="J97" s="410">
        <v>10.352660411904001</v>
      </c>
      <c r="K97" s="413">
        <v>0.17197572182400001</v>
      </c>
    </row>
    <row r="98" spans="1:11" ht="14.4" customHeight="1" thickBot="1" x14ac:dyDescent="0.35">
      <c r="A98" s="429" t="s">
        <v>342</v>
      </c>
      <c r="B98" s="409">
        <v>74.999997637681005</v>
      </c>
      <c r="C98" s="409">
        <v>79.016800000000003</v>
      </c>
      <c r="D98" s="410">
        <v>4.0168023623179998</v>
      </c>
      <c r="E98" s="411">
        <v>1.0535573665169999</v>
      </c>
      <c r="F98" s="409">
        <v>117.000032251715</v>
      </c>
      <c r="G98" s="410">
        <v>19.500005375284999</v>
      </c>
      <c r="H98" s="412">
        <v>9.9962700000000009</v>
      </c>
      <c r="I98" s="409">
        <v>20.120200000000001</v>
      </c>
      <c r="J98" s="410">
        <v>0.620194624714</v>
      </c>
      <c r="K98" s="413">
        <v>0.17196747396299999</v>
      </c>
    </row>
    <row r="99" spans="1:11" ht="14.4" customHeight="1" thickBot="1" x14ac:dyDescent="0.35">
      <c r="A99" s="430" t="s">
        <v>343</v>
      </c>
      <c r="B99" s="414">
        <v>74.999997637681005</v>
      </c>
      <c r="C99" s="414">
        <v>79.016800000000003</v>
      </c>
      <c r="D99" s="415">
        <v>4.0168023623179998</v>
      </c>
      <c r="E99" s="421">
        <v>1.0535573665169999</v>
      </c>
      <c r="F99" s="414">
        <v>117.000032251715</v>
      </c>
      <c r="G99" s="415">
        <v>19.500005375284999</v>
      </c>
      <c r="H99" s="417">
        <v>9.9962700000000009</v>
      </c>
      <c r="I99" s="414">
        <v>20.120200000000001</v>
      </c>
      <c r="J99" s="415">
        <v>0.620194624714</v>
      </c>
      <c r="K99" s="422">
        <v>0.17196747396299999</v>
      </c>
    </row>
    <row r="100" spans="1:11" ht="14.4" customHeight="1" thickBot="1" x14ac:dyDescent="0.35">
      <c r="A100" s="431" t="s">
        <v>344</v>
      </c>
      <c r="B100" s="409">
        <v>74.999997637681005</v>
      </c>
      <c r="C100" s="409">
        <v>79.016800000000003</v>
      </c>
      <c r="D100" s="410">
        <v>4.0168023623179998</v>
      </c>
      <c r="E100" s="411">
        <v>1.0535573665169999</v>
      </c>
      <c r="F100" s="409">
        <v>117.000032251715</v>
      </c>
      <c r="G100" s="410">
        <v>19.500005375284999</v>
      </c>
      <c r="H100" s="412">
        <v>9.9962700000000009</v>
      </c>
      <c r="I100" s="409">
        <v>20.120200000000001</v>
      </c>
      <c r="J100" s="410">
        <v>0.620194624714</v>
      </c>
      <c r="K100" s="413">
        <v>0.17196747396299999</v>
      </c>
    </row>
    <row r="101" spans="1:11" ht="14.4" customHeight="1" thickBot="1" x14ac:dyDescent="0.35">
      <c r="A101" s="428" t="s">
        <v>345</v>
      </c>
      <c r="B101" s="409">
        <v>0</v>
      </c>
      <c r="C101" s="409">
        <v>39.40737</v>
      </c>
      <c r="D101" s="410">
        <v>39.40737</v>
      </c>
      <c r="E101" s="419" t="s">
        <v>252</v>
      </c>
      <c r="F101" s="409">
        <v>36.370505793692999</v>
      </c>
      <c r="G101" s="410">
        <v>6.0617509656150004</v>
      </c>
      <c r="H101" s="412">
        <v>15</v>
      </c>
      <c r="I101" s="409">
        <v>16.2</v>
      </c>
      <c r="J101" s="410">
        <v>10.138249034384</v>
      </c>
      <c r="K101" s="413">
        <v>0.44541585679000001</v>
      </c>
    </row>
    <row r="102" spans="1:11" ht="14.4" customHeight="1" thickBot="1" x14ac:dyDescent="0.35">
      <c r="A102" s="429" t="s">
        <v>346</v>
      </c>
      <c r="B102" s="409">
        <v>0</v>
      </c>
      <c r="C102" s="409">
        <v>39.40737</v>
      </c>
      <c r="D102" s="410">
        <v>39.40737</v>
      </c>
      <c r="E102" s="419" t="s">
        <v>252</v>
      </c>
      <c r="F102" s="409">
        <v>36.370505793692999</v>
      </c>
      <c r="G102" s="410">
        <v>6.0617509656150004</v>
      </c>
      <c r="H102" s="412">
        <v>15</v>
      </c>
      <c r="I102" s="409">
        <v>16.2</v>
      </c>
      <c r="J102" s="410">
        <v>10.138249034384</v>
      </c>
      <c r="K102" s="413">
        <v>0.44541585679000001</v>
      </c>
    </row>
    <row r="103" spans="1:11" ht="14.4" customHeight="1" thickBot="1" x14ac:dyDescent="0.35">
      <c r="A103" s="430" t="s">
        <v>347</v>
      </c>
      <c r="B103" s="414">
        <v>0</v>
      </c>
      <c r="C103" s="414">
        <v>22.10737</v>
      </c>
      <c r="D103" s="415">
        <v>22.10737</v>
      </c>
      <c r="E103" s="416" t="s">
        <v>252</v>
      </c>
      <c r="F103" s="414">
        <v>20.754352790167999</v>
      </c>
      <c r="G103" s="415">
        <v>3.4590587983610002</v>
      </c>
      <c r="H103" s="417">
        <v>15</v>
      </c>
      <c r="I103" s="414">
        <v>15</v>
      </c>
      <c r="J103" s="415">
        <v>11.540941201638001</v>
      </c>
      <c r="K103" s="422">
        <v>0.72273995492099996</v>
      </c>
    </row>
    <row r="104" spans="1:11" ht="14.4" customHeight="1" thickBot="1" x14ac:dyDescent="0.35">
      <c r="A104" s="431" t="s">
        <v>348</v>
      </c>
      <c r="B104" s="409">
        <v>0</v>
      </c>
      <c r="C104" s="409">
        <v>1.0073700000000001</v>
      </c>
      <c r="D104" s="410">
        <v>1.0073700000000001</v>
      </c>
      <c r="E104" s="419" t="s">
        <v>252</v>
      </c>
      <c r="F104" s="409">
        <v>0</v>
      </c>
      <c r="G104" s="410">
        <v>0</v>
      </c>
      <c r="H104" s="412">
        <v>0</v>
      </c>
      <c r="I104" s="409">
        <v>0</v>
      </c>
      <c r="J104" s="410">
        <v>0</v>
      </c>
      <c r="K104" s="420" t="s">
        <v>252</v>
      </c>
    </row>
    <row r="105" spans="1:11" ht="14.4" customHeight="1" thickBot="1" x14ac:dyDescent="0.35">
      <c r="A105" s="431" t="s">
        <v>349</v>
      </c>
      <c r="B105" s="409">
        <v>0</v>
      </c>
      <c r="C105" s="409">
        <v>0</v>
      </c>
      <c r="D105" s="410">
        <v>0</v>
      </c>
      <c r="E105" s="419" t="s">
        <v>252</v>
      </c>
      <c r="F105" s="409">
        <v>0</v>
      </c>
      <c r="G105" s="410">
        <v>0</v>
      </c>
      <c r="H105" s="412">
        <v>15</v>
      </c>
      <c r="I105" s="409">
        <v>15</v>
      </c>
      <c r="J105" s="410">
        <v>15</v>
      </c>
      <c r="K105" s="420" t="s">
        <v>282</v>
      </c>
    </row>
    <row r="106" spans="1:11" ht="14.4" customHeight="1" thickBot="1" x14ac:dyDescent="0.35">
      <c r="A106" s="431" t="s">
        <v>350</v>
      </c>
      <c r="B106" s="409">
        <v>0</v>
      </c>
      <c r="C106" s="409">
        <v>12.5</v>
      </c>
      <c r="D106" s="410">
        <v>12.5</v>
      </c>
      <c r="E106" s="419" t="s">
        <v>252</v>
      </c>
      <c r="F106" s="409">
        <v>13.320179585529999</v>
      </c>
      <c r="G106" s="410">
        <v>2.2200299309210001</v>
      </c>
      <c r="H106" s="412">
        <v>0</v>
      </c>
      <c r="I106" s="409">
        <v>0</v>
      </c>
      <c r="J106" s="410">
        <v>-2.2200299309210001</v>
      </c>
      <c r="K106" s="413">
        <v>0</v>
      </c>
    </row>
    <row r="107" spans="1:11" ht="14.4" customHeight="1" thickBot="1" x14ac:dyDescent="0.35">
      <c r="A107" s="431" t="s">
        <v>351</v>
      </c>
      <c r="B107" s="409">
        <v>0</v>
      </c>
      <c r="C107" s="409">
        <v>8.6</v>
      </c>
      <c r="D107" s="410">
        <v>8.6</v>
      </c>
      <c r="E107" s="419" t="s">
        <v>282</v>
      </c>
      <c r="F107" s="409">
        <v>7.4341732046370002</v>
      </c>
      <c r="G107" s="410">
        <v>1.239028867439</v>
      </c>
      <c r="H107" s="412">
        <v>0</v>
      </c>
      <c r="I107" s="409">
        <v>0</v>
      </c>
      <c r="J107" s="410">
        <v>-1.239028867439</v>
      </c>
      <c r="K107" s="413">
        <v>0</v>
      </c>
    </row>
    <row r="108" spans="1:11" ht="14.4" customHeight="1" thickBot="1" x14ac:dyDescent="0.35">
      <c r="A108" s="433" t="s">
        <v>352</v>
      </c>
      <c r="B108" s="409">
        <v>0</v>
      </c>
      <c r="C108" s="409">
        <v>14.1</v>
      </c>
      <c r="D108" s="410">
        <v>14.1</v>
      </c>
      <c r="E108" s="419" t="s">
        <v>252</v>
      </c>
      <c r="F108" s="409">
        <v>13.969371620332</v>
      </c>
      <c r="G108" s="410">
        <v>2.3282286033880002</v>
      </c>
      <c r="H108" s="412">
        <v>0</v>
      </c>
      <c r="I108" s="409">
        <v>1.2</v>
      </c>
      <c r="J108" s="410">
        <v>-1.128228603388</v>
      </c>
      <c r="K108" s="413">
        <v>8.5902217552000004E-2</v>
      </c>
    </row>
    <row r="109" spans="1:11" ht="14.4" customHeight="1" thickBot="1" x14ac:dyDescent="0.35">
      <c r="A109" s="431" t="s">
        <v>353</v>
      </c>
      <c r="B109" s="409">
        <v>0</v>
      </c>
      <c r="C109" s="409">
        <v>14.1</v>
      </c>
      <c r="D109" s="410">
        <v>14.1</v>
      </c>
      <c r="E109" s="419" t="s">
        <v>252</v>
      </c>
      <c r="F109" s="409">
        <v>13.969371620332</v>
      </c>
      <c r="G109" s="410">
        <v>2.3282286033880002</v>
      </c>
      <c r="H109" s="412">
        <v>0</v>
      </c>
      <c r="I109" s="409">
        <v>1.2</v>
      </c>
      <c r="J109" s="410">
        <v>-1.128228603388</v>
      </c>
      <c r="K109" s="413">
        <v>8.5902217552000004E-2</v>
      </c>
    </row>
    <row r="110" spans="1:11" ht="14.4" customHeight="1" thickBot="1" x14ac:dyDescent="0.35">
      <c r="A110" s="433" t="s">
        <v>354</v>
      </c>
      <c r="B110" s="409">
        <v>0</v>
      </c>
      <c r="C110" s="409">
        <v>3.2</v>
      </c>
      <c r="D110" s="410">
        <v>3.2</v>
      </c>
      <c r="E110" s="419" t="s">
        <v>282</v>
      </c>
      <c r="F110" s="409">
        <v>1.646781383192</v>
      </c>
      <c r="G110" s="410">
        <v>0.27446356386499998</v>
      </c>
      <c r="H110" s="412">
        <v>0</v>
      </c>
      <c r="I110" s="409">
        <v>0</v>
      </c>
      <c r="J110" s="410">
        <v>-0.27446356386499998</v>
      </c>
      <c r="K110" s="413">
        <v>0</v>
      </c>
    </row>
    <row r="111" spans="1:11" ht="14.4" customHeight="1" thickBot="1" x14ac:dyDescent="0.35">
      <c r="A111" s="431" t="s">
        <v>355</v>
      </c>
      <c r="B111" s="409">
        <v>0</v>
      </c>
      <c r="C111" s="409">
        <v>3.2</v>
      </c>
      <c r="D111" s="410">
        <v>3.2</v>
      </c>
      <c r="E111" s="419" t="s">
        <v>282</v>
      </c>
      <c r="F111" s="409">
        <v>1.646781383192</v>
      </c>
      <c r="G111" s="410">
        <v>0.27446356386499998</v>
      </c>
      <c r="H111" s="412">
        <v>0</v>
      </c>
      <c r="I111" s="409">
        <v>0</v>
      </c>
      <c r="J111" s="410">
        <v>-0.27446356386499998</v>
      </c>
      <c r="K111" s="413">
        <v>0</v>
      </c>
    </row>
    <row r="112" spans="1:11" ht="14.4" customHeight="1" thickBot="1" x14ac:dyDescent="0.35">
      <c r="A112" s="428" t="s">
        <v>356</v>
      </c>
      <c r="B112" s="409">
        <v>707.99718157935399</v>
      </c>
      <c r="C112" s="409">
        <v>709.81700000000001</v>
      </c>
      <c r="D112" s="410">
        <v>1.819818420646</v>
      </c>
      <c r="E112" s="411">
        <v>1.002570375233</v>
      </c>
      <c r="F112" s="409">
        <v>624.001556653021</v>
      </c>
      <c r="G112" s="410">
        <v>104.00025944217001</v>
      </c>
      <c r="H112" s="412">
        <v>57.66</v>
      </c>
      <c r="I112" s="409">
        <v>115.32</v>
      </c>
      <c r="J112" s="410">
        <v>11.319740557829</v>
      </c>
      <c r="K112" s="413">
        <v>0.18480723128000001</v>
      </c>
    </row>
    <row r="113" spans="1:11" ht="14.4" customHeight="1" thickBot="1" x14ac:dyDescent="0.35">
      <c r="A113" s="429" t="s">
        <v>357</v>
      </c>
      <c r="B113" s="409">
        <v>706.99718157935399</v>
      </c>
      <c r="C113" s="409">
        <v>699.03700000000003</v>
      </c>
      <c r="D113" s="410">
        <v>-7.9601815793539998</v>
      </c>
      <c r="E113" s="411">
        <v>0.98874085811500001</v>
      </c>
      <c r="F113" s="409">
        <v>624.001556653021</v>
      </c>
      <c r="G113" s="410">
        <v>104.00025944217001</v>
      </c>
      <c r="H113" s="412">
        <v>57.66</v>
      </c>
      <c r="I113" s="409">
        <v>115.32</v>
      </c>
      <c r="J113" s="410">
        <v>11.319740557829</v>
      </c>
      <c r="K113" s="413">
        <v>0.18480723128000001</v>
      </c>
    </row>
    <row r="114" spans="1:11" ht="14.4" customHeight="1" thickBot="1" x14ac:dyDescent="0.35">
      <c r="A114" s="430" t="s">
        <v>358</v>
      </c>
      <c r="B114" s="414">
        <v>706.99718157935399</v>
      </c>
      <c r="C114" s="414">
        <v>695.07399999999996</v>
      </c>
      <c r="D114" s="415">
        <v>-11.923181579354001</v>
      </c>
      <c r="E114" s="421">
        <v>0.98313546094600002</v>
      </c>
      <c r="F114" s="414">
        <v>624.001556653021</v>
      </c>
      <c r="G114" s="415">
        <v>104.00025944217001</v>
      </c>
      <c r="H114" s="417">
        <v>57.66</v>
      </c>
      <c r="I114" s="414">
        <v>115.32</v>
      </c>
      <c r="J114" s="415">
        <v>11.319740557829</v>
      </c>
      <c r="K114" s="422">
        <v>0.18480723128000001</v>
      </c>
    </row>
    <row r="115" spans="1:11" ht="14.4" customHeight="1" thickBot="1" x14ac:dyDescent="0.35">
      <c r="A115" s="431" t="s">
        <v>359</v>
      </c>
      <c r="B115" s="409">
        <v>37.999998803091003</v>
      </c>
      <c r="C115" s="409">
        <v>37.649000000000001</v>
      </c>
      <c r="D115" s="410">
        <v>-0.35099880309100001</v>
      </c>
      <c r="E115" s="411">
        <v>0.99076318910100003</v>
      </c>
      <c r="F115" s="409">
        <v>38.000094796177002</v>
      </c>
      <c r="G115" s="410">
        <v>6.3333491326960001</v>
      </c>
      <c r="H115" s="412">
        <v>3.1429999999999998</v>
      </c>
      <c r="I115" s="409">
        <v>6.2859999999999996</v>
      </c>
      <c r="J115" s="410">
        <v>-4.7349132696000003E-2</v>
      </c>
      <c r="K115" s="413">
        <v>0.16542063996699999</v>
      </c>
    </row>
    <row r="116" spans="1:11" ht="14.4" customHeight="1" thickBot="1" x14ac:dyDescent="0.35">
      <c r="A116" s="431" t="s">
        <v>360</v>
      </c>
      <c r="B116" s="409">
        <v>62.99999801565</v>
      </c>
      <c r="C116" s="409">
        <v>63.12</v>
      </c>
      <c r="D116" s="410">
        <v>0.120001984349</v>
      </c>
      <c r="E116" s="411">
        <v>1.001904793462</v>
      </c>
      <c r="F116" s="409">
        <v>30.000074839086999</v>
      </c>
      <c r="G116" s="410">
        <v>5.0000124731810001</v>
      </c>
      <c r="H116" s="412">
        <v>5.26</v>
      </c>
      <c r="I116" s="409">
        <v>10.52</v>
      </c>
      <c r="J116" s="410">
        <v>5.5199875268180003</v>
      </c>
      <c r="K116" s="413">
        <v>0.35066579188300001</v>
      </c>
    </row>
    <row r="117" spans="1:11" ht="14.4" customHeight="1" thickBot="1" x14ac:dyDescent="0.35">
      <c r="A117" s="431" t="s">
        <v>361</v>
      </c>
      <c r="B117" s="409">
        <v>0.99999996850200001</v>
      </c>
      <c r="C117" s="409">
        <v>0.94799999999999995</v>
      </c>
      <c r="D117" s="410">
        <v>-5.1999968501999998E-2</v>
      </c>
      <c r="E117" s="411">
        <v>0.948000029859</v>
      </c>
      <c r="F117" s="409">
        <v>0</v>
      </c>
      <c r="G117" s="410">
        <v>0</v>
      </c>
      <c r="H117" s="412">
        <v>0</v>
      </c>
      <c r="I117" s="409">
        <v>0</v>
      </c>
      <c r="J117" s="410">
        <v>0</v>
      </c>
      <c r="K117" s="420" t="s">
        <v>252</v>
      </c>
    </row>
    <row r="118" spans="1:11" ht="14.4" customHeight="1" thickBot="1" x14ac:dyDescent="0.35">
      <c r="A118" s="431" t="s">
        <v>362</v>
      </c>
      <c r="B118" s="409">
        <v>284.997194871342</v>
      </c>
      <c r="C118" s="409">
        <v>284.01499999999999</v>
      </c>
      <c r="D118" s="410">
        <v>-0.98219487134100003</v>
      </c>
      <c r="E118" s="411">
        <v>0.99655366828500003</v>
      </c>
      <c r="F118" s="409">
        <v>285.00071097133201</v>
      </c>
      <c r="G118" s="410">
        <v>47.500118495221997</v>
      </c>
      <c r="H118" s="412">
        <v>23.667999999999999</v>
      </c>
      <c r="I118" s="409">
        <v>47.335999999999999</v>
      </c>
      <c r="J118" s="410">
        <v>-0.164118495221</v>
      </c>
      <c r="K118" s="413">
        <v>0.166090813734</v>
      </c>
    </row>
    <row r="119" spans="1:11" ht="14.4" customHeight="1" thickBot="1" x14ac:dyDescent="0.35">
      <c r="A119" s="431" t="s">
        <v>363</v>
      </c>
      <c r="B119" s="409">
        <v>316.99999001526101</v>
      </c>
      <c r="C119" s="409">
        <v>306.35599999999999</v>
      </c>
      <c r="D119" s="410">
        <v>-10.643990015261</v>
      </c>
      <c r="E119" s="411">
        <v>0.96642274337300005</v>
      </c>
      <c r="F119" s="409">
        <v>268.00066856251601</v>
      </c>
      <c r="G119" s="410">
        <v>44.666778093752001</v>
      </c>
      <c r="H119" s="412">
        <v>25.341000000000001</v>
      </c>
      <c r="I119" s="409">
        <v>50.682000000000002</v>
      </c>
      <c r="J119" s="410">
        <v>6.0152219062469996</v>
      </c>
      <c r="K119" s="413">
        <v>0.18911146853399999</v>
      </c>
    </row>
    <row r="120" spans="1:11" ht="14.4" customHeight="1" thickBot="1" x14ac:dyDescent="0.35">
      <c r="A120" s="431" t="s">
        <v>364</v>
      </c>
      <c r="B120" s="409">
        <v>2.9999999055069999</v>
      </c>
      <c r="C120" s="409">
        <v>2.9860000000000002</v>
      </c>
      <c r="D120" s="410">
        <v>-1.3999905506999999E-2</v>
      </c>
      <c r="E120" s="411">
        <v>0.99533336468300004</v>
      </c>
      <c r="F120" s="409">
        <v>3.000007483908</v>
      </c>
      <c r="G120" s="410">
        <v>0.500001247318</v>
      </c>
      <c r="H120" s="412">
        <v>0.248</v>
      </c>
      <c r="I120" s="409">
        <v>0.496</v>
      </c>
      <c r="J120" s="410">
        <v>-4.0012473179999999E-3</v>
      </c>
      <c r="K120" s="413">
        <v>0.165332920887</v>
      </c>
    </row>
    <row r="121" spans="1:11" ht="14.4" customHeight="1" thickBot="1" x14ac:dyDescent="0.35">
      <c r="A121" s="430" t="s">
        <v>365</v>
      </c>
      <c r="B121" s="414">
        <v>0</v>
      </c>
      <c r="C121" s="414">
        <v>3.9630000000000001</v>
      </c>
      <c r="D121" s="415">
        <v>3.9630000000000001</v>
      </c>
      <c r="E121" s="416" t="s">
        <v>282</v>
      </c>
      <c r="F121" s="414">
        <v>0</v>
      </c>
      <c r="G121" s="415">
        <v>0</v>
      </c>
      <c r="H121" s="417">
        <v>0</v>
      </c>
      <c r="I121" s="414">
        <v>0</v>
      </c>
      <c r="J121" s="415">
        <v>0</v>
      </c>
      <c r="K121" s="418" t="s">
        <v>252</v>
      </c>
    </row>
    <row r="122" spans="1:11" ht="14.4" customHeight="1" thickBot="1" x14ac:dyDescent="0.35">
      <c r="A122" s="431" t="s">
        <v>366</v>
      </c>
      <c r="B122" s="409">
        <v>0</v>
      </c>
      <c r="C122" s="409">
        <v>3.9630000000000001</v>
      </c>
      <c r="D122" s="410">
        <v>3.9630000000000001</v>
      </c>
      <c r="E122" s="419" t="s">
        <v>282</v>
      </c>
      <c r="F122" s="409">
        <v>0</v>
      </c>
      <c r="G122" s="410">
        <v>0</v>
      </c>
      <c r="H122" s="412">
        <v>0</v>
      </c>
      <c r="I122" s="409">
        <v>0</v>
      </c>
      <c r="J122" s="410">
        <v>0</v>
      </c>
      <c r="K122" s="420" t="s">
        <v>252</v>
      </c>
    </row>
    <row r="123" spans="1:11" ht="14.4" customHeight="1" thickBot="1" x14ac:dyDescent="0.35">
      <c r="A123" s="429" t="s">
        <v>367</v>
      </c>
      <c r="B123" s="409">
        <v>1</v>
      </c>
      <c r="C123" s="409">
        <v>10.78</v>
      </c>
      <c r="D123" s="410">
        <v>9.7799999999999994</v>
      </c>
      <c r="E123" s="411">
        <v>10.78</v>
      </c>
      <c r="F123" s="409">
        <v>0</v>
      </c>
      <c r="G123" s="410">
        <v>0</v>
      </c>
      <c r="H123" s="412">
        <v>0</v>
      </c>
      <c r="I123" s="409">
        <v>0</v>
      </c>
      <c r="J123" s="410">
        <v>0</v>
      </c>
      <c r="K123" s="420" t="s">
        <v>252</v>
      </c>
    </row>
    <row r="124" spans="1:11" ht="14.4" customHeight="1" thickBot="1" x14ac:dyDescent="0.35">
      <c r="A124" s="430" t="s">
        <v>368</v>
      </c>
      <c r="B124" s="414">
        <v>1</v>
      </c>
      <c r="C124" s="414">
        <v>0</v>
      </c>
      <c r="D124" s="415">
        <v>-1</v>
      </c>
      <c r="E124" s="421">
        <v>0</v>
      </c>
      <c r="F124" s="414">
        <v>0</v>
      </c>
      <c r="G124" s="415">
        <v>0</v>
      </c>
      <c r="H124" s="417">
        <v>0</v>
      </c>
      <c r="I124" s="414">
        <v>0</v>
      </c>
      <c r="J124" s="415">
        <v>0</v>
      </c>
      <c r="K124" s="422">
        <v>2</v>
      </c>
    </row>
    <row r="125" spans="1:11" ht="14.4" customHeight="1" thickBot="1" x14ac:dyDescent="0.35">
      <c r="A125" s="431" t="s">
        <v>369</v>
      </c>
      <c r="B125" s="409">
        <v>1</v>
      </c>
      <c r="C125" s="409">
        <v>0</v>
      </c>
      <c r="D125" s="410">
        <v>-1</v>
      </c>
      <c r="E125" s="411">
        <v>0</v>
      </c>
      <c r="F125" s="409">
        <v>0</v>
      </c>
      <c r="G125" s="410">
        <v>0</v>
      </c>
      <c r="H125" s="412">
        <v>0</v>
      </c>
      <c r="I125" s="409">
        <v>0</v>
      </c>
      <c r="J125" s="410">
        <v>0</v>
      </c>
      <c r="K125" s="413">
        <v>2</v>
      </c>
    </row>
    <row r="126" spans="1:11" ht="14.4" customHeight="1" thickBot="1" x14ac:dyDescent="0.35">
      <c r="A126" s="430" t="s">
        <v>370</v>
      </c>
      <c r="B126" s="414">
        <v>0</v>
      </c>
      <c r="C126" s="414">
        <v>10.78</v>
      </c>
      <c r="D126" s="415">
        <v>10.78</v>
      </c>
      <c r="E126" s="416" t="s">
        <v>282</v>
      </c>
      <c r="F126" s="414">
        <v>0</v>
      </c>
      <c r="G126" s="415">
        <v>0</v>
      </c>
      <c r="H126" s="417">
        <v>0</v>
      </c>
      <c r="I126" s="414">
        <v>0</v>
      </c>
      <c r="J126" s="415">
        <v>0</v>
      </c>
      <c r="K126" s="418" t="s">
        <v>252</v>
      </c>
    </row>
    <row r="127" spans="1:11" ht="14.4" customHeight="1" thickBot="1" x14ac:dyDescent="0.35">
      <c r="A127" s="431" t="s">
        <v>371</v>
      </c>
      <c r="B127" s="409">
        <v>0</v>
      </c>
      <c r="C127" s="409">
        <v>10.78</v>
      </c>
      <c r="D127" s="410">
        <v>10.78</v>
      </c>
      <c r="E127" s="419" t="s">
        <v>282</v>
      </c>
      <c r="F127" s="409">
        <v>0</v>
      </c>
      <c r="G127" s="410">
        <v>0</v>
      </c>
      <c r="H127" s="412">
        <v>0</v>
      </c>
      <c r="I127" s="409">
        <v>0</v>
      </c>
      <c r="J127" s="410">
        <v>0</v>
      </c>
      <c r="K127" s="420" t="s">
        <v>252</v>
      </c>
    </row>
    <row r="128" spans="1:11" ht="14.4" customHeight="1" thickBot="1" x14ac:dyDescent="0.35">
      <c r="A128" s="427" t="s">
        <v>372</v>
      </c>
      <c r="B128" s="409">
        <v>5586.5949524791804</v>
      </c>
      <c r="C128" s="409">
        <v>3438.4618099999998</v>
      </c>
      <c r="D128" s="410">
        <v>-2148.1331424791802</v>
      </c>
      <c r="E128" s="411">
        <v>0.61548435840500004</v>
      </c>
      <c r="F128" s="409">
        <v>5882.5599225081696</v>
      </c>
      <c r="G128" s="410">
        <v>980.42665375136096</v>
      </c>
      <c r="H128" s="412">
        <v>250.92283</v>
      </c>
      <c r="I128" s="409">
        <v>508.65687000000003</v>
      </c>
      <c r="J128" s="410">
        <v>-471.76978375136099</v>
      </c>
      <c r="K128" s="413">
        <v>8.6468625342999997E-2</v>
      </c>
    </row>
    <row r="129" spans="1:11" ht="14.4" customHeight="1" thickBot="1" x14ac:dyDescent="0.35">
      <c r="A129" s="428" t="s">
        <v>373</v>
      </c>
      <c r="B129" s="409">
        <v>5582.5949524791804</v>
      </c>
      <c r="C129" s="409">
        <v>3420.12745</v>
      </c>
      <c r="D129" s="410">
        <v>-2162.46750247918</v>
      </c>
      <c r="E129" s="411">
        <v>0.61264116044799999</v>
      </c>
      <c r="F129" s="409">
        <v>5875.9151610761801</v>
      </c>
      <c r="G129" s="410">
        <v>979.31919351269698</v>
      </c>
      <c r="H129" s="412">
        <v>250.92289</v>
      </c>
      <c r="I129" s="409">
        <v>508.65708000000001</v>
      </c>
      <c r="J129" s="410">
        <v>-470.66211351269698</v>
      </c>
      <c r="K129" s="413">
        <v>8.6566443874000004E-2</v>
      </c>
    </row>
    <row r="130" spans="1:11" ht="14.4" customHeight="1" thickBot="1" x14ac:dyDescent="0.35">
      <c r="A130" s="429" t="s">
        <v>374</v>
      </c>
      <c r="B130" s="409">
        <v>5582.5949524791804</v>
      </c>
      <c r="C130" s="409">
        <v>3420.12745</v>
      </c>
      <c r="D130" s="410">
        <v>-2162.46750247918</v>
      </c>
      <c r="E130" s="411">
        <v>0.61264116044799999</v>
      </c>
      <c r="F130" s="409">
        <v>5875.9151610761801</v>
      </c>
      <c r="G130" s="410">
        <v>979.31919351269698</v>
      </c>
      <c r="H130" s="412">
        <v>250.92289</v>
      </c>
      <c r="I130" s="409">
        <v>508.65708000000001</v>
      </c>
      <c r="J130" s="410">
        <v>-470.66211351269698</v>
      </c>
      <c r="K130" s="413">
        <v>8.6566443874000004E-2</v>
      </c>
    </row>
    <row r="131" spans="1:11" ht="14.4" customHeight="1" thickBot="1" x14ac:dyDescent="0.35">
      <c r="A131" s="430" t="s">
        <v>375</v>
      </c>
      <c r="B131" s="414">
        <v>1198.11838820763</v>
      </c>
      <c r="C131" s="414">
        <v>1096.4574</v>
      </c>
      <c r="D131" s="415">
        <v>-101.66098820763099</v>
      </c>
      <c r="E131" s="421">
        <v>0.915149463351</v>
      </c>
      <c r="F131" s="414">
        <v>1065.91467878394</v>
      </c>
      <c r="G131" s="415">
        <v>177.65244646399</v>
      </c>
      <c r="H131" s="417">
        <v>58.651240000000001</v>
      </c>
      <c r="I131" s="414">
        <v>140.99155999999999</v>
      </c>
      <c r="J131" s="415">
        <v>-36.660886463989002</v>
      </c>
      <c r="K131" s="422">
        <v>0.13227283834799999</v>
      </c>
    </row>
    <row r="132" spans="1:11" ht="14.4" customHeight="1" thickBot="1" x14ac:dyDescent="0.35">
      <c r="A132" s="431" t="s">
        <v>376</v>
      </c>
      <c r="B132" s="409">
        <v>6.2125148566709996</v>
      </c>
      <c r="C132" s="409">
        <v>4.3007400000000002</v>
      </c>
      <c r="D132" s="410">
        <v>-1.911774856671</v>
      </c>
      <c r="E132" s="411">
        <v>0.692270376686</v>
      </c>
      <c r="F132" s="409">
        <v>4.1106865542250004</v>
      </c>
      <c r="G132" s="410">
        <v>0.68511442570400005</v>
      </c>
      <c r="H132" s="412">
        <v>0.29915999999999998</v>
      </c>
      <c r="I132" s="409">
        <v>0.44791999999999998</v>
      </c>
      <c r="J132" s="410">
        <v>-0.23719442570400001</v>
      </c>
      <c r="K132" s="413">
        <v>0.108964766369</v>
      </c>
    </row>
    <row r="133" spans="1:11" ht="14.4" customHeight="1" thickBot="1" x14ac:dyDescent="0.35">
      <c r="A133" s="431" t="s">
        <v>377</v>
      </c>
      <c r="B133" s="409">
        <v>0.46076381940700001</v>
      </c>
      <c r="C133" s="409">
        <v>0.47</v>
      </c>
      <c r="D133" s="410">
        <v>9.2361805919999995E-3</v>
      </c>
      <c r="E133" s="411">
        <v>1.0200453685890001</v>
      </c>
      <c r="F133" s="409">
        <v>0.19326853191500001</v>
      </c>
      <c r="G133" s="410">
        <v>3.2211421985000002E-2</v>
      </c>
      <c r="H133" s="412">
        <v>0</v>
      </c>
      <c r="I133" s="409">
        <v>0</v>
      </c>
      <c r="J133" s="410">
        <v>-3.2211421985000002E-2</v>
      </c>
      <c r="K133" s="413">
        <v>0</v>
      </c>
    </row>
    <row r="134" spans="1:11" ht="14.4" customHeight="1" thickBot="1" x14ac:dyDescent="0.35">
      <c r="A134" s="431" t="s">
        <v>378</v>
      </c>
      <c r="B134" s="409">
        <v>2.1397219121459998</v>
      </c>
      <c r="C134" s="409">
        <v>2.7827199999999999</v>
      </c>
      <c r="D134" s="410">
        <v>0.64299808785300006</v>
      </c>
      <c r="E134" s="411">
        <v>1.3005054461529999</v>
      </c>
      <c r="F134" s="409">
        <v>2.7559763046439998</v>
      </c>
      <c r="G134" s="410">
        <v>0.45932938410700003</v>
      </c>
      <c r="H134" s="412">
        <v>0</v>
      </c>
      <c r="I134" s="409">
        <v>0</v>
      </c>
      <c r="J134" s="410">
        <v>-0.45932938410700003</v>
      </c>
      <c r="K134" s="413">
        <v>0</v>
      </c>
    </row>
    <row r="135" spans="1:11" ht="14.4" customHeight="1" thickBot="1" x14ac:dyDescent="0.35">
      <c r="A135" s="431" t="s">
        <v>379</v>
      </c>
      <c r="B135" s="409">
        <v>20.572702056817</v>
      </c>
      <c r="C135" s="409">
        <v>64.533230000000003</v>
      </c>
      <c r="D135" s="410">
        <v>43.960527943182001</v>
      </c>
      <c r="E135" s="411">
        <v>3.1368378262499998</v>
      </c>
      <c r="F135" s="409">
        <v>53.866428570171998</v>
      </c>
      <c r="G135" s="410">
        <v>8.9777380950280001</v>
      </c>
      <c r="H135" s="412">
        <v>0.69335000000000002</v>
      </c>
      <c r="I135" s="409">
        <v>1.1977</v>
      </c>
      <c r="J135" s="410">
        <v>-7.7800380950279999</v>
      </c>
      <c r="K135" s="413">
        <v>2.2234627981999999E-2</v>
      </c>
    </row>
    <row r="136" spans="1:11" ht="14.4" customHeight="1" thickBot="1" x14ac:dyDescent="0.35">
      <c r="A136" s="431" t="s">
        <v>380</v>
      </c>
      <c r="B136" s="409">
        <v>1168.7326855625899</v>
      </c>
      <c r="C136" s="409">
        <v>1024.3707099999999</v>
      </c>
      <c r="D136" s="410">
        <v>-144.36197556258799</v>
      </c>
      <c r="E136" s="411">
        <v>0.87647990225100003</v>
      </c>
      <c r="F136" s="409">
        <v>1004.98831882298</v>
      </c>
      <c r="G136" s="410">
        <v>167.49805313716399</v>
      </c>
      <c r="H136" s="412">
        <v>57.658729999999998</v>
      </c>
      <c r="I136" s="409">
        <v>139.34594000000001</v>
      </c>
      <c r="J136" s="410">
        <v>-28.152113137162999</v>
      </c>
      <c r="K136" s="413">
        <v>0.138654288204</v>
      </c>
    </row>
    <row r="137" spans="1:11" ht="14.4" customHeight="1" thickBot="1" x14ac:dyDescent="0.35">
      <c r="A137" s="430" t="s">
        <v>381</v>
      </c>
      <c r="B137" s="414">
        <v>37.000000000009003</v>
      </c>
      <c r="C137" s="414">
        <v>10.39284</v>
      </c>
      <c r="D137" s="415">
        <v>-26.607160000008999</v>
      </c>
      <c r="E137" s="421">
        <v>0.28088756756700001</v>
      </c>
      <c r="F137" s="414">
        <v>12.000001203223</v>
      </c>
      <c r="G137" s="415">
        <v>2.0000002005369999</v>
      </c>
      <c r="H137" s="417">
        <v>0.47477000000000003</v>
      </c>
      <c r="I137" s="414">
        <v>0.68998000000000004</v>
      </c>
      <c r="J137" s="415">
        <v>-1.3100202005370001</v>
      </c>
      <c r="K137" s="422">
        <v>5.7498327568000003E-2</v>
      </c>
    </row>
    <row r="138" spans="1:11" ht="14.4" customHeight="1" thickBot="1" x14ac:dyDescent="0.35">
      <c r="A138" s="431" t="s">
        <v>382</v>
      </c>
      <c r="B138" s="409">
        <v>37.000000000009003</v>
      </c>
      <c r="C138" s="409">
        <v>10.39284</v>
      </c>
      <c r="D138" s="410">
        <v>-26.607160000008999</v>
      </c>
      <c r="E138" s="411">
        <v>0.28088756756700001</v>
      </c>
      <c r="F138" s="409">
        <v>12.000001203223</v>
      </c>
      <c r="G138" s="410">
        <v>2.0000002005369999</v>
      </c>
      <c r="H138" s="412">
        <v>0.47477000000000003</v>
      </c>
      <c r="I138" s="409">
        <v>0.68998000000000004</v>
      </c>
      <c r="J138" s="410">
        <v>-1.3100202005370001</v>
      </c>
      <c r="K138" s="413">
        <v>5.7498327568000003E-2</v>
      </c>
    </row>
    <row r="139" spans="1:11" ht="14.4" customHeight="1" thickBot="1" x14ac:dyDescent="0.35">
      <c r="A139" s="430" t="s">
        <v>383</v>
      </c>
      <c r="B139" s="414">
        <v>3.4765642704049999</v>
      </c>
      <c r="C139" s="414">
        <v>0.13170999999999999</v>
      </c>
      <c r="D139" s="415">
        <v>-3.3448542704049999</v>
      </c>
      <c r="E139" s="421">
        <v>3.7885104301999997E-2</v>
      </c>
      <c r="F139" s="414">
        <v>15.000001504028999</v>
      </c>
      <c r="G139" s="415">
        <v>2.500000250671</v>
      </c>
      <c r="H139" s="417">
        <v>0.156</v>
      </c>
      <c r="I139" s="414">
        <v>0.156</v>
      </c>
      <c r="J139" s="415">
        <v>-2.3440002506709998</v>
      </c>
      <c r="K139" s="422">
        <v>1.0399998957000001E-2</v>
      </c>
    </row>
    <row r="140" spans="1:11" ht="14.4" customHeight="1" thickBot="1" x14ac:dyDescent="0.35">
      <c r="A140" s="431" t="s">
        <v>384</v>
      </c>
      <c r="B140" s="409">
        <v>3.4765642704049999</v>
      </c>
      <c r="C140" s="409">
        <v>0.74102999999999997</v>
      </c>
      <c r="D140" s="410">
        <v>-2.7355342704050001</v>
      </c>
      <c r="E140" s="411">
        <v>0.213150093702</v>
      </c>
      <c r="F140" s="409">
        <v>0</v>
      </c>
      <c r="G140" s="410">
        <v>0</v>
      </c>
      <c r="H140" s="412">
        <v>0</v>
      </c>
      <c r="I140" s="409">
        <v>0</v>
      </c>
      <c r="J140" s="410">
        <v>0</v>
      </c>
      <c r="K140" s="420" t="s">
        <v>252</v>
      </c>
    </row>
    <row r="141" spans="1:11" ht="14.4" customHeight="1" thickBot="1" x14ac:dyDescent="0.35">
      <c r="A141" s="431" t="s">
        <v>385</v>
      </c>
      <c r="B141" s="409">
        <v>0</v>
      </c>
      <c r="C141" s="409">
        <v>-0.60931999999999997</v>
      </c>
      <c r="D141" s="410">
        <v>-0.60931999999999997</v>
      </c>
      <c r="E141" s="419" t="s">
        <v>282</v>
      </c>
      <c r="F141" s="409">
        <v>15.000001504028999</v>
      </c>
      <c r="G141" s="410">
        <v>2.500000250671</v>
      </c>
      <c r="H141" s="412">
        <v>0.156</v>
      </c>
      <c r="I141" s="409">
        <v>0.156</v>
      </c>
      <c r="J141" s="410">
        <v>-2.3440002506709998</v>
      </c>
      <c r="K141" s="413">
        <v>1.0399998957000001E-2</v>
      </c>
    </row>
    <row r="142" spans="1:11" ht="14.4" customHeight="1" thickBot="1" x14ac:dyDescent="0.35">
      <c r="A142" s="430" t="s">
        <v>386</v>
      </c>
      <c r="B142" s="414">
        <v>0</v>
      </c>
      <c r="C142" s="414">
        <v>-47.832000000000001</v>
      </c>
      <c r="D142" s="415">
        <v>-47.832000000000001</v>
      </c>
      <c r="E142" s="416" t="s">
        <v>282</v>
      </c>
      <c r="F142" s="414">
        <v>0</v>
      </c>
      <c r="G142" s="415">
        <v>0</v>
      </c>
      <c r="H142" s="417">
        <v>0</v>
      </c>
      <c r="I142" s="414">
        <v>0</v>
      </c>
      <c r="J142" s="415">
        <v>0</v>
      </c>
      <c r="K142" s="418" t="s">
        <v>252</v>
      </c>
    </row>
    <row r="143" spans="1:11" ht="14.4" customHeight="1" thickBot="1" x14ac:dyDescent="0.35">
      <c r="A143" s="431" t="s">
        <v>387</v>
      </c>
      <c r="B143" s="409">
        <v>0</v>
      </c>
      <c r="C143" s="409">
        <v>-47.832000000000001</v>
      </c>
      <c r="D143" s="410">
        <v>-47.832000000000001</v>
      </c>
      <c r="E143" s="419" t="s">
        <v>282</v>
      </c>
      <c r="F143" s="409">
        <v>0</v>
      </c>
      <c r="G143" s="410">
        <v>0</v>
      </c>
      <c r="H143" s="412">
        <v>0</v>
      </c>
      <c r="I143" s="409">
        <v>0</v>
      </c>
      <c r="J143" s="410">
        <v>0</v>
      </c>
      <c r="K143" s="420" t="s">
        <v>252</v>
      </c>
    </row>
    <row r="144" spans="1:11" ht="14.4" customHeight="1" thickBot="1" x14ac:dyDescent="0.35">
      <c r="A144" s="430" t="s">
        <v>388</v>
      </c>
      <c r="B144" s="414">
        <v>4344.0000000011396</v>
      </c>
      <c r="C144" s="414">
        <v>2256.0573199999999</v>
      </c>
      <c r="D144" s="415">
        <v>-2087.9426800011402</v>
      </c>
      <c r="E144" s="421">
        <v>0.51935021178600005</v>
      </c>
      <c r="F144" s="414">
        <v>4783.00047958499</v>
      </c>
      <c r="G144" s="415">
        <v>797.16674659749799</v>
      </c>
      <c r="H144" s="417">
        <v>191.63982999999999</v>
      </c>
      <c r="I144" s="414">
        <v>366.81849</v>
      </c>
      <c r="J144" s="415">
        <v>-430.34825659749799</v>
      </c>
      <c r="K144" s="422">
        <v>7.6692129043999996E-2</v>
      </c>
    </row>
    <row r="145" spans="1:11" ht="14.4" customHeight="1" thickBot="1" x14ac:dyDescent="0.35">
      <c r="A145" s="431" t="s">
        <v>389</v>
      </c>
      <c r="B145" s="409">
        <v>1860.00000000049</v>
      </c>
      <c r="C145" s="409">
        <v>810.67801999999995</v>
      </c>
      <c r="D145" s="410">
        <v>-1049.3219800004899</v>
      </c>
      <c r="E145" s="411">
        <v>0.43584839784899998</v>
      </c>
      <c r="F145" s="409">
        <v>2083.0002088596102</v>
      </c>
      <c r="G145" s="410">
        <v>347.16670147660199</v>
      </c>
      <c r="H145" s="412">
        <v>66.677869999999999</v>
      </c>
      <c r="I145" s="409">
        <v>135.42335</v>
      </c>
      <c r="J145" s="410">
        <v>-211.74335147660199</v>
      </c>
      <c r="K145" s="413">
        <v>6.5013603658000005E-2</v>
      </c>
    </row>
    <row r="146" spans="1:11" ht="14.4" customHeight="1" thickBot="1" x14ac:dyDescent="0.35">
      <c r="A146" s="431" t="s">
        <v>390</v>
      </c>
      <c r="B146" s="409">
        <v>2484.0000000006498</v>
      </c>
      <c r="C146" s="409">
        <v>1445.3793000000001</v>
      </c>
      <c r="D146" s="410">
        <v>-1038.62070000065</v>
      </c>
      <c r="E146" s="411">
        <v>0.58187572463699999</v>
      </c>
      <c r="F146" s="409">
        <v>2700.0002707253698</v>
      </c>
      <c r="G146" s="410">
        <v>450.000045120896</v>
      </c>
      <c r="H146" s="412">
        <v>124.96196</v>
      </c>
      <c r="I146" s="409">
        <v>231.39514</v>
      </c>
      <c r="J146" s="410">
        <v>-218.60490512089601</v>
      </c>
      <c r="K146" s="413">
        <v>8.5701895109999995E-2</v>
      </c>
    </row>
    <row r="147" spans="1:11" ht="14.4" customHeight="1" thickBot="1" x14ac:dyDescent="0.35">
      <c r="A147" s="430" t="s">
        <v>391</v>
      </c>
      <c r="B147" s="414">
        <v>0</v>
      </c>
      <c r="C147" s="414">
        <v>104.92018</v>
      </c>
      <c r="D147" s="415">
        <v>104.92018</v>
      </c>
      <c r="E147" s="416" t="s">
        <v>252</v>
      </c>
      <c r="F147" s="414">
        <v>0</v>
      </c>
      <c r="G147" s="415">
        <v>0</v>
      </c>
      <c r="H147" s="417">
        <v>1.0499999999999999E-3</v>
      </c>
      <c r="I147" s="414">
        <v>1.0499999999999999E-3</v>
      </c>
      <c r="J147" s="415">
        <v>1.0499999999999999E-3</v>
      </c>
      <c r="K147" s="418" t="s">
        <v>252</v>
      </c>
    </row>
    <row r="148" spans="1:11" ht="14.4" customHeight="1" thickBot="1" x14ac:dyDescent="0.35">
      <c r="A148" s="431" t="s">
        <v>392</v>
      </c>
      <c r="B148" s="409">
        <v>0</v>
      </c>
      <c r="C148" s="409">
        <v>19.59929</v>
      </c>
      <c r="D148" s="410">
        <v>19.59929</v>
      </c>
      <c r="E148" s="419" t="s">
        <v>252</v>
      </c>
      <c r="F148" s="409">
        <v>0</v>
      </c>
      <c r="G148" s="410">
        <v>0</v>
      </c>
      <c r="H148" s="412">
        <v>0</v>
      </c>
      <c r="I148" s="409">
        <v>0</v>
      </c>
      <c r="J148" s="410">
        <v>0</v>
      </c>
      <c r="K148" s="420" t="s">
        <v>252</v>
      </c>
    </row>
    <row r="149" spans="1:11" ht="14.4" customHeight="1" thickBot="1" x14ac:dyDescent="0.35">
      <c r="A149" s="431" t="s">
        <v>393</v>
      </c>
      <c r="B149" s="409">
        <v>0</v>
      </c>
      <c r="C149" s="409">
        <v>85.320890000000006</v>
      </c>
      <c r="D149" s="410">
        <v>85.320890000000006</v>
      </c>
      <c r="E149" s="419" t="s">
        <v>252</v>
      </c>
      <c r="F149" s="409">
        <v>0</v>
      </c>
      <c r="G149" s="410">
        <v>0</v>
      </c>
      <c r="H149" s="412">
        <v>1.0499999999999999E-3</v>
      </c>
      <c r="I149" s="409">
        <v>1.0499999999999999E-3</v>
      </c>
      <c r="J149" s="410">
        <v>1.0499999999999999E-3</v>
      </c>
      <c r="K149" s="420" t="s">
        <v>252</v>
      </c>
    </row>
    <row r="150" spans="1:11" ht="14.4" customHeight="1" thickBot="1" x14ac:dyDescent="0.35">
      <c r="A150" s="428" t="s">
        <v>394</v>
      </c>
      <c r="B150" s="409">
        <v>4</v>
      </c>
      <c r="C150" s="409">
        <v>18.33436</v>
      </c>
      <c r="D150" s="410">
        <v>14.33436</v>
      </c>
      <c r="E150" s="411">
        <v>4.5835900000000001</v>
      </c>
      <c r="F150" s="409">
        <v>6.6447614319869999</v>
      </c>
      <c r="G150" s="410">
        <v>1.107460238664</v>
      </c>
      <c r="H150" s="412">
        <v>-6.0000000000000002E-5</v>
      </c>
      <c r="I150" s="409">
        <v>-2.1000000000000001E-4</v>
      </c>
      <c r="J150" s="410">
        <v>-1.1076702386640001</v>
      </c>
      <c r="K150" s="413">
        <v>-3.1603843441103E-5</v>
      </c>
    </row>
    <row r="151" spans="1:11" ht="14.4" customHeight="1" thickBot="1" x14ac:dyDescent="0.35">
      <c r="A151" s="429" t="s">
        <v>395</v>
      </c>
      <c r="B151" s="409">
        <v>0</v>
      </c>
      <c r="C151" s="409">
        <v>12.881069999999999</v>
      </c>
      <c r="D151" s="410">
        <v>12.881069999999999</v>
      </c>
      <c r="E151" s="419" t="s">
        <v>252</v>
      </c>
      <c r="F151" s="409">
        <v>0</v>
      </c>
      <c r="G151" s="410">
        <v>0</v>
      </c>
      <c r="H151" s="412">
        <v>0</v>
      </c>
      <c r="I151" s="409">
        <v>0</v>
      </c>
      <c r="J151" s="410">
        <v>0</v>
      </c>
      <c r="K151" s="420" t="s">
        <v>252</v>
      </c>
    </row>
    <row r="152" spans="1:11" ht="14.4" customHeight="1" thickBot="1" x14ac:dyDescent="0.35">
      <c r="A152" s="430" t="s">
        <v>396</v>
      </c>
      <c r="B152" s="414">
        <v>0</v>
      </c>
      <c r="C152" s="414">
        <v>12.881069999999999</v>
      </c>
      <c r="D152" s="415">
        <v>12.881069999999999</v>
      </c>
      <c r="E152" s="416" t="s">
        <v>252</v>
      </c>
      <c r="F152" s="414">
        <v>0</v>
      </c>
      <c r="G152" s="415">
        <v>0</v>
      </c>
      <c r="H152" s="417">
        <v>0</v>
      </c>
      <c r="I152" s="414">
        <v>0</v>
      </c>
      <c r="J152" s="415">
        <v>0</v>
      </c>
      <c r="K152" s="418" t="s">
        <v>252</v>
      </c>
    </row>
    <row r="153" spans="1:11" ht="14.4" customHeight="1" thickBot="1" x14ac:dyDescent="0.35">
      <c r="A153" s="431" t="s">
        <v>397</v>
      </c>
      <c r="B153" s="409">
        <v>0</v>
      </c>
      <c r="C153" s="409">
        <v>12.881069999999999</v>
      </c>
      <c r="D153" s="410">
        <v>12.881069999999999</v>
      </c>
      <c r="E153" s="419" t="s">
        <v>252</v>
      </c>
      <c r="F153" s="409">
        <v>0</v>
      </c>
      <c r="G153" s="410">
        <v>0</v>
      </c>
      <c r="H153" s="412">
        <v>0</v>
      </c>
      <c r="I153" s="409">
        <v>0</v>
      </c>
      <c r="J153" s="410">
        <v>0</v>
      </c>
      <c r="K153" s="420" t="s">
        <v>252</v>
      </c>
    </row>
    <row r="154" spans="1:11" ht="14.4" customHeight="1" thickBot="1" x14ac:dyDescent="0.35">
      <c r="A154" s="434" t="s">
        <v>398</v>
      </c>
      <c r="B154" s="414">
        <v>4</v>
      </c>
      <c r="C154" s="414">
        <v>5.45329</v>
      </c>
      <c r="D154" s="415">
        <v>1.45329</v>
      </c>
      <c r="E154" s="421">
        <v>1.3633225</v>
      </c>
      <c r="F154" s="414">
        <v>6.6447614319869999</v>
      </c>
      <c r="G154" s="415">
        <v>1.107460238664</v>
      </c>
      <c r="H154" s="417">
        <v>-6.0000000000000002E-5</v>
      </c>
      <c r="I154" s="414">
        <v>-2.1000000000000001E-4</v>
      </c>
      <c r="J154" s="415">
        <v>-1.1076702386640001</v>
      </c>
      <c r="K154" s="422">
        <v>-3.1603843441103E-5</v>
      </c>
    </row>
    <row r="155" spans="1:11" ht="14.4" customHeight="1" thickBot="1" x14ac:dyDescent="0.35">
      <c r="A155" s="430" t="s">
        <v>399</v>
      </c>
      <c r="B155" s="414">
        <v>0</v>
      </c>
      <c r="C155" s="414">
        <v>1.58E-3</v>
      </c>
      <c r="D155" s="415">
        <v>1.58E-3</v>
      </c>
      <c r="E155" s="416" t="s">
        <v>252</v>
      </c>
      <c r="F155" s="414">
        <v>0</v>
      </c>
      <c r="G155" s="415">
        <v>0</v>
      </c>
      <c r="H155" s="417">
        <v>-6.0000000000000002E-5</v>
      </c>
      <c r="I155" s="414">
        <v>-2.1000000000000001E-4</v>
      </c>
      <c r="J155" s="415">
        <v>-2.1000000000000001E-4</v>
      </c>
      <c r="K155" s="418" t="s">
        <v>252</v>
      </c>
    </row>
    <row r="156" spans="1:11" ht="14.4" customHeight="1" thickBot="1" x14ac:dyDescent="0.35">
      <c r="A156" s="431" t="s">
        <v>400</v>
      </c>
      <c r="B156" s="409">
        <v>0</v>
      </c>
      <c r="C156" s="409">
        <v>1.58E-3</v>
      </c>
      <c r="D156" s="410">
        <v>1.58E-3</v>
      </c>
      <c r="E156" s="419" t="s">
        <v>252</v>
      </c>
      <c r="F156" s="409">
        <v>0</v>
      </c>
      <c r="G156" s="410">
        <v>0</v>
      </c>
      <c r="H156" s="412">
        <v>-6.0000000000000002E-5</v>
      </c>
      <c r="I156" s="409">
        <v>-2.1000000000000001E-4</v>
      </c>
      <c r="J156" s="410">
        <v>-2.1000000000000001E-4</v>
      </c>
      <c r="K156" s="420" t="s">
        <v>252</v>
      </c>
    </row>
    <row r="157" spans="1:11" ht="14.4" customHeight="1" thickBot="1" x14ac:dyDescent="0.35">
      <c r="A157" s="430" t="s">
        <v>401</v>
      </c>
      <c r="B157" s="414">
        <v>4</v>
      </c>
      <c r="C157" s="414">
        <v>5.37188</v>
      </c>
      <c r="D157" s="415">
        <v>1.37188</v>
      </c>
      <c r="E157" s="421">
        <v>1.34297</v>
      </c>
      <c r="F157" s="414">
        <v>6.6447614319869999</v>
      </c>
      <c r="G157" s="415">
        <v>1.107460238664</v>
      </c>
      <c r="H157" s="417">
        <v>0</v>
      </c>
      <c r="I157" s="414">
        <v>0</v>
      </c>
      <c r="J157" s="415">
        <v>-1.107460238664</v>
      </c>
      <c r="K157" s="422">
        <v>0</v>
      </c>
    </row>
    <row r="158" spans="1:11" ht="14.4" customHeight="1" thickBot="1" x14ac:dyDescent="0.35">
      <c r="A158" s="431" t="s">
        <v>402</v>
      </c>
      <c r="B158" s="409">
        <v>4</v>
      </c>
      <c r="C158" s="409">
        <v>5.37188</v>
      </c>
      <c r="D158" s="410">
        <v>1.37188</v>
      </c>
      <c r="E158" s="411">
        <v>1.34297</v>
      </c>
      <c r="F158" s="409">
        <v>6.6447614319869999</v>
      </c>
      <c r="G158" s="410">
        <v>1.107460238664</v>
      </c>
      <c r="H158" s="412">
        <v>0</v>
      </c>
      <c r="I158" s="409">
        <v>0</v>
      </c>
      <c r="J158" s="410">
        <v>-1.107460238664</v>
      </c>
      <c r="K158" s="413">
        <v>0</v>
      </c>
    </row>
    <row r="159" spans="1:11" ht="14.4" customHeight="1" thickBot="1" x14ac:dyDescent="0.35">
      <c r="A159" s="430" t="s">
        <v>403</v>
      </c>
      <c r="B159" s="414">
        <v>0</v>
      </c>
      <c r="C159" s="414">
        <v>7.9829999999999998E-2</v>
      </c>
      <c r="D159" s="415">
        <v>7.9829999999999998E-2</v>
      </c>
      <c r="E159" s="416" t="s">
        <v>282</v>
      </c>
      <c r="F159" s="414">
        <v>0</v>
      </c>
      <c r="G159" s="415">
        <v>0</v>
      </c>
      <c r="H159" s="417">
        <v>0</v>
      </c>
      <c r="I159" s="414">
        <v>0</v>
      </c>
      <c r="J159" s="415">
        <v>0</v>
      </c>
      <c r="K159" s="418" t="s">
        <v>252</v>
      </c>
    </row>
    <row r="160" spans="1:11" ht="14.4" customHeight="1" thickBot="1" x14ac:dyDescent="0.35">
      <c r="A160" s="431" t="s">
        <v>404</v>
      </c>
      <c r="B160" s="409">
        <v>0</v>
      </c>
      <c r="C160" s="409">
        <v>7.9829999999999998E-2</v>
      </c>
      <c r="D160" s="410">
        <v>7.9829999999999998E-2</v>
      </c>
      <c r="E160" s="419" t="s">
        <v>282</v>
      </c>
      <c r="F160" s="409">
        <v>0</v>
      </c>
      <c r="G160" s="410">
        <v>0</v>
      </c>
      <c r="H160" s="412">
        <v>0</v>
      </c>
      <c r="I160" s="409">
        <v>0</v>
      </c>
      <c r="J160" s="410">
        <v>0</v>
      </c>
      <c r="K160" s="420" t="s">
        <v>252</v>
      </c>
    </row>
    <row r="161" spans="1:11" ht="14.4" customHeight="1" thickBot="1" x14ac:dyDescent="0.35">
      <c r="A161" s="427" t="s">
        <v>405</v>
      </c>
      <c r="B161" s="409">
        <v>1677.07895837359</v>
      </c>
      <c r="C161" s="409">
        <v>1594.85402</v>
      </c>
      <c r="D161" s="410">
        <v>-82.224938373590007</v>
      </c>
      <c r="E161" s="411">
        <v>0.95097133741700002</v>
      </c>
      <c r="F161" s="409">
        <v>0</v>
      </c>
      <c r="G161" s="410">
        <v>0</v>
      </c>
      <c r="H161" s="412">
        <v>111.4901</v>
      </c>
      <c r="I161" s="409">
        <v>240.25577999999999</v>
      </c>
      <c r="J161" s="410">
        <v>240.25577999999999</v>
      </c>
      <c r="K161" s="420" t="s">
        <v>282</v>
      </c>
    </row>
    <row r="162" spans="1:11" ht="14.4" customHeight="1" thickBot="1" x14ac:dyDescent="0.35">
      <c r="A162" s="432" t="s">
        <v>406</v>
      </c>
      <c r="B162" s="414">
        <v>1677.07895837359</v>
      </c>
      <c r="C162" s="414">
        <v>1594.85402</v>
      </c>
      <c r="D162" s="415">
        <v>-82.224938373590007</v>
      </c>
      <c r="E162" s="421">
        <v>0.95097133741700002</v>
      </c>
      <c r="F162" s="414">
        <v>0</v>
      </c>
      <c r="G162" s="415">
        <v>0</v>
      </c>
      <c r="H162" s="417">
        <v>111.4901</v>
      </c>
      <c r="I162" s="414">
        <v>240.25577999999999</v>
      </c>
      <c r="J162" s="415">
        <v>240.25577999999999</v>
      </c>
      <c r="K162" s="418" t="s">
        <v>282</v>
      </c>
    </row>
    <row r="163" spans="1:11" ht="14.4" customHeight="1" thickBot="1" x14ac:dyDescent="0.35">
      <c r="A163" s="434" t="s">
        <v>54</v>
      </c>
      <c r="B163" s="414">
        <v>1677.07895837359</v>
      </c>
      <c r="C163" s="414">
        <v>1594.85402</v>
      </c>
      <c r="D163" s="415">
        <v>-82.224938373590007</v>
      </c>
      <c r="E163" s="421">
        <v>0.95097133741700002</v>
      </c>
      <c r="F163" s="414">
        <v>0</v>
      </c>
      <c r="G163" s="415">
        <v>0</v>
      </c>
      <c r="H163" s="417">
        <v>111.4901</v>
      </c>
      <c r="I163" s="414">
        <v>240.25577999999999</v>
      </c>
      <c r="J163" s="415">
        <v>240.25577999999999</v>
      </c>
      <c r="K163" s="418" t="s">
        <v>282</v>
      </c>
    </row>
    <row r="164" spans="1:11" ht="14.4" customHeight="1" thickBot="1" x14ac:dyDescent="0.35">
      <c r="A164" s="430" t="s">
        <v>407</v>
      </c>
      <c r="B164" s="414">
        <v>21.673197557361998</v>
      </c>
      <c r="C164" s="414">
        <v>20.23725</v>
      </c>
      <c r="D164" s="415">
        <v>-1.435947557362</v>
      </c>
      <c r="E164" s="421">
        <v>0.93374546817199999</v>
      </c>
      <c r="F164" s="414">
        <v>0</v>
      </c>
      <c r="G164" s="415">
        <v>0</v>
      </c>
      <c r="H164" s="417">
        <v>1.6859999999999999</v>
      </c>
      <c r="I164" s="414">
        <v>3.3719999999999999</v>
      </c>
      <c r="J164" s="415">
        <v>3.3719999999999999</v>
      </c>
      <c r="K164" s="418" t="s">
        <v>282</v>
      </c>
    </row>
    <row r="165" spans="1:11" ht="14.4" customHeight="1" thickBot="1" x14ac:dyDescent="0.35">
      <c r="A165" s="431" t="s">
        <v>408</v>
      </c>
      <c r="B165" s="409">
        <v>21.673197557361998</v>
      </c>
      <c r="C165" s="409">
        <v>20.23725</v>
      </c>
      <c r="D165" s="410">
        <v>-1.435947557362</v>
      </c>
      <c r="E165" s="411">
        <v>0.93374546817199999</v>
      </c>
      <c r="F165" s="409">
        <v>0</v>
      </c>
      <c r="G165" s="410">
        <v>0</v>
      </c>
      <c r="H165" s="412">
        <v>1.6859999999999999</v>
      </c>
      <c r="I165" s="409">
        <v>3.3719999999999999</v>
      </c>
      <c r="J165" s="410">
        <v>3.3719999999999999</v>
      </c>
      <c r="K165" s="420" t="s">
        <v>282</v>
      </c>
    </row>
    <row r="166" spans="1:11" ht="14.4" customHeight="1" thickBot="1" x14ac:dyDescent="0.35">
      <c r="A166" s="430" t="s">
        <v>409</v>
      </c>
      <c r="B166" s="414">
        <v>11.871174505629</v>
      </c>
      <c r="C166" s="414">
        <v>9.2784999999999993</v>
      </c>
      <c r="D166" s="415">
        <v>-2.5926745056290001</v>
      </c>
      <c r="E166" s="421">
        <v>0.78159915816199999</v>
      </c>
      <c r="F166" s="414">
        <v>0</v>
      </c>
      <c r="G166" s="415">
        <v>0</v>
      </c>
      <c r="H166" s="417">
        <v>0.81100000000000005</v>
      </c>
      <c r="I166" s="414">
        <v>1.546</v>
      </c>
      <c r="J166" s="415">
        <v>1.546</v>
      </c>
      <c r="K166" s="418" t="s">
        <v>282</v>
      </c>
    </row>
    <row r="167" spans="1:11" ht="14.4" customHeight="1" thickBot="1" x14ac:dyDescent="0.35">
      <c r="A167" s="431" t="s">
        <v>410</v>
      </c>
      <c r="B167" s="409">
        <v>2.5884645362429999</v>
      </c>
      <c r="C167" s="409">
        <v>2.59</v>
      </c>
      <c r="D167" s="410">
        <v>1.5354637559999999E-3</v>
      </c>
      <c r="E167" s="411">
        <v>1.00059319482</v>
      </c>
      <c r="F167" s="409">
        <v>0</v>
      </c>
      <c r="G167" s="410">
        <v>0</v>
      </c>
      <c r="H167" s="412">
        <v>0.37</v>
      </c>
      <c r="I167" s="409">
        <v>0.37</v>
      </c>
      <c r="J167" s="410">
        <v>0.37</v>
      </c>
      <c r="K167" s="420" t="s">
        <v>282</v>
      </c>
    </row>
    <row r="168" spans="1:11" ht="14.4" customHeight="1" thickBot="1" x14ac:dyDescent="0.35">
      <c r="A168" s="431" t="s">
        <v>411</v>
      </c>
      <c r="B168" s="409">
        <v>9.2827099693859996</v>
      </c>
      <c r="C168" s="409">
        <v>6.6885000000000003</v>
      </c>
      <c r="D168" s="410">
        <v>-2.5942099693860001</v>
      </c>
      <c r="E168" s="411">
        <v>0.72053312255299995</v>
      </c>
      <c r="F168" s="409">
        <v>0</v>
      </c>
      <c r="G168" s="410">
        <v>0</v>
      </c>
      <c r="H168" s="412">
        <v>0.441</v>
      </c>
      <c r="I168" s="409">
        <v>1.1759999999999999</v>
      </c>
      <c r="J168" s="410">
        <v>1.1759999999999999</v>
      </c>
      <c r="K168" s="420" t="s">
        <v>282</v>
      </c>
    </row>
    <row r="169" spans="1:11" ht="14.4" customHeight="1" thickBot="1" x14ac:dyDescent="0.35">
      <c r="A169" s="430" t="s">
        <v>412</v>
      </c>
      <c r="B169" s="414">
        <v>46.48942695961</v>
      </c>
      <c r="C169" s="414">
        <v>39.592919999999999</v>
      </c>
      <c r="D169" s="415">
        <v>-6.8965069596099999</v>
      </c>
      <c r="E169" s="421">
        <v>0.85165429193999997</v>
      </c>
      <c r="F169" s="414">
        <v>0</v>
      </c>
      <c r="G169" s="415">
        <v>0</v>
      </c>
      <c r="H169" s="417">
        <v>2.8783099999999999</v>
      </c>
      <c r="I169" s="414">
        <v>5.7920100000000003</v>
      </c>
      <c r="J169" s="415">
        <v>5.7920100000000003</v>
      </c>
      <c r="K169" s="418" t="s">
        <v>282</v>
      </c>
    </row>
    <row r="170" spans="1:11" ht="14.4" customHeight="1" thickBot="1" x14ac:dyDescent="0.35">
      <c r="A170" s="431" t="s">
        <v>413</v>
      </c>
      <c r="B170" s="409">
        <v>46.48942695961</v>
      </c>
      <c r="C170" s="409">
        <v>39.592919999999999</v>
      </c>
      <c r="D170" s="410">
        <v>-6.8965069596099999</v>
      </c>
      <c r="E170" s="411">
        <v>0.85165429193999997</v>
      </c>
      <c r="F170" s="409">
        <v>0</v>
      </c>
      <c r="G170" s="410">
        <v>0</v>
      </c>
      <c r="H170" s="412">
        <v>2.8783099999999999</v>
      </c>
      <c r="I170" s="409">
        <v>5.7920100000000003</v>
      </c>
      <c r="J170" s="410">
        <v>5.7920100000000003</v>
      </c>
      <c r="K170" s="420" t="s">
        <v>282</v>
      </c>
    </row>
    <row r="171" spans="1:11" ht="14.4" customHeight="1" thickBot="1" x14ac:dyDescent="0.35">
      <c r="A171" s="430" t="s">
        <v>414</v>
      </c>
      <c r="B171" s="414">
        <v>0</v>
      </c>
      <c r="C171" s="414">
        <v>2.3210000000000002</v>
      </c>
      <c r="D171" s="415">
        <v>2.3210000000000002</v>
      </c>
      <c r="E171" s="416" t="s">
        <v>252</v>
      </c>
      <c r="F171" s="414">
        <v>0</v>
      </c>
      <c r="G171" s="415">
        <v>0</v>
      </c>
      <c r="H171" s="417">
        <v>6.6000000000000003E-2</v>
      </c>
      <c r="I171" s="414">
        <v>0.71</v>
      </c>
      <c r="J171" s="415">
        <v>0.71</v>
      </c>
      <c r="K171" s="418" t="s">
        <v>282</v>
      </c>
    </row>
    <row r="172" spans="1:11" ht="14.4" customHeight="1" thickBot="1" x14ac:dyDescent="0.35">
      <c r="A172" s="431" t="s">
        <v>415</v>
      </c>
      <c r="B172" s="409">
        <v>0</v>
      </c>
      <c r="C172" s="409">
        <v>2.3210000000000002</v>
      </c>
      <c r="D172" s="410">
        <v>2.3210000000000002</v>
      </c>
      <c r="E172" s="419" t="s">
        <v>252</v>
      </c>
      <c r="F172" s="409">
        <v>0</v>
      </c>
      <c r="G172" s="410">
        <v>0</v>
      </c>
      <c r="H172" s="412">
        <v>6.6000000000000003E-2</v>
      </c>
      <c r="I172" s="409">
        <v>0.71</v>
      </c>
      <c r="J172" s="410">
        <v>0.71</v>
      </c>
      <c r="K172" s="420" t="s">
        <v>282</v>
      </c>
    </row>
    <row r="173" spans="1:11" ht="14.4" customHeight="1" thickBot="1" x14ac:dyDescent="0.35">
      <c r="A173" s="430" t="s">
        <v>416</v>
      </c>
      <c r="B173" s="414">
        <v>439</v>
      </c>
      <c r="C173" s="414">
        <v>400.04279000000002</v>
      </c>
      <c r="D173" s="415">
        <v>-38.957209999999002</v>
      </c>
      <c r="E173" s="421">
        <v>0.91125920273299998</v>
      </c>
      <c r="F173" s="414">
        <v>0</v>
      </c>
      <c r="G173" s="415">
        <v>0</v>
      </c>
      <c r="H173" s="417">
        <v>28.484279999999998</v>
      </c>
      <c r="I173" s="414">
        <v>49.702840000000002</v>
      </c>
      <c r="J173" s="415">
        <v>49.702840000000002</v>
      </c>
      <c r="K173" s="418" t="s">
        <v>282</v>
      </c>
    </row>
    <row r="174" spans="1:11" ht="14.4" customHeight="1" thickBot="1" x14ac:dyDescent="0.35">
      <c r="A174" s="431" t="s">
        <v>417</v>
      </c>
      <c r="B174" s="409">
        <v>439</v>
      </c>
      <c r="C174" s="409">
        <v>400.04279000000002</v>
      </c>
      <c r="D174" s="410">
        <v>-38.957209999999002</v>
      </c>
      <c r="E174" s="411">
        <v>0.91125920273299998</v>
      </c>
      <c r="F174" s="409">
        <v>0</v>
      </c>
      <c r="G174" s="410">
        <v>0</v>
      </c>
      <c r="H174" s="412">
        <v>28.484279999999998</v>
      </c>
      <c r="I174" s="409">
        <v>49.702840000000002</v>
      </c>
      <c r="J174" s="410">
        <v>49.702840000000002</v>
      </c>
      <c r="K174" s="420" t="s">
        <v>282</v>
      </c>
    </row>
    <row r="175" spans="1:11" ht="14.4" customHeight="1" thickBot="1" x14ac:dyDescent="0.35">
      <c r="A175" s="430" t="s">
        <v>418</v>
      </c>
      <c r="B175" s="414">
        <v>0</v>
      </c>
      <c r="C175" s="414">
        <v>0.11</v>
      </c>
      <c r="D175" s="415">
        <v>0.11</v>
      </c>
      <c r="E175" s="416" t="s">
        <v>282</v>
      </c>
      <c r="F175" s="414">
        <v>0</v>
      </c>
      <c r="G175" s="415">
        <v>0</v>
      </c>
      <c r="H175" s="417">
        <v>0.93596999999999997</v>
      </c>
      <c r="I175" s="414">
        <v>0.93596999999999997</v>
      </c>
      <c r="J175" s="415">
        <v>0.93596999999999997</v>
      </c>
      <c r="K175" s="418" t="s">
        <v>282</v>
      </c>
    </row>
    <row r="176" spans="1:11" ht="14.4" customHeight="1" thickBot="1" x14ac:dyDescent="0.35">
      <c r="A176" s="431" t="s">
        <v>419</v>
      </c>
      <c r="B176" s="409">
        <v>0</v>
      </c>
      <c r="C176" s="409">
        <v>0.11</v>
      </c>
      <c r="D176" s="410">
        <v>0.11</v>
      </c>
      <c r="E176" s="419" t="s">
        <v>282</v>
      </c>
      <c r="F176" s="409">
        <v>0</v>
      </c>
      <c r="G176" s="410">
        <v>0</v>
      </c>
      <c r="H176" s="412">
        <v>0</v>
      </c>
      <c r="I176" s="409">
        <v>0</v>
      </c>
      <c r="J176" s="410">
        <v>0</v>
      </c>
      <c r="K176" s="413">
        <v>2</v>
      </c>
    </row>
    <row r="177" spans="1:11" ht="14.4" customHeight="1" thickBot="1" x14ac:dyDescent="0.35">
      <c r="A177" s="431" t="s">
        <v>420</v>
      </c>
      <c r="B177" s="409">
        <v>0</v>
      </c>
      <c r="C177" s="409">
        <v>0</v>
      </c>
      <c r="D177" s="410">
        <v>0</v>
      </c>
      <c r="E177" s="411">
        <v>1</v>
      </c>
      <c r="F177" s="409">
        <v>0</v>
      </c>
      <c r="G177" s="410">
        <v>0</v>
      </c>
      <c r="H177" s="412">
        <v>0.93596999999999997</v>
      </c>
      <c r="I177" s="409">
        <v>0.93596999999999997</v>
      </c>
      <c r="J177" s="410">
        <v>0.93596999999999997</v>
      </c>
      <c r="K177" s="420" t="s">
        <v>282</v>
      </c>
    </row>
    <row r="178" spans="1:11" ht="14.4" customHeight="1" thickBot="1" x14ac:dyDescent="0.35">
      <c r="A178" s="430" t="s">
        <v>421</v>
      </c>
      <c r="B178" s="414">
        <v>1158.0451593509899</v>
      </c>
      <c r="C178" s="414">
        <v>1123.2715599999999</v>
      </c>
      <c r="D178" s="415">
        <v>-34.773599350988</v>
      </c>
      <c r="E178" s="421">
        <v>0.96997215603300002</v>
      </c>
      <c r="F178" s="414">
        <v>0</v>
      </c>
      <c r="G178" s="415">
        <v>0</v>
      </c>
      <c r="H178" s="417">
        <v>76.628540000000001</v>
      </c>
      <c r="I178" s="414">
        <v>178.19695999999999</v>
      </c>
      <c r="J178" s="415">
        <v>178.19695999999999</v>
      </c>
      <c r="K178" s="418" t="s">
        <v>282</v>
      </c>
    </row>
    <row r="179" spans="1:11" ht="14.4" customHeight="1" thickBot="1" x14ac:dyDescent="0.35">
      <c r="A179" s="431" t="s">
        <v>422</v>
      </c>
      <c r="B179" s="409">
        <v>1158.0451593509899</v>
      </c>
      <c r="C179" s="409">
        <v>1123.2715599999999</v>
      </c>
      <c r="D179" s="410">
        <v>-34.773599350988</v>
      </c>
      <c r="E179" s="411">
        <v>0.96997215603300002</v>
      </c>
      <c r="F179" s="409">
        <v>0</v>
      </c>
      <c r="G179" s="410">
        <v>0</v>
      </c>
      <c r="H179" s="412">
        <v>76.628540000000001</v>
      </c>
      <c r="I179" s="409">
        <v>178.19695999999999</v>
      </c>
      <c r="J179" s="410">
        <v>178.19695999999999</v>
      </c>
      <c r="K179" s="420" t="s">
        <v>282</v>
      </c>
    </row>
    <row r="180" spans="1:11" ht="14.4" customHeight="1" thickBot="1" x14ac:dyDescent="0.35">
      <c r="A180" s="435" t="s">
        <v>423</v>
      </c>
      <c r="B180" s="414">
        <v>0</v>
      </c>
      <c r="C180" s="414">
        <v>9.58371</v>
      </c>
      <c r="D180" s="415">
        <v>9.58371</v>
      </c>
      <c r="E180" s="416" t="s">
        <v>252</v>
      </c>
      <c r="F180" s="414">
        <v>0</v>
      </c>
      <c r="G180" s="415">
        <v>0</v>
      </c>
      <c r="H180" s="417">
        <v>0.27132000000000001</v>
      </c>
      <c r="I180" s="414">
        <v>0.75283999999999995</v>
      </c>
      <c r="J180" s="415">
        <v>0.75283999999999995</v>
      </c>
      <c r="K180" s="418" t="s">
        <v>282</v>
      </c>
    </row>
    <row r="181" spans="1:11" ht="14.4" customHeight="1" thickBot="1" x14ac:dyDescent="0.35">
      <c r="A181" s="432" t="s">
        <v>424</v>
      </c>
      <c r="B181" s="414">
        <v>0</v>
      </c>
      <c r="C181" s="414">
        <v>9.58371</v>
      </c>
      <c r="D181" s="415">
        <v>9.58371</v>
      </c>
      <c r="E181" s="416" t="s">
        <v>252</v>
      </c>
      <c r="F181" s="414">
        <v>0</v>
      </c>
      <c r="G181" s="415">
        <v>0</v>
      </c>
      <c r="H181" s="417">
        <v>0.27132000000000001</v>
      </c>
      <c r="I181" s="414">
        <v>0.75283999999999995</v>
      </c>
      <c r="J181" s="415">
        <v>0.75283999999999995</v>
      </c>
      <c r="K181" s="418" t="s">
        <v>282</v>
      </c>
    </row>
    <row r="182" spans="1:11" ht="14.4" customHeight="1" thickBot="1" x14ac:dyDescent="0.35">
      <c r="A182" s="434" t="s">
        <v>425</v>
      </c>
      <c r="B182" s="414">
        <v>0</v>
      </c>
      <c r="C182" s="414">
        <v>9.58371</v>
      </c>
      <c r="D182" s="415">
        <v>9.58371</v>
      </c>
      <c r="E182" s="416" t="s">
        <v>252</v>
      </c>
      <c r="F182" s="414">
        <v>0</v>
      </c>
      <c r="G182" s="415">
        <v>0</v>
      </c>
      <c r="H182" s="417">
        <v>0.27132000000000001</v>
      </c>
      <c r="I182" s="414">
        <v>0.75283999999999995</v>
      </c>
      <c r="J182" s="415">
        <v>0.75283999999999995</v>
      </c>
      <c r="K182" s="418" t="s">
        <v>282</v>
      </c>
    </row>
    <row r="183" spans="1:11" ht="14.4" customHeight="1" thickBot="1" x14ac:dyDescent="0.35">
      <c r="A183" s="430" t="s">
        <v>426</v>
      </c>
      <c r="B183" s="414">
        <v>0</v>
      </c>
      <c r="C183" s="414">
        <v>9.58371</v>
      </c>
      <c r="D183" s="415">
        <v>9.58371</v>
      </c>
      <c r="E183" s="416" t="s">
        <v>252</v>
      </c>
      <c r="F183" s="414">
        <v>0</v>
      </c>
      <c r="G183" s="415">
        <v>0</v>
      </c>
      <c r="H183" s="417">
        <v>0.27132000000000001</v>
      </c>
      <c r="I183" s="414">
        <v>0.75283999999999995</v>
      </c>
      <c r="J183" s="415">
        <v>0.75283999999999995</v>
      </c>
      <c r="K183" s="418" t="s">
        <v>282</v>
      </c>
    </row>
    <row r="184" spans="1:11" ht="14.4" customHeight="1" thickBot="1" x14ac:dyDescent="0.35">
      <c r="A184" s="431" t="s">
        <v>427</v>
      </c>
      <c r="B184" s="409">
        <v>0</v>
      </c>
      <c r="C184" s="409">
        <v>0.11</v>
      </c>
      <c r="D184" s="410">
        <v>0.11</v>
      </c>
      <c r="E184" s="419" t="s">
        <v>282</v>
      </c>
      <c r="F184" s="409">
        <v>0</v>
      </c>
      <c r="G184" s="410">
        <v>0</v>
      </c>
      <c r="H184" s="412">
        <v>0</v>
      </c>
      <c r="I184" s="409">
        <v>0</v>
      </c>
      <c r="J184" s="410">
        <v>0</v>
      </c>
      <c r="K184" s="413">
        <v>2</v>
      </c>
    </row>
    <row r="185" spans="1:11" ht="14.4" customHeight="1" thickBot="1" x14ac:dyDescent="0.35">
      <c r="A185" s="431" t="s">
        <v>428</v>
      </c>
      <c r="B185" s="409">
        <v>0</v>
      </c>
      <c r="C185" s="409">
        <v>9.4737100000000005</v>
      </c>
      <c r="D185" s="410">
        <v>9.4737100000000005</v>
      </c>
      <c r="E185" s="419" t="s">
        <v>252</v>
      </c>
      <c r="F185" s="409">
        <v>0</v>
      </c>
      <c r="G185" s="410">
        <v>0</v>
      </c>
      <c r="H185" s="412">
        <v>0.27132000000000001</v>
      </c>
      <c r="I185" s="409">
        <v>0.75283999999999995</v>
      </c>
      <c r="J185" s="410">
        <v>0.75283999999999995</v>
      </c>
      <c r="K185" s="420" t="s">
        <v>282</v>
      </c>
    </row>
    <row r="186" spans="1:11" ht="14.4" customHeight="1" thickBot="1" x14ac:dyDescent="0.35">
      <c r="A186" s="436"/>
      <c r="B186" s="409">
        <v>-10459.488319976501</v>
      </c>
      <c r="C186" s="409">
        <v>-12611.251389999999</v>
      </c>
      <c r="D186" s="410">
        <v>-2151.76307002351</v>
      </c>
      <c r="E186" s="411">
        <v>1.2057235501579999</v>
      </c>
      <c r="F186" s="409">
        <v>-8843.8858209829796</v>
      </c>
      <c r="G186" s="410">
        <v>-1473.9809701638301</v>
      </c>
      <c r="H186" s="412">
        <v>-929.55354</v>
      </c>
      <c r="I186" s="409">
        <v>-1984.7734700000001</v>
      </c>
      <c r="J186" s="410">
        <v>-510.79249983617001</v>
      </c>
      <c r="K186" s="413">
        <v>0.22442323546099999</v>
      </c>
    </row>
    <row r="187" spans="1:11" ht="14.4" customHeight="1" thickBot="1" x14ac:dyDescent="0.35">
      <c r="A187" s="437" t="s">
        <v>66</v>
      </c>
      <c r="B187" s="423">
        <v>-10459.488319976501</v>
      </c>
      <c r="C187" s="423">
        <v>-12611.251389999999</v>
      </c>
      <c r="D187" s="424">
        <v>-2151.76307002351</v>
      </c>
      <c r="E187" s="425" t="s">
        <v>252</v>
      </c>
      <c r="F187" s="423">
        <v>-8843.8858209829796</v>
      </c>
      <c r="G187" s="424">
        <v>-1473.9809701638301</v>
      </c>
      <c r="H187" s="423">
        <v>-929.55354</v>
      </c>
      <c r="I187" s="423">
        <v>-1984.7734700000001</v>
      </c>
      <c r="J187" s="424">
        <v>-510.79249983617001</v>
      </c>
      <c r="K187" s="426">
        <v>0.22442323546099999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12" customWidth="1"/>
    <col min="2" max="2" width="61.109375" style="212" customWidth="1"/>
    <col min="3" max="3" width="9.5546875" style="133" customWidth="1"/>
    <col min="4" max="4" width="9.5546875" style="213" customWidth="1"/>
    <col min="5" max="5" width="2.21875" style="213" customWidth="1"/>
    <col min="6" max="6" width="9.5546875" style="214" customWidth="1"/>
    <col min="7" max="7" width="9.5546875" style="211" customWidth="1"/>
    <col min="8" max="9" width="9.5546875" style="133" customWidth="1"/>
    <col min="10" max="10" width="0" style="133" hidden="1" customWidth="1"/>
    <col min="11" max="16384" width="8.88671875" style="133"/>
  </cols>
  <sheetData>
    <row r="1" spans="1:10" ht="18.600000000000001" customHeight="1" thickBot="1" x14ac:dyDescent="0.4">
      <c r="A1" s="344" t="s">
        <v>141</v>
      </c>
      <c r="B1" s="345"/>
      <c r="C1" s="345"/>
      <c r="D1" s="345"/>
      <c r="E1" s="345"/>
      <c r="F1" s="345"/>
      <c r="G1" s="316"/>
      <c r="H1" s="346"/>
      <c r="I1" s="346"/>
    </row>
    <row r="2" spans="1:10" ht="14.4" customHeight="1" thickBot="1" x14ac:dyDescent="0.35">
      <c r="A2" s="239" t="s">
        <v>251</v>
      </c>
      <c r="B2" s="210"/>
      <c r="C2" s="210"/>
      <c r="D2" s="210"/>
      <c r="E2" s="210"/>
      <c r="F2" s="210"/>
    </row>
    <row r="3" spans="1:10" ht="14.4" customHeight="1" thickBot="1" x14ac:dyDescent="0.35">
      <c r="A3" s="239"/>
      <c r="B3" s="210"/>
      <c r="C3" s="283">
        <v>2014</v>
      </c>
      <c r="D3" s="284">
        <v>2015</v>
      </c>
      <c r="E3" s="7"/>
      <c r="F3" s="339">
        <v>2016</v>
      </c>
      <c r="G3" s="340"/>
      <c r="H3" s="340"/>
      <c r="I3" s="341"/>
    </row>
    <row r="4" spans="1:10" ht="14.4" customHeight="1" thickBot="1" x14ac:dyDescent="0.35">
      <c r="A4" s="288" t="s">
        <v>0</v>
      </c>
      <c r="B4" s="289" t="s">
        <v>204</v>
      </c>
      <c r="C4" s="342" t="s">
        <v>73</v>
      </c>
      <c r="D4" s="343"/>
      <c r="E4" s="290"/>
      <c r="F4" s="285" t="s">
        <v>73</v>
      </c>
      <c r="G4" s="286" t="s">
        <v>74</v>
      </c>
      <c r="H4" s="286" t="s">
        <v>68</v>
      </c>
      <c r="I4" s="287" t="s">
        <v>75</v>
      </c>
    </row>
    <row r="5" spans="1:10" ht="14.4" customHeight="1" x14ac:dyDescent="0.3">
      <c r="A5" s="438" t="s">
        <v>429</v>
      </c>
      <c r="B5" s="439" t="s">
        <v>430</v>
      </c>
      <c r="C5" s="440" t="s">
        <v>431</v>
      </c>
      <c r="D5" s="440" t="s">
        <v>431</v>
      </c>
      <c r="E5" s="440"/>
      <c r="F5" s="440" t="s">
        <v>431</v>
      </c>
      <c r="G5" s="440" t="s">
        <v>431</v>
      </c>
      <c r="H5" s="440" t="s">
        <v>431</v>
      </c>
      <c r="I5" s="441" t="s">
        <v>431</v>
      </c>
      <c r="J5" s="442" t="s">
        <v>69</v>
      </c>
    </row>
    <row r="6" spans="1:10" ht="14.4" customHeight="1" x14ac:dyDescent="0.3">
      <c r="A6" s="438" t="s">
        <v>429</v>
      </c>
      <c r="B6" s="439" t="s">
        <v>260</v>
      </c>
      <c r="C6" s="440">
        <v>16.087060000000001</v>
      </c>
      <c r="D6" s="440">
        <v>14.20496</v>
      </c>
      <c r="E6" s="440"/>
      <c r="F6" s="440">
        <v>17.009799999999998</v>
      </c>
      <c r="G6" s="440">
        <v>27.803326522164667</v>
      </c>
      <c r="H6" s="440">
        <v>-10.793526522164669</v>
      </c>
      <c r="I6" s="441">
        <v>0.61179010311733295</v>
      </c>
      <c r="J6" s="442" t="s">
        <v>1</v>
      </c>
    </row>
    <row r="7" spans="1:10" ht="14.4" customHeight="1" x14ac:dyDescent="0.3">
      <c r="A7" s="438" t="s">
        <v>429</v>
      </c>
      <c r="B7" s="439" t="s">
        <v>261</v>
      </c>
      <c r="C7" s="440">
        <v>3.49525</v>
      </c>
      <c r="D7" s="440">
        <v>2.6168699999999996</v>
      </c>
      <c r="E7" s="440"/>
      <c r="F7" s="440">
        <v>1.4378</v>
      </c>
      <c r="G7" s="440">
        <v>4.5000012404503336</v>
      </c>
      <c r="H7" s="440">
        <v>-3.0622012404503334</v>
      </c>
      <c r="I7" s="441">
        <v>0.31951102303609885</v>
      </c>
      <c r="J7" s="442" t="s">
        <v>1</v>
      </c>
    </row>
    <row r="8" spans="1:10" ht="14.4" customHeight="1" x14ac:dyDescent="0.3">
      <c r="A8" s="438" t="s">
        <v>429</v>
      </c>
      <c r="B8" s="439" t="s">
        <v>432</v>
      </c>
      <c r="C8" s="440">
        <v>19.58231</v>
      </c>
      <c r="D8" s="440">
        <v>16.821829999999999</v>
      </c>
      <c r="E8" s="440"/>
      <c r="F8" s="440">
        <v>18.447599999999998</v>
      </c>
      <c r="G8" s="440">
        <v>32.303327762614998</v>
      </c>
      <c r="H8" s="440">
        <v>-13.855727762615</v>
      </c>
      <c r="I8" s="441">
        <v>0.57107429103170015</v>
      </c>
      <c r="J8" s="442" t="s">
        <v>433</v>
      </c>
    </row>
    <row r="10" spans="1:10" ht="14.4" customHeight="1" x14ac:dyDescent="0.3">
      <c r="A10" s="438" t="s">
        <v>429</v>
      </c>
      <c r="B10" s="439" t="s">
        <v>430</v>
      </c>
      <c r="C10" s="440" t="s">
        <v>431</v>
      </c>
      <c r="D10" s="440" t="s">
        <v>431</v>
      </c>
      <c r="E10" s="440"/>
      <c r="F10" s="440" t="s">
        <v>431</v>
      </c>
      <c r="G10" s="440" t="s">
        <v>431</v>
      </c>
      <c r="H10" s="440" t="s">
        <v>431</v>
      </c>
      <c r="I10" s="441" t="s">
        <v>431</v>
      </c>
      <c r="J10" s="442" t="s">
        <v>69</v>
      </c>
    </row>
    <row r="11" spans="1:10" ht="14.4" customHeight="1" x14ac:dyDescent="0.3">
      <c r="A11" s="438" t="s">
        <v>434</v>
      </c>
      <c r="B11" s="439" t="s">
        <v>435</v>
      </c>
      <c r="C11" s="440" t="s">
        <v>431</v>
      </c>
      <c r="D11" s="440" t="s">
        <v>431</v>
      </c>
      <c r="E11" s="440"/>
      <c r="F11" s="440" t="s">
        <v>431</v>
      </c>
      <c r="G11" s="440" t="s">
        <v>431</v>
      </c>
      <c r="H11" s="440" t="s">
        <v>431</v>
      </c>
      <c r="I11" s="441" t="s">
        <v>431</v>
      </c>
      <c r="J11" s="442" t="s">
        <v>0</v>
      </c>
    </row>
    <row r="12" spans="1:10" ht="14.4" customHeight="1" x14ac:dyDescent="0.3">
      <c r="A12" s="438" t="s">
        <v>434</v>
      </c>
      <c r="B12" s="439" t="s">
        <v>260</v>
      </c>
      <c r="C12" s="440">
        <v>5.38375</v>
      </c>
      <c r="D12" s="440">
        <v>7.8262900000000002</v>
      </c>
      <c r="E12" s="440"/>
      <c r="F12" s="440">
        <v>1.46774</v>
      </c>
      <c r="G12" s="440">
        <v>10.861828849605333</v>
      </c>
      <c r="H12" s="440">
        <v>-9.3940888496053319</v>
      </c>
      <c r="I12" s="441">
        <v>0.1351282569742692</v>
      </c>
      <c r="J12" s="442" t="s">
        <v>1</v>
      </c>
    </row>
    <row r="13" spans="1:10" ht="14.4" customHeight="1" x14ac:dyDescent="0.3">
      <c r="A13" s="438" t="s">
        <v>434</v>
      </c>
      <c r="B13" s="439" t="s">
        <v>261</v>
      </c>
      <c r="C13" s="440">
        <v>3.1520299999999999</v>
      </c>
      <c r="D13" s="440">
        <v>1.8641999999999999</v>
      </c>
      <c r="E13" s="440"/>
      <c r="F13" s="440">
        <v>0.95267999999999997</v>
      </c>
      <c r="G13" s="440">
        <v>3.8763986601358336</v>
      </c>
      <c r="H13" s="440">
        <v>-2.9237186601358336</v>
      </c>
      <c r="I13" s="441">
        <v>0.24576419597839222</v>
      </c>
      <c r="J13" s="442" t="s">
        <v>1</v>
      </c>
    </row>
    <row r="14" spans="1:10" ht="14.4" customHeight="1" x14ac:dyDescent="0.3">
      <c r="A14" s="438" t="s">
        <v>434</v>
      </c>
      <c r="B14" s="439" t="s">
        <v>436</v>
      </c>
      <c r="C14" s="440">
        <v>8.535779999999999</v>
      </c>
      <c r="D14" s="440">
        <v>9.6904900000000005</v>
      </c>
      <c r="E14" s="440"/>
      <c r="F14" s="440">
        <v>2.42042</v>
      </c>
      <c r="G14" s="440">
        <v>14.738227509741167</v>
      </c>
      <c r="H14" s="440">
        <v>-12.317807509741167</v>
      </c>
      <c r="I14" s="441">
        <v>0.16422734676881831</v>
      </c>
      <c r="J14" s="442" t="s">
        <v>437</v>
      </c>
    </row>
    <row r="15" spans="1:10" ht="14.4" customHeight="1" x14ac:dyDescent="0.3">
      <c r="A15" s="438" t="s">
        <v>431</v>
      </c>
      <c r="B15" s="439" t="s">
        <v>431</v>
      </c>
      <c r="C15" s="440" t="s">
        <v>431</v>
      </c>
      <c r="D15" s="440" t="s">
        <v>431</v>
      </c>
      <c r="E15" s="440"/>
      <c r="F15" s="440" t="s">
        <v>431</v>
      </c>
      <c r="G15" s="440" t="s">
        <v>431</v>
      </c>
      <c r="H15" s="440" t="s">
        <v>431</v>
      </c>
      <c r="I15" s="441" t="s">
        <v>431</v>
      </c>
      <c r="J15" s="442" t="s">
        <v>438</v>
      </c>
    </row>
    <row r="16" spans="1:10" ht="14.4" customHeight="1" x14ac:dyDescent="0.3">
      <c r="A16" s="438" t="s">
        <v>439</v>
      </c>
      <c r="B16" s="439" t="s">
        <v>440</v>
      </c>
      <c r="C16" s="440" t="s">
        <v>431</v>
      </c>
      <c r="D16" s="440" t="s">
        <v>431</v>
      </c>
      <c r="E16" s="440"/>
      <c r="F16" s="440" t="s">
        <v>431</v>
      </c>
      <c r="G16" s="440" t="s">
        <v>431</v>
      </c>
      <c r="H16" s="440" t="s">
        <v>431</v>
      </c>
      <c r="I16" s="441" t="s">
        <v>431</v>
      </c>
      <c r="J16" s="442" t="s">
        <v>0</v>
      </c>
    </row>
    <row r="17" spans="1:10" ht="14.4" customHeight="1" x14ac:dyDescent="0.3">
      <c r="A17" s="438" t="s">
        <v>439</v>
      </c>
      <c r="B17" s="439" t="s">
        <v>260</v>
      </c>
      <c r="C17" s="440">
        <v>9.0978600000000007</v>
      </c>
      <c r="D17" s="440">
        <v>6.3786699999999996</v>
      </c>
      <c r="E17" s="440"/>
      <c r="F17" s="440">
        <v>10.118310000000001</v>
      </c>
      <c r="G17" s="440">
        <v>11.672094658514501</v>
      </c>
      <c r="H17" s="440">
        <v>-1.5537846585145001</v>
      </c>
      <c r="I17" s="441">
        <v>0.86688039259679472</v>
      </c>
      <c r="J17" s="442" t="s">
        <v>1</v>
      </c>
    </row>
    <row r="18" spans="1:10" ht="14.4" customHeight="1" x14ac:dyDescent="0.3">
      <c r="A18" s="438" t="s">
        <v>439</v>
      </c>
      <c r="B18" s="439" t="s">
        <v>261</v>
      </c>
      <c r="C18" s="440">
        <v>0.21096000000000001</v>
      </c>
      <c r="D18" s="440">
        <v>0.48059000000000002</v>
      </c>
      <c r="E18" s="440"/>
      <c r="F18" s="440">
        <v>0.22048999999999999</v>
      </c>
      <c r="G18" s="440">
        <v>0.57243356884783336</v>
      </c>
      <c r="H18" s="440">
        <v>-0.3519435688478334</v>
      </c>
      <c r="I18" s="441">
        <v>0.3851800662979839</v>
      </c>
      <c r="J18" s="442" t="s">
        <v>1</v>
      </c>
    </row>
    <row r="19" spans="1:10" ht="14.4" customHeight="1" x14ac:dyDescent="0.3">
      <c r="A19" s="438" t="s">
        <v>439</v>
      </c>
      <c r="B19" s="439" t="s">
        <v>441</v>
      </c>
      <c r="C19" s="440">
        <v>9.3088200000000008</v>
      </c>
      <c r="D19" s="440">
        <v>6.8592599999999999</v>
      </c>
      <c r="E19" s="440"/>
      <c r="F19" s="440">
        <v>10.338800000000001</v>
      </c>
      <c r="G19" s="440">
        <v>12.244528227362334</v>
      </c>
      <c r="H19" s="440">
        <v>-1.9057282273623333</v>
      </c>
      <c r="I19" s="441">
        <v>0.84436082861047412</v>
      </c>
      <c r="J19" s="442" t="s">
        <v>437</v>
      </c>
    </row>
    <row r="20" spans="1:10" ht="14.4" customHeight="1" x14ac:dyDescent="0.3">
      <c r="A20" s="438" t="s">
        <v>431</v>
      </c>
      <c r="B20" s="439" t="s">
        <v>431</v>
      </c>
      <c r="C20" s="440" t="s">
        <v>431</v>
      </c>
      <c r="D20" s="440" t="s">
        <v>431</v>
      </c>
      <c r="E20" s="440"/>
      <c r="F20" s="440" t="s">
        <v>431</v>
      </c>
      <c r="G20" s="440" t="s">
        <v>431</v>
      </c>
      <c r="H20" s="440" t="s">
        <v>431</v>
      </c>
      <c r="I20" s="441" t="s">
        <v>431</v>
      </c>
      <c r="J20" s="442" t="s">
        <v>438</v>
      </c>
    </row>
    <row r="21" spans="1:10" ht="14.4" customHeight="1" x14ac:dyDescent="0.3">
      <c r="A21" s="438" t="s">
        <v>442</v>
      </c>
      <c r="B21" s="439" t="s">
        <v>443</v>
      </c>
      <c r="C21" s="440" t="s">
        <v>431</v>
      </c>
      <c r="D21" s="440" t="s">
        <v>431</v>
      </c>
      <c r="E21" s="440"/>
      <c r="F21" s="440" t="s">
        <v>431</v>
      </c>
      <c r="G21" s="440" t="s">
        <v>431</v>
      </c>
      <c r="H21" s="440" t="s">
        <v>431</v>
      </c>
      <c r="I21" s="441" t="s">
        <v>431</v>
      </c>
      <c r="J21" s="442" t="s">
        <v>0</v>
      </c>
    </row>
    <row r="22" spans="1:10" ht="14.4" customHeight="1" x14ac:dyDescent="0.3">
      <c r="A22" s="438" t="s">
        <v>442</v>
      </c>
      <c r="B22" s="439" t="s">
        <v>260</v>
      </c>
      <c r="C22" s="440">
        <v>1.60545</v>
      </c>
      <c r="D22" s="440">
        <v>0</v>
      </c>
      <c r="E22" s="440"/>
      <c r="F22" s="440">
        <v>5.4237500000000001</v>
      </c>
      <c r="G22" s="440">
        <v>5.2694030140448334</v>
      </c>
      <c r="H22" s="440">
        <v>0.15434698595516672</v>
      </c>
      <c r="I22" s="441">
        <v>1.0292911712282733</v>
      </c>
      <c r="J22" s="442" t="s">
        <v>1</v>
      </c>
    </row>
    <row r="23" spans="1:10" ht="14.4" customHeight="1" x14ac:dyDescent="0.3">
      <c r="A23" s="438" t="s">
        <v>442</v>
      </c>
      <c r="B23" s="439" t="s">
        <v>261</v>
      </c>
      <c r="C23" s="440">
        <v>0.13225999999999999</v>
      </c>
      <c r="D23" s="440">
        <v>0.27207999999999999</v>
      </c>
      <c r="E23" s="440"/>
      <c r="F23" s="440">
        <v>0.26462999999999998</v>
      </c>
      <c r="G23" s="440">
        <v>5.1169011466666664E-2</v>
      </c>
      <c r="H23" s="440">
        <v>0.21346098853333331</v>
      </c>
      <c r="I23" s="441">
        <v>5.1716848228031429</v>
      </c>
      <c r="J23" s="442" t="s">
        <v>1</v>
      </c>
    </row>
    <row r="24" spans="1:10" ht="14.4" customHeight="1" x14ac:dyDescent="0.3">
      <c r="A24" s="438" t="s">
        <v>442</v>
      </c>
      <c r="B24" s="439" t="s">
        <v>444</v>
      </c>
      <c r="C24" s="440">
        <v>1.7377100000000001</v>
      </c>
      <c r="D24" s="440">
        <v>0.27207999999999999</v>
      </c>
      <c r="E24" s="440"/>
      <c r="F24" s="440">
        <v>5.6883800000000004</v>
      </c>
      <c r="G24" s="440">
        <v>5.3205720255114999</v>
      </c>
      <c r="H24" s="440">
        <v>0.36780797448850056</v>
      </c>
      <c r="I24" s="441">
        <v>1.069129404267982</v>
      </c>
      <c r="J24" s="442" t="s">
        <v>437</v>
      </c>
    </row>
    <row r="25" spans="1:10" ht="14.4" customHeight="1" x14ac:dyDescent="0.3">
      <c r="A25" s="438" t="s">
        <v>431</v>
      </c>
      <c r="B25" s="439" t="s">
        <v>431</v>
      </c>
      <c r="C25" s="440" t="s">
        <v>431</v>
      </c>
      <c r="D25" s="440" t="s">
        <v>431</v>
      </c>
      <c r="E25" s="440"/>
      <c r="F25" s="440" t="s">
        <v>431</v>
      </c>
      <c r="G25" s="440" t="s">
        <v>431</v>
      </c>
      <c r="H25" s="440" t="s">
        <v>431</v>
      </c>
      <c r="I25" s="441" t="s">
        <v>431</v>
      </c>
      <c r="J25" s="442" t="s">
        <v>438</v>
      </c>
    </row>
    <row r="26" spans="1:10" ht="14.4" customHeight="1" x14ac:dyDescent="0.3">
      <c r="A26" s="438" t="s">
        <v>429</v>
      </c>
      <c r="B26" s="439" t="s">
        <v>432</v>
      </c>
      <c r="C26" s="440">
        <v>19.58231</v>
      </c>
      <c r="D26" s="440">
        <v>16.821829999999999</v>
      </c>
      <c r="E26" s="440"/>
      <c r="F26" s="440">
        <v>18.447600000000001</v>
      </c>
      <c r="G26" s="440">
        <v>32.303327762615005</v>
      </c>
      <c r="H26" s="440">
        <v>-13.855727762615004</v>
      </c>
      <c r="I26" s="441">
        <v>0.57107429103170015</v>
      </c>
      <c r="J26" s="442" t="s">
        <v>433</v>
      </c>
    </row>
  </sheetData>
  <mergeCells count="3">
    <mergeCell ref="F3:I3"/>
    <mergeCell ref="C4:D4"/>
    <mergeCell ref="A1:I1"/>
  </mergeCells>
  <conditionalFormatting sqref="F9 F27:F65537">
    <cfRule type="cellIs" dxfId="55" priority="18" stopIfTrue="1" operator="greaterThan">
      <formula>1</formula>
    </cfRule>
  </conditionalFormatting>
  <conditionalFormatting sqref="H5:H8">
    <cfRule type="expression" dxfId="54" priority="14">
      <formula>$H5&gt;0</formula>
    </cfRule>
  </conditionalFormatting>
  <conditionalFormatting sqref="I5:I8">
    <cfRule type="expression" dxfId="53" priority="15">
      <formula>$I5&gt;1</formula>
    </cfRule>
  </conditionalFormatting>
  <conditionalFormatting sqref="B5:B8">
    <cfRule type="expression" dxfId="52" priority="11">
      <formula>OR($J5="NS",$J5="SumaNS",$J5="Účet")</formula>
    </cfRule>
  </conditionalFormatting>
  <conditionalFormatting sqref="B5:D8 F5:I8">
    <cfRule type="expression" dxfId="51" priority="17">
      <formula>AND($J5&lt;&gt;"",$J5&lt;&gt;"mezeraKL")</formula>
    </cfRule>
  </conditionalFormatting>
  <conditionalFormatting sqref="B5:D8 F5:I8">
    <cfRule type="expression" dxfId="50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9" priority="13">
      <formula>OR($J5="SumaNS",$J5="NS")</formula>
    </cfRule>
  </conditionalFormatting>
  <conditionalFormatting sqref="A5:A8">
    <cfRule type="expression" dxfId="48" priority="9">
      <formula>AND($J5&lt;&gt;"mezeraKL",$J5&lt;&gt;"")</formula>
    </cfRule>
  </conditionalFormatting>
  <conditionalFormatting sqref="A5:A8">
    <cfRule type="expression" dxfId="47" priority="10">
      <formula>AND($J5&lt;&gt;"",$J5&lt;&gt;"mezeraKL")</formula>
    </cfRule>
  </conditionalFormatting>
  <conditionalFormatting sqref="H10:H26">
    <cfRule type="expression" dxfId="46" priority="5">
      <formula>$H10&gt;0</formula>
    </cfRule>
  </conditionalFormatting>
  <conditionalFormatting sqref="A10:A26">
    <cfRule type="expression" dxfId="45" priority="2">
      <formula>AND($J10&lt;&gt;"mezeraKL",$J10&lt;&gt;"")</formula>
    </cfRule>
  </conditionalFormatting>
  <conditionalFormatting sqref="I10:I26">
    <cfRule type="expression" dxfId="44" priority="6">
      <formula>$I10&gt;1</formula>
    </cfRule>
  </conditionalFormatting>
  <conditionalFormatting sqref="B10:B26">
    <cfRule type="expression" dxfId="43" priority="1">
      <formula>OR($J10="NS",$J10="SumaNS",$J10="Účet")</formula>
    </cfRule>
  </conditionalFormatting>
  <conditionalFormatting sqref="A10:D26 F10:I26">
    <cfRule type="expression" dxfId="42" priority="8">
      <formula>AND($J10&lt;&gt;"",$J10&lt;&gt;"mezeraKL")</formula>
    </cfRule>
  </conditionalFormatting>
  <conditionalFormatting sqref="B10:D26 F10:I26">
    <cfRule type="expression" dxfId="41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6 F10:I26">
    <cfRule type="expression" dxfId="40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3" hidden="1" customWidth="1" outlineLevel="1"/>
    <col min="2" max="2" width="28.33203125" style="133" hidden="1" customWidth="1" outlineLevel="1"/>
    <col min="3" max="3" width="5.33203125" style="213" bestFit="1" customWidth="1" collapsed="1"/>
    <col min="4" max="4" width="18.77734375" style="217" customWidth="1"/>
    <col min="5" max="5" width="9" style="213" bestFit="1" customWidth="1"/>
    <col min="6" max="6" width="18.77734375" style="217" customWidth="1"/>
    <col min="7" max="7" width="5" style="213" customWidth="1"/>
    <col min="8" max="8" width="12.44140625" style="213" hidden="1" customWidth="1" outlineLevel="1"/>
    <col min="9" max="9" width="8.5546875" style="213" hidden="1" customWidth="1" outlineLevel="1"/>
    <col min="10" max="10" width="25.77734375" style="213" customWidth="1" collapsed="1"/>
    <col min="11" max="11" width="8.77734375" style="213" customWidth="1"/>
    <col min="12" max="13" width="7.77734375" style="211" customWidth="1"/>
    <col min="14" max="14" width="11.109375" style="211" customWidth="1"/>
    <col min="15" max="16384" width="8.88671875" style="133"/>
  </cols>
  <sheetData>
    <row r="1" spans="1:14" ht="18.600000000000001" customHeight="1" thickBot="1" x14ac:dyDescent="0.4">
      <c r="A1" s="351" t="s">
        <v>164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</row>
    <row r="2" spans="1:14" ht="14.4" customHeight="1" thickBot="1" x14ac:dyDescent="0.35">
      <c r="A2" s="239" t="s">
        <v>251</v>
      </c>
      <c r="B2" s="62"/>
      <c r="C2" s="215"/>
      <c r="D2" s="215"/>
      <c r="E2" s="215"/>
      <c r="F2" s="215"/>
      <c r="G2" s="215"/>
      <c r="H2" s="215"/>
      <c r="I2" s="215"/>
      <c r="J2" s="215"/>
      <c r="K2" s="215"/>
      <c r="L2" s="216"/>
      <c r="M2" s="216"/>
      <c r="N2" s="216"/>
    </row>
    <row r="3" spans="1:14" ht="14.4" customHeight="1" thickBot="1" x14ac:dyDescent="0.35">
      <c r="A3" s="62"/>
      <c r="B3" s="62"/>
      <c r="C3" s="347"/>
      <c r="D3" s="348"/>
      <c r="E3" s="348"/>
      <c r="F3" s="348"/>
      <c r="G3" s="348"/>
      <c r="H3" s="348"/>
      <c r="I3" s="348"/>
      <c r="J3" s="349" t="s">
        <v>132</v>
      </c>
      <c r="K3" s="350"/>
      <c r="L3" s="99">
        <f>IF(M3&lt;&gt;0,N3/M3,0)</f>
        <v>192.18124820310885</v>
      </c>
      <c r="M3" s="99">
        <f>SUBTOTAL(9,M5:M1048576)</f>
        <v>150</v>
      </c>
      <c r="N3" s="100">
        <f>SUBTOTAL(9,N5:N1048576)</f>
        <v>28827.187230466327</v>
      </c>
    </row>
    <row r="4" spans="1:14" s="212" customFormat="1" ht="14.4" customHeight="1" thickBot="1" x14ac:dyDescent="0.35">
      <c r="A4" s="443" t="s">
        <v>4</v>
      </c>
      <c r="B4" s="444" t="s">
        <v>5</v>
      </c>
      <c r="C4" s="444" t="s">
        <v>0</v>
      </c>
      <c r="D4" s="444" t="s">
        <v>6</v>
      </c>
      <c r="E4" s="444" t="s">
        <v>7</v>
      </c>
      <c r="F4" s="444" t="s">
        <v>1</v>
      </c>
      <c r="G4" s="444" t="s">
        <v>8</v>
      </c>
      <c r="H4" s="444" t="s">
        <v>9</v>
      </c>
      <c r="I4" s="444" t="s">
        <v>10</v>
      </c>
      <c r="J4" s="445" t="s">
        <v>11</v>
      </c>
      <c r="K4" s="445" t="s">
        <v>12</v>
      </c>
      <c r="L4" s="446" t="s">
        <v>146</v>
      </c>
      <c r="M4" s="446" t="s">
        <v>13</v>
      </c>
      <c r="N4" s="447" t="s">
        <v>160</v>
      </c>
    </row>
    <row r="5" spans="1:14" ht="14.4" customHeight="1" x14ac:dyDescent="0.3">
      <c r="A5" s="448" t="s">
        <v>429</v>
      </c>
      <c r="B5" s="449" t="s">
        <v>430</v>
      </c>
      <c r="C5" s="450" t="s">
        <v>434</v>
      </c>
      <c r="D5" s="451" t="s">
        <v>536</v>
      </c>
      <c r="E5" s="450" t="s">
        <v>445</v>
      </c>
      <c r="F5" s="451" t="s">
        <v>539</v>
      </c>
      <c r="G5" s="450" t="s">
        <v>446</v>
      </c>
      <c r="H5" s="450" t="s">
        <v>447</v>
      </c>
      <c r="I5" s="450" t="s">
        <v>448</v>
      </c>
      <c r="J5" s="450" t="s">
        <v>449</v>
      </c>
      <c r="K5" s="450" t="s">
        <v>450</v>
      </c>
      <c r="L5" s="452">
        <v>167.61</v>
      </c>
      <c r="M5" s="452">
        <v>2</v>
      </c>
      <c r="N5" s="453">
        <v>335.22</v>
      </c>
    </row>
    <row r="6" spans="1:14" ht="14.4" customHeight="1" x14ac:dyDescent="0.3">
      <c r="A6" s="454" t="s">
        <v>429</v>
      </c>
      <c r="B6" s="455" t="s">
        <v>430</v>
      </c>
      <c r="C6" s="456" t="s">
        <v>434</v>
      </c>
      <c r="D6" s="457" t="s">
        <v>536</v>
      </c>
      <c r="E6" s="456" t="s">
        <v>445</v>
      </c>
      <c r="F6" s="457" t="s">
        <v>539</v>
      </c>
      <c r="G6" s="456" t="s">
        <v>446</v>
      </c>
      <c r="H6" s="456" t="s">
        <v>451</v>
      </c>
      <c r="I6" s="456" t="s">
        <v>451</v>
      </c>
      <c r="J6" s="456" t="s">
        <v>452</v>
      </c>
      <c r="K6" s="456" t="s">
        <v>453</v>
      </c>
      <c r="L6" s="458">
        <v>219.88</v>
      </c>
      <c r="M6" s="458">
        <v>4</v>
      </c>
      <c r="N6" s="459">
        <v>879.52</v>
      </c>
    </row>
    <row r="7" spans="1:14" ht="14.4" customHeight="1" x14ac:dyDescent="0.3">
      <c r="A7" s="454" t="s">
        <v>429</v>
      </c>
      <c r="B7" s="455" t="s">
        <v>430</v>
      </c>
      <c r="C7" s="456" t="s">
        <v>434</v>
      </c>
      <c r="D7" s="457" t="s">
        <v>536</v>
      </c>
      <c r="E7" s="456" t="s">
        <v>445</v>
      </c>
      <c r="F7" s="457" t="s">
        <v>539</v>
      </c>
      <c r="G7" s="456" t="s">
        <v>446</v>
      </c>
      <c r="H7" s="456" t="s">
        <v>454</v>
      </c>
      <c r="I7" s="456" t="s">
        <v>455</v>
      </c>
      <c r="J7" s="456" t="s">
        <v>456</v>
      </c>
      <c r="K7" s="456"/>
      <c r="L7" s="458">
        <v>70.921263302631587</v>
      </c>
      <c r="M7" s="458">
        <v>2</v>
      </c>
      <c r="N7" s="459">
        <v>141.84252660526317</v>
      </c>
    </row>
    <row r="8" spans="1:14" ht="14.4" customHeight="1" x14ac:dyDescent="0.3">
      <c r="A8" s="454" t="s">
        <v>429</v>
      </c>
      <c r="B8" s="455" t="s">
        <v>430</v>
      </c>
      <c r="C8" s="456" t="s">
        <v>434</v>
      </c>
      <c r="D8" s="457" t="s">
        <v>536</v>
      </c>
      <c r="E8" s="456" t="s">
        <v>445</v>
      </c>
      <c r="F8" s="457" t="s">
        <v>539</v>
      </c>
      <c r="G8" s="456" t="s">
        <v>446</v>
      </c>
      <c r="H8" s="456" t="s">
        <v>457</v>
      </c>
      <c r="I8" s="456" t="s">
        <v>455</v>
      </c>
      <c r="J8" s="456" t="s">
        <v>458</v>
      </c>
      <c r="K8" s="456"/>
      <c r="L8" s="458">
        <v>182.16048266669227</v>
      </c>
      <c r="M8" s="458">
        <v>1</v>
      </c>
      <c r="N8" s="459">
        <v>182.16048266669227</v>
      </c>
    </row>
    <row r="9" spans="1:14" ht="14.4" customHeight="1" x14ac:dyDescent="0.3">
      <c r="A9" s="454" t="s">
        <v>429</v>
      </c>
      <c r="B9" s="455" t="s">
        <v>430</v>
      </c>
      <c r="C9" s="456" t="s">
        <v>434</v>
      </c>
      <c r="D9" s="457" t="s">
        <v>536</v>
      </c>
      <c r="E9" s="456" t="s">
        <v>445</v>
      </c>
      <c r="F9" s="457" t="s">
        <v>539</v>
      </c>
      <c r="G9" s="456" t="s">
        <v>446</v>
      </c>
      <c r="H9" s="456" t="s">
        <v>459</v>
      </c>
      <c r="I9" s="456" t="s">
        <v>455</v>
      </c>
      <c r="J9" s="456" t="s">
        <v>460</v>
      </c>
      <c r="K9" s="456"/>
      <c r="L9" s="458">
        <v>92.509221175368666</v>
      </c>
      <c r="M9" s="458">
        <v>2</v>
      </c>
      <c r="N9" s="459">
        <v>185.01844235073733</v>
      </c>
    </row>
    <row r="10" spans="1:14" ht="14.4" customHeight="1" x14ac:dyDescent="0.3">
      <c r="A10" s="454" t="s">
        <v>429</v>
      </c>
      <c r="B10" s="455" t="s">
        <v>430</v>
      </c>
      <c r="C10" s="456" t="s">
        <v>434</v>
      </c>
      <c r="D10" s="457" t="s">
        <v>536</v>
      </c>
      <c r="E10" s="456" t="s">
        <v>445</v>
      </c>
      <c r="F10" s="457" t="s">
        <v>539</v>
      </c>
      <c r="G10" s="456" t="s">
        <v>446</v>
      </c>
      <c r="H10" s="456" t="s">
        <v>461</v>
      </c>
      <c r="I10" s="456" t="s">
        <v>455</v>
      </c>
      <c r="J10" s="456" t="s">
        <v>462</v>
      </c>
      <c r="K10" s="456"/>
      <c r="L10" s="458">
        <v>80.939493276450079</v>
      </c>
      <c r="M10" s="458">
        <v>2</v>
      </c>
      <c r="N10" s="459">
        <v>161.87898655290016</v>
      </c>
    </row>
    <row r="11" spans="1:14" ht="14.4" customHeight="1" x14ac:dyDescent="0.3">
      <c r="A11" s="454" t="s">
        <v>429</v>
      </c>
      <c r="B11" s="455" t="s">
        <v>430</v>
      </c>
      <c r="C11" s="456" t="s">
        <v>434</v>
      </c>
      <c r="D11" s="457" t="s">
        <v>536</v>
      </c>
      <c r="E11" s="456" t="s">
        <v>445</v>
      </c>
      <c r="F11" s="457" t="s">
        <v>539</v>
      </c>
      <c r="G11" s="456" t="s">
        <v>446</v>
      </c>
      <c r="H11" s="456" t="s">
        <v>463</v>
      </c>
      <c r="I11" s="456" t="s">
        <v>464</v>
      </c>
      <c r="J11" s="456" t="s">
        <v>465</v>
      </c>
      <c r="K11" s="456"/>
      <c r="L11" s="458">
        <v>104.06149330033028</v>
      </c>
      <c r="M11" s="458">
        <v>2</v>
      </c>
      <c r="N11" s="459">
        <v>208.12298660066057</v>
      </c>
    </row>
    <row r="12" spans="1:14" ht="14.4" customHeight="1" x14ac:dyDescent="0.3">
      <c r="A12" s="454" t="s">
        <v>429</v>
      </c>
      <c r="B12" s="455" t="s">
        <v>430</v>
      </c>
      <c r="C12" s="456" t="s">
        <v>434</v>
      </c>
      <c r="D12" s="457" t="s">
        <v>536</v>
      </c>
      <c r="E12" s="456" t="s">
        <v>445</v>
      </c>
      <c r="F12" s="457" t="s">
        <v>539</v>
      </c>
      <c r="G12" s="456" t="s">
        <v>446</v>
      </c>
      <c r="H12" s="456" t="s">
        <v>466</v>
      </c>
      <c r="I12" s="456" t="s">
        <v>455</v>
      </c>
      <c r="J12" s="456" t="s">
        <v>467</v>
      </c>
      <c r="K12" s="456" t="s">
        <v>468</v>
      </c>
      <c r="L12" s="458">
        <v>111.91000000000003</v>
      </c>
      <c r="M12" s="458">
        <v>2</v>
      </c>
      <c r="N12" s="459">
        <v>223.82000000000005</v>
      </c>
    </row>
    <row r="13" spans="1:14" ht="14.4" customHeight="1" x14ac:dyDescent="0.3">
      <c r="A13" s="454" t="s">
        <v>429</v>
      </c>
      <c r="B13" s="455" t="s">
        <v>430</v>
      </c>
      <c r="C13" s="456" t="s">
        <v>434</v>
      </c>
      <c r="D13" s="457" t="s">
        <v>536</v>
      </c>
      <c r="E13" s="456" t="s">
        <v>445</v>
      </c>
      <c r="F13" s="457" t="s">
        <v>539</v>
      </c>
      <c r="G13" s="456" t="s">
        <v>446</v>
      </c>
      <c r="H13" s="456" t="s">
        <v>469</v>
      </c>
      <c r="I13" s="456" t="s">
        <v>455</v>
      </c>
      <c r="J13" s="456" t="s">
        <v>470</v>
      </c>
      <c r="K13" s="456"/>
      <c r="L13" s="458">
        <v>231.40658233952712</v>
      </c>
      <c r="M13" s="458">
        <v>1</v>
      </c>
      <c r="N13" s="459">
        <v>231.40658233952712</v>
      </c>
    </row>
    <row r="14" spans="1:14" ht="14.4" customHeight="1" x14ac:dyDescent="0.3">
      <c r="A14" s="454" t="s">
        <v>429</v>
      </c>
      <c r="B14" s="455" t="s">
        <v>430</v>
      </c>
      <c r="C14" s="456" t="s">
        <v>434</v>
      </c>
      <c r="D14" s="457" t="s">
        <v>536</v>
      </c>
      <c r="E14" s="456" t="s">
        <v>445</v>
      </c>
      <c r="F14" s="457" t="s">
        <v>539</v>
      </c>
      <c r="G14" s="456" t="s">
        <v>446</v>
      </c>
      <c r="H14" s="456" t="s">
        <v>471</v>
      </c>
      <c r="I14" s="456" t="s">
        <v>455</v>
      </c>
      <c r="J14" s="456" t="s">
        <v>472</v>
      </c>
      <c r="K14" s="456"/>
      <c r="L14" s="458">
        <v>27.575000000000006</v>
      </c>
      <c r="M14" s="458">
        <v>6</v>
      </c>
      <c r="N14" s="459">
        <v>165.45000000000005</v>
      </c>
    </row>
    <row r="15" spans="1:14" ht="14.4" customHeight="1" x14ac:dyDescent="0.3">
      <c r="A15" s="454" t="s">
        <v>429</v>
      </c>
      <c r="B15" s="455" t="s">
        <v>430</v>
      </c>
      <c r="C15" s="456" t="s">
        <v>434</v>
      </c>
      <c r="D15" s="457" t="s">
        <v>536</v>
      </c>
      <c r="E15" s="456" t="s">
        <v>473</v>
      </c>
      <c r="F15" s="457" t="s">
        <v>540</v>
      </c>
      <c r="G15" s="456" t="s">
        <v>446</v>
      </c>
      <c r="H15" s="456" t="s">
        <v>474</v>
      </c>
      <c r="I15" s="456" t="s">
        <v>475</v>
      </c>
      <c r="J15" s="456" t="s">
        <v>476</v>
      </c>
      <c r="K15" s="456" t="s">
        <v>477</v>
      </c>
      <c r="L15" s="458">
        <v>238.17</v>
      </c>
      <c r="M15" s="458">
        <v>10</v>
      </c>
      <c r="N15" s="459">
        <v>2381.6999999999998</v>
      </c>
    </row>
    <row r="16" spans="1:14" ht="14.4" customHeight="1" x14ac:dyDescent="0.3">
      <c r="A16" s="454" t="s">
        <v>429</v>
      </c>
      <c r="B16" s="455" t="s">
        <v>430</v>
      </c>
      <c r="C16" s="456" t="s">
        <v>439</v>
      </c>
      <c r="D16" s="457" t="s">
        <v>537</v>
      </c>
      <c r="E16" s="456" t="s">
        <v>445</v>
      </c>
      <c r="F16" s="457" t="s">
        <v>539</v>
      </c>
      <c r="G16" s="456" t="s">
        <v>446</v>
      </c>
      <c r="H16" s="456" t="s">
        <v>478</v>
      </c>
      <c r="I16" s="456" t="s">
        <v>479</v>
      </c>
      <c r="J16" s="456" t="s">
        <v>480</v>
      </c>
      <c r="K16" s="456" t="s">
        <v>481</v>
      </c>
      <c r="L16" s="458">
        <v>87.03</v>
      </c>
      <c r="M16" s="458">
        <v>10</v>
      </c>
      <c r="N16" s="459">
        <v>870.30000000000007</v>
      </c>
    </row>
    <row r="17" spans="1:14" ht="14.4" customHeight="1" x14ac:dyDescent="0.3">
      <c r="A17" s="454" t="s">
        <v>429</v>
      </c>
      <c r="B17" s="455" t="s">
        <v>430</v>
      </c>
      <c r="C17" s="456" t="s">
        <v>439</v>
      </c>
      <c r="D17" s="457" t="s">
        <v>537</v>
      </c>
      <c r="E17" s="456" t="s">
        <v>445</v>
      </c>
      <c r="F17" s="457" t="s">
        <v>539</v>
      </c>
      <c r="G17" s="456" t="s">
        <v>446</v>
      </c>
      <c r="H17" s="456" t="s">
        <v>447</v>
      </c>
      <c r="I17" s="456" t="s">
        <v>448</v>
      </c>
      <c r="J17" s="456" t="s">
        <v>449</v>
      </c>
      <c r="K17" s="456" t="s">
        <v>450</v>
      </c>
      <c r="L17" s="458">
        <v>167.61000000000004</v>
      </c>
      <c r="M17" s="458">
        <v>30</v>
      </c>
      <c r="N17" s="459">
        <v>5028.3000000000011</v>
      </c>
    </row>
    <row r="18" spans="1:14" ht="14.4" customHeight="1" x14ac:dyDescent="0.3">
      <c r="A18" s="454" t="s">
        <v>429</v>
      </c>
      <c r="B18" s="455" t="s">
        <v>430</v>
      </c>
      <c r="C18" s="456" t="s">
        <v>439</v>
      </c>
      <c r="D18" s="457" t="s">
        <v>537</v>
      </c>
      <c r="E18" s="456" t="s">
        <v>445</v>
      </c>
      <c r="F18" s="457" t="s">
        <v>539</v>
      </c>
      <c r="G18" s="456" t="s">
        <v>446</v>
      </c>
      <c r="H18" s="456" t="s">
        <v>482</v>
      </c>
      <c r="I18" s="456" t="s">
        <v>464</v>
      </c>
      <c r="J18" s="456" t="s">
        <v>483</v>
      </c>
      <c r="K18" s="456" t="s">
        <v>484</v>
      </c>
      <c r="L18" s="458">
        <v>75.296714939163124</v>
      </c>
      <c r="M18" s="458">
        <v>2</v>
      </c>
      <c r="N18" s="459">
        <v>150.59342987832625</v>
      </c>
    </row>
    <row r="19" spans="1:14" ht="14.4" customHeight="1" x14ac:dyDescent="0.3">
      <c r="A19" s="454" t="s">
        <v>429</v>
      </c>
      <c r="B19" s="455" t="s">
        <v>430</v>
      </c>
      <c r="C19" s="456" t="s">
        <v>439</v>
      </c>
      <c r="D19" s="457" t="s">
        <v>537</v>
      </c>
      <c r="E19" s="456" t="s">
        <v>445</v>
      </c>
      <c r="F19" s="457" t="s">
        <v>539</v>
      </c>
      <c r="G19" s="456" t="s">
        <v>446</v>
      </c>
      <c r="H19" s="456" t="s">
        <v>485</v>
      </c>
      <c r="I19" s="456" t="s">
        <v>486</v>
      </c>
      <c r="J19" s="456" t="s">
        <v>487</v>
      </c>
      <c r="K19" s="456"/>
      <c r="L19" s="458">
        <v>425.06652109639361</v>
      </c>
      <c r="M19" s="458">
        <v>5</v>
      </c>
      <c r="N19" s="459">
        <v>2125.3326054819681</v>
      </c>
    </row>
    <row r="20" spans="1:14" ht="14.4" customHeight="1" x14ac:dyDescent="0.3">
      <c r="A20" s="454" t="s">
        <v>429</v>
      </c>
      <c r="B20" s="455" t="s">
        <v>430</v>
      </c>
      <c r="C20" s="456" t="s">
        <v>439</v>
      </c>
      <c r="D20" s="457" t="s">
        <v>537</v>
      </c>
      <c r="E20" s="456" t="s">
        <v>445</v>
      </c>
      <c r="F20" s="457" t="s">
        <v>539</v>
      </c>
      <c r="G20" s="456" t="s">
        <v>446</v>
      </c>
      <c r="H20" s="456" t="s">
        <v>488</v>
      </c>
      <c r="I20" s="456" t="s">
        <v>489</v>
      </c>
      <c r="J20" s="456" t="s">
        <v>490</v>
      </c>
      <c r="K20" s="456" t="s">
        <v>491</v>
      </c>
      <c r="L20" s="458">
        <v>66.67</v>
      </c>
      <c r="M20" s="458">
        <v>4</v>
      </c>
      <c r="N20" s="459">
        <v>266.68</v>
      </c>
    </row>
    <row r="21" spans="1:14" ht="14.4" customHeight="1" x14ac:dyDescent="0.3">
      <c r="A21" s="454" t="s">
        <v>429</v>
      </c>
      <c r="B21" s="455" t="s">
        <v>430</v>
      </c>
      <c r="C21" s="456" t="s">
        <v>439</v>
      </c>
      <c r="D21" s="457" t="s">
        <v>537</v>
      </c>
      <c r="E21" s="456" t="s">
        <v>445</v>
      </c>
      <c r="F21" s="457" t="s">
        <v>539</v>
      </c>
      <c r="G21" s="456" t="s">
        <v>446</v>
      </c>
      <c r="H21" s="456" t="s">
        <v>492</v>
      </c>
      <c r="I21" s="456" t="s">
        <v>493</v>
      </c>
      <c r="J21" s="456" t="s">
        <v>494</v>
      </c>
      <c r="K21" s="456" t="s">
        <v>495</v>
      </c>
      <c r="L21" s="458">
        <v>693.55</v>
      </c>
      <c r="M21" s="458">
        <v>2</v>
      </c>
      <c r="N21" s="459">
        <v>1387.1</v>
      </c>
    </row>
    <row r="22" spans="1:14" ht="14.4" customHeight="1" x14ac:dyDescent="0.3">
      <c r="A22" s="454" t="s">
        <v>429</v>
      </c>
      <c r="B22" s="455" t="s">
        <v>430</v>
      </c>
      <c r="C22" s="456" t="s">
        <v>439</v>
      </c>
      <c r="D22" s="457" t="s">
        <v>537</v>
      </c>
      <c r="E22" s="456" t="s">
        <v>445</v>
      </c>
      <c r="F22" s="457" t="s">
        <v>539</v>
      </c>
      <c r="G22" s="456" t="s">
        <v>446</v>
      </c>
      <c r="H22" s="456" t="s">
        <v>496</v>
      </c>
      <c r="I22" s="456" t="s">
        <v>455</v>
      </c>
      <c r="J22" s="456" t="s">
        <v>497</v>
      </c>
      <c r="K22" s="456"/>
      <c r="L22" s="458">
        <v>29.018104156977245</v>
      </c>
      <c r="M22" s="458">
        <v>2</v>
      </c>
      <c r="N22" s="459">
        <v>58.036208313954489</v>
      </c>
    </row>
    <row r="23" spans="1:14" ht="14.4" customHeight="1" x14ac:dyDescent="0.3">
      <c r="A23" s="454" t="s">
        <v>429</v>
      </c>
      <c r="B23" s="455" t="s">
        <v>430</v>
      </c>
      <c r="C23" s="456" t="s">
        <v>439</v>
      </c>
      <c r="D23" s="457" t="s">
        <v>537</v>
      </c>
      <c r="E23" s="456" t="s">
        <v>445</v>
      </c>
      <c r="F23" s="457" t="s">
        <v>539</v>
      </c>
      <c r="G23" s="456" t="s">
        <v>446</v>
      </c>
      <c r="H23" s="456" t="s">
        <v>498</v>
      </c>
      <c r="I23" s="456" t="s">
        <v>499</v>
      </c>
      <c r="J23" s="456" t="s">
        <v>500</v>
      </c>
      <c r="K23" s="456" t="s">
        <v>501</v>
      </c>
      <c r="L23" s="458">
        <v>566.53999999999985</v>
      </c>
      <c r="M23" s="458">
        <v>1</v>
      </c>
      <c r="N23" s="459">
        <v>566.53999999999985</v>
      </c>
    </row>
    <row r="24" spans="1:14" ht="14.4" customHeight="1" x14ac:dyDescent="0.3">
      <c r="A24" s="454" t="s">
        <v>429</v>
      </c>
      <c r="B24" s="455" t="s">
        <v>430</v>
      </c>
      <c r="C24" s="456" t="s">
        <v>439</v>
      </c>
      <c r="D24" s="457" t="s">
        <v>537</v>
      </c>
      <c r="E24" s="456" t="s">
        <v>445</v>
      </c>
      <c r="F24" s="457" t="s">
        <v>539</v>
      </c>
      <c r="G24" s="456" t="s">
        <v>446</v>
      </c>
      <c r="H24" s="456" t="s">
        <v>502</v>
      </c>
      <c r="I24" s="456" t="s">
        <v>503</v>
      </c>
      <c r="J24" s="456" t="s">
        <v>504</v>
      </c>
      <c r="K24" s="456"/>
      <c r="L24" s="458">
        <v>252.97794477923964</v>
      </c>
      <c r="M24" s="458">
        <v>2</v>
      </c>
      <c r="N24" s="459">
        <v>505.95588955847927</v>
      </c>
    </row>
    <row r="25" spans="1:14" ht="14.4" customHeight="1" x14ac:dyDescent="0.3">
      <c r="A25" s="454" t="s">
        <v>429</v>
      </c>
      <c r="B25" s="455" t="s">
        <v>430</v>
      </c>
      <c r="C25" s="456" t="s">
        <v>439</v>
      </c>
      <c r="D25" s="457" t="s">
        <v>537</v>
      </c>
      <c r="E25" s="456" t="s">
        <v>445</v>
      </c>
      <c r="F25" s="457" t="s">
        <v>539</v>
      </c>
      <c r="G25" s="456" t="s">
        <v>446</v>
      </c>
      <c r="H25" s="456" t="s">
        <v>505</v>
      </c>
      <c r="I25" s="456" t="s">
        <v>506</v>
      </c>
      <c r="J25" s="456" t="s">
        <v>507</v>
      </c>
      <c r="K25" s="456" t="s">
        <v>508</v>
      </c>
      <c r="L25" s="458">
        <v>275.31000000000006</v>
      </c>
      <c r="M25" s="458">
        <v>18</v>
      </c>
      <c r="N25" s="459">
        <v>4955.5800000000008</v>
      </c>
    </row>
    <row r="26" spans="1:14" ht="14.4" customHeight="1" x14ac:dyDescent="0.3">
      <c r="A26" s="454" t="s">
        <v>429</v>
      </c>
      <c r="B26" s="455" t="s">
        <v>430</v>
      </c>
      <c r="C26" s="456" t="s">
        <v>439</v>
      </c>
      <c r="D26" s="457" t="s">
        <v>537</v>
      </c>
      <c r="E26" s="456" t="s">
        <v>445</v>
      </c>
      <c r="F26" s="457" t="s">
        <v>539</v>
      </c>
      <c r="G26" s="456" t="s">
        <v>446</v>
      </c>
      <c r="H26" s="456" t="s">
        <v>459</v>
      </c>
      <c r="I26" s="456" t="s">
        <v>455</v>
      </c>
      <c r="J26" s="456" t="s">
        <v>460</v>
      </c>
      <c r="K26" s="456"/>
      <c r="L26" s="458">
        <v>92.509221175368666</v>
      </c>
      <c r="M26" s="458">
        <v>1</v>
      </c>
      <c r="N26" s="459">
        <v>92.509221175368666</v>
      </c>
    </row>
    <row r="27" spans="1:14" ht="14.4" customHeight="1" x14ac:dyDescent="0.3">
      <c r="A27" s="454" t="s">
        <v>429</v>
      </c>
      <c r="B27" s="455" t="s">
        <v>430</v>
      </c>
      <c r="C27" s="456" t="s">
        <v>439</v>
      </c>
      <c r="D27" s="457" t="s">
        <v>537</v>
      </c>
      <c r="E27" s="456" t="s">
        <v>445</v>
      </c>
      <c r="F27" s="457" t="s">
        <v>539</v>
      </c>
      <c r="G27" s="456" t="s">
        <v>446</v>
      </c>
      <c r="H27" s="456" t="s">
        <v>509</v>
      </c>
      <c r="I27" s="456" t="s">
        <v>510</v>
      </c>
      <c r="J27" s="456" t="s">
        <v>511</v>
      </c>
      <c r="K27" s="456"/>
      <c r="L27" s="458">
        <v>144.03436537448169</v>
      </c>
      <c r="M27" s="458">
        <v>2</v>
      </c>
      <c r="N27" s="459">
        <v>288.06873074896339</v>
      </c>
    </row>
    <row r="28" spans="1:14" ht="14.4" customHeight="1" x14ac:dyDescent="0.3">
      <c r="A28" s="454" t="s">
        <v>429</v>
      </c>
      <c r="B28" s="455" t="s">
        <v>430</v>
      </c>
      <c r="C28" s="456" t="s">
        <v>439</v>
      </c>
      <c r="D28" s="457" t="s">
        <v>537</v>
      </c>
      <c r="E28" s="456" t="s">
        <v>445</v>
      </c>
      <c r="F28" s="457" t="s">
        <v>539</v>
      </c>
      <c r="G28" s="456" t="s">
        <v>446</v>
      </c>
      <c r="H28" s="456" t="s">
        <v>461</v>
      </c>
      <c r="I28" s="456" t="s">
        <v>455</v>
      </c>
      <c r="J28" s="456" t="s">
        <v>462</v>
      </c>
      <c r="K28" s="456"/>
      <c r="L28" s="458">
        <v>81.25668928499131</v>
      </c>
      <c r="M28" s="458">
        <v>1</v>
      </c>
      <c r="N28" s="459">
        <v>81.25668928499131</v>
      </c>
    </row>
    <row r="29" spans="1:14" ht="14.4" customHeight="1" x14ac:dyDescent="0.3">
      <c r="A29" s="454" t="s">
        <v>429</v>
      </c>
      <c r="B29" s="455" t="s">
        <v>430</v>
      </c>
      <c r="C29" s="456" t="s">
        <v>439</v>
      </c>
      <c r="D29" s="457" t="s">
        <v>537</v>
      </c>
      <c r="E29" s="456" t="s">
        <v>445</v>
      </c>
      <c r="F29" s="457" t="s">
        <v>539</v>
      </c>
      <c r="G29" s="456" t="s">
        <v>446</v>
      </c>
      <c r="H29" s="456" t="s">
        <v>512</v>
      </c>
      <c r="I29" s="456" t="s">
        <v>455</v>
      </c>
      <c r="J29" s="456" t="s">
        <v>513</v>
      </c>
      <c r="K29" s="456"/>
      <c r="L29" s="458">
        <v>56.438231124342757</v>
      </c>
      <c r="M29" s="458">
        <v>3</v>
      </c>
      <c r="N29" s="459">
        <v>169.31469337302826</v>
      </c>
    </row>
    <row r="30" spans="1:14" ht="14.4" customHeight="1" x14ac:dyDescent="0.3">
      <c r="A30" s="454" t="s">
        <v>429</v>
      </c>
      <c r="B30" s="455" t="s">
        <v>430</v>
      </c>
      <c r="C30" s="456" t="s">
        <v>439</v>
      </c>
      <c r="D30" s="457" t="s">
        <v>537</v>
      </c>
      <c r="E30" s="456" t="s">
        <v>445</v>
      </c>
      <c r="F30" s="457" t="s">
        <v>539</v>
      </c>
      <c r="G30" s="456" t="s">
        <v>446</v>
      </c>
      <c r="H30" s="456" t="s">
        <v>514</v>
      </c>
      <c r="I30" s="456" t="s">
        <v>515</v>
      </c>
      <c r="J30" s="456" t="s">
        <v>516</v>
      </c>
      <c r="K30" s="456" t="s">
        <v>517</v>
      </c>
      <c r="L30" s="458">
        <v>77.949999999999989</v>
      </c>
      <c r="M30" s="458">
        <v>2</v>
      </c>
      <c r="N30" s="459">
        <v>155.89999999999998</v>
      </c>
    </row>
    <row r="31" spans="1:14" ht="14.4" customHeight="1" x14ac:dyDescent="0.3">
      <c r="A31" s="454" t="s">
        <v>429</v>
      </c>
      <c r="B31" s="455" t="s">
        <v>430</v>
      </c>
      <c r="C31" s="456" t="s">
        <v>439</v>
      </c>
      <c r="D31" s="457" t="s">
        <v>537</v>
      </c>
      <c r="E31" s="456" t="s">
        <v>445</v>
      </c>
      <c r="F31" s="457" t="s">
        <v>539</v>
      </c>
      <c r="G31" s="456" t="s">
        <v>446</v>
      </c>
      <c r="H31" s="456" t="s">
        <v>518</v>
      </c>
      <c r="I31" s="456" t="s">
        <v>464</v>
      </c>
      <c r="J31" s="456" t="s">
        <v>519</v>
      </c>
      <c r="K31" s="456" t="s">
        <v>520</v>
      </c>
      <c r="L31" s="458">
        <v>224.14240506489674</v>
      </c>
      <c r="M31" s="458">
        <v>5</v>
      </c>
      <c r="N31" s="459">
        <v>1120.7120253244836</v>
      </c>
    </row>
    <row r="32" spans="1:14" ht="14.4" customHeight="1" x14ac:dyDescent="0.3">
      <c r="A32" s="454" t="s">
        <v>429</v>
      </c>
      <c r="B32" s="455" t="s">
        <v>430</v>
      </c>
      <c r="C32" s="456" t="s">
        <v>439</v>
      </c>
      <c r="D32" s="457" t="s">
        <v>537</v>
      </c>
      <c r="E32" s="456" t="s">
        <v>473</v>
      </c>
      <c r="F32" s="457" t="s">
        <v>540</v>
      </c>
      <c r="G32" s="456" t="s">
        <v>446</v>
      </c>
      <c r="H32" s="456" t="s">
        <v>521</v>
      </c>
      <c r="I32" s="456" t="s">
        <v>522</v>
      </c>
      <c r="J32" s="456" t="s">
        <v>523</v>
      </c>
      <c r="K32" s="456" t="s">
        <v>524</v>
      </c>
      <c r="L32" s="458">
        <v>44.097999999999999</v>
      </c>
      <c r="M32" s="458">
        <v>5</v>
      </c>
      <c r="N32" s="459">
        <v>220.49</v>
      </c>
    </row>
    <row r="33" spans="1:14" ht="14.4" customHeight="1" x14ac:dyDescent="0.3">
      <c r="A33" s="454" t="s">
        <v>429</v>
      </c>
      <c r="B33" s="455" t="s">
        <v>430</v>
      </c>
      <c r="C33" s="456" t="s">
        <v>442</v>
      </c>
      <c r="D33" s="457" t="s">
        <v>538</v>
      </c>
      <c r="E33" s="456" t="s">
        <v>445</v>
      </c>
      <c r="F33" s="457" t="s">
        <v>539</v>
      </c>
      <c r="G33" s="456" t="s">
        <v>446</v>
      </c>
      <c r="H33" s="456" t="s">
        <v>525</v>
      </c>
      <c r="I33" s="456" t="s">
        <v>526</v>
      </c>
      <c r="J33" s="456" t="s">
        <v>527</v>
      </c>
      <c r="K33" s="456" t="s">
        <v>528</v>
      </c>
      <c r="L33" s="458">
        <v>74.869850388965176</v>
      </c>
      <c r="M33" s="458">
        <v>8</v>
      </c>
      <c r="N33" s="459">
        <v>598.95880311172141</v>
      </c>
    </row>
    <row r="34" spans="1:14" ht="14.4" customHeight="1" x14ac:dyDescent="0.3">
      <c r="A34" s="454" t="s">
        <v>429</v>
      </c>
      <c r="B34" s="455" t="s">
        <v>430</v>
      </c>
      <c r="C34" s="456" t="s">
        <v>442</v>
      </c>
      <c r="D34" s="457" t="s">
        <v>538</v>
      </c>
      <c r="E34" s="456" t="s">
        <v>445</v>
      </c>
      <c r="F34" s="457" t="s">
        <v>539</v>
      </c>
      <c r="G34" s="456" t="s">
        <v>446</v>
      </c>
      <c r="H34" s="456" t="s">
        <v>505</v>
      </c>
      <c r="I34" s="456" t="s">
        <v>506</v>
      </c>
      <c r="J34" s="456" t="s">
        <v>507</v>
      </c>
      <c r="K34" s="456" t="s">
        <v>508</v>
      </c>
      <c r="L34" s="458">
        <v>275.30999999999995</v>
      </c>
      <c r="M34" s="458">
        <v>4</v>
      </c>
      <c r="N34" s="459">
        <v>1101.2399999999998</v>
      </c>
    </row>
    <row r="35" spans="1:14" ht="14.4" customHeight="1" x14ac:dyDescent="0.3">
      <c r="A35" s="454" t="s">
        <v>429</v>
      </c>
      <c r="B35" s="455" t="s">
        <v>430</v>
      </c>
      <c r="C35" s="456" t="s">
        <v>442</v>
      </c>
      <c r="D35" s="457" t="s">
        <v>538</v>
      </c>
      <c r="E35" s="456" t="s">
        <v>445</v>
      </c>
      <c r="F35" s="457" t="s">
        <v>539</v>
      </c>
      <c r="G35" s="456" t="s">
        <v>446</v>
      </c>
      <c r="H35" s="456" t="s">
        <v>529</v>
      </c>
      <c r="I35" s="456" t="s">
        <v>530</v>
      </c>
      <c r="J35" s="456" t="s">
        <v>531</v>
      </c>
      <c r="K35" s="456" t="s">
        <v>532</v>
      </c>
      <c r="L35" s="458">
        <v>620.59166666666658</v>
      </c>
      <c r="M35" s="458">
        <v>6</v>
      </c>
      <c r="N35" s="459">
        <v>3723.5499999999993</v>
      </c>
    </row>
    <row r="36" spans="1:14" ht="14.4" customHeight="1" thickBot="1" x14ac:dyDescent="0.35">
      <c r="A36" s="460" t="s">
        <v>429</v>
      </c>
      <c r="B36" s="461" t="s">
        <v>430</v>
      </c>
      <c r="C36" s="462" t="s">
        <v>442</v>
      </c>
      <c r="D36" s="463" t="s">
        <v>538</v>
      </c>
      <c r="E36" s="462" t="s">
        <v>473</v>
      </c>
      <c r="F36" s="463" t="s">
        <v>540</v>
      </c>
      <c r="G36" s="462" t="s">
        <v>446</v>
      </c>
      <c r="H36" s="462" t="s">
        <v>533</v>
      </c>
      <c r="I36" s="462" t="s">
        <v>534</v>
      </c>
      <c r="J36" s="462" t="s">
        <v>476</v>
      </c>
      <c r="K36" s="462" t="s">
        <v>535</v>
      </c>
      <c r="L36" s="464">
        <v>88.209642366420056</v>
      </c>
      <c r="M36" s="464">
        <v>3</v>
      </c>
      <c r="N36" s="465">
        <v>264.62892709926018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03" customWidth="1"/>
    <col min="2" max="2" width="5.44140625" style="211" bestFit="1" customWidth="1"/>
    <col min="3" max="3" width="6.109375" style="211" bestFit="1" customWidth="1"/>
    <col min="4" max="4" width="7.44140625" style="211" bestFit="1" customWidth="1"/>
    <col min="5" max="5" width="6.21875" style="211" bestFit="1" customWidth="1"/>
    <col min="6" max="6" width="6.33203125" style="214" bestFit="1" customWidth="1"/>
    <col min="7" max="7" width="6.109375" style="214" bestFit="1" customWidth="1"/>
    <col min="8" max="8" width="7.44140625" style="214" bestFit="1" customWidth="1"/>
    <col min="9" max="9" width="6.21875" style="214" bestFit="1" customWidth="1"/>
    <col min="10" max="10" width="5.44140625" style="211" bestFit="1" customWidth="1"/>
    <col min="11" max="11" width="6.109375" style="211" bestFit="1" customWidth="1"/>
    <col min="12" max="12" width="7.44140625" style="211" bestFit="1" customWidth="1"/>
    <col min="13" max="13" width="6.21875" style="211" bestFit="1" customWidth="1"/>
    <col min="14" max="14" width="5.33203125" style="214" bestFit="1" customWidth="1"/>
    <col min="15" max="15" width="6.109375" style="214" bestFit="1" customWidth="1"/>
    <col min="16" max="16" width="7.44140625" style="214" bestFit="1" customWidth="1"/>
    <col min="17" max="17" width="6.21875" style="214" bestFit="1" customWidth="1"/>
    <col min="18" max="16384" width="8.88671875" style="133"/>
  </cols>
  <sheetData>
    <row r="1" spans="1:17" ht="18.600000000000001" customHeight="1" thickBot="1" x14ac:dyDescent="0.4">
      <c r="A1" s="353" t="s">
        <v>205</v>
      </c>
      <c r="B1" s="353"/>
      <c r="C1" s="353"/>
      <c r="D1" s="353"/>
      <c r="E1" s="353"/>
      <c r="F1" s="316"/>
      <c r="G1" s="316"/>
      <c r="H1" s="316"/>
      <c r="I1" s="316"/>
      <c r="J1" s="346"/>
      <c r="K1" s="346"/>
      <c r="L1" s="346"/>
      <c r="M1" s="346"/>
      <c r="N1" s="346"/>
      <c r="O1" s="346"/>
      <c r="P1" s="346"/>
      <c r="Q1" s="346"/>
    </row>
    <row r="2" spans="1:17" ht="14.4" customHeight="1" thickBot="1" x14ac:dyDescent="0.35">
      <c r="A2" s="239" t="s">
        <v>251</v>
      </c>
      <c r="B2" s="218"/>
      <c r="C2" s="218"/>
      <c r="D2" s="218"/>
      <c r="E2" s="218"/>
    </row>
    <row r="3" spans="1:17" ht="14.4" customHeight="1" thickBot="1" x14ac:dyDescent="0.35">
      <c r="A3" s="292" t="s">
        <v>3</v>
      </c>
      <c r="B3" s="296">
        <f>SUM(B6:B1048576)</f>
        <v>65</v>
      </c>
      <c r="C3" s="297">
        <f>SUM(C6:C1048576)</f>
        <v>0</v>
      </c>
      <c r="D3" s="297">
        <f>SUM(D6:D1048576)</f>
        <v>0</v>
      </c>
      <c r="E3" s="298">
        <f>SUM(E6:E1048576)</f>
        <v>0</v>
      </c>
      <c r="F3" s="295">
        <f>IF(SUM($B3:$E3)=0,"",B3/SUM($B3:$E3))</f>
        <v>1</v>
      </c>
      <c r="G3" s="293">
        <f t="shared" ref="G3:I3" si="0">IF(SUM($B3:$E3)=0,"",C3/SUM($B3:$E3))</f>
        <v>0</v>
      </c>
      <c r="H3" s="293">
        <f t="shared" si="0"/>
        <v>0</v>
      </c>
      <c r="I3" s="294">
        <f t="shared" si="0"/>
        <v>0</v>
      </c>
      <c r="J3" s="297">
        <f>SUM(J6:J1048576)</f>
        <v>18</v>
      </c>
      <c r="K3" s="297">
        <f>SUM(K6:K1048576)</f>
        <v>0</v>
      </c>
      <c r="L3" s="297">
        <f>SUM(L6:L1048576)</f>
        <v>0</v>
      </c>
      <c r="M3" s="298">
        <f>SUM(M6:M1048576)</f>
        <v>0</v>
      </c>
      <c r="N3" s="295">
        <f>IF(SUM($J3:$M3)=0,"",J3/SUM($J3:$M3))</f>
        <v>1</v>
      </c>
      <c r="O3" s="293">
        <f t="shared" ref="O3:Q3" si="1">IF(SUM($J3:$M3)=0,"",K3/SUM($J3:$M3))</f>
        <v>0</v>
      </c>
      <c r="P3" s="293">
        <f t="shared" si="1"/>
        <v>0</v>
      </c>
      <c r="Q3" s="294">
        <f t="shared" si="1"/>
        <v>0</v>
      </c>
    </row>
    <row r="4" spans="1:17" ht="14.4" customHeight="1" thickBot="1" x14ac:dyDescent="0.35">
      <c r="A4" s="291"/>
      <c r="B4" s="366" t="s">
        <v>207</v>
      </c>
      <c r="C4" s="367"/>
      <c r="D4" s="367"/>
      <c r="E4" s="368"/>
      <c r="F4" s="363" t="s">
        <v>212</v>
      </c>
      <c r="G4" s="364"/>
      <c r="H4" s="364"/>
      <c r="I4" s="365"/>
      <c r="J4" s="366" t="s">
        <v>213</v>
      </c>
      <c r="K4" s="367"/>
      <c r="L4" s="367"/>
      <c r="M4" s="368"/>
      <c r="N4" s="363" t="s">
        <v>214</v>
      </c>
      <c r="O4" s="364"/>
      <c r="P4" s="364"/>
      <c r="Q4" s="365"/>
    </row>
    <row r="5" spans="1:17" ht="14.4" customHeight="1" thickBot="1" x14ac:dyDescent="0.35">
      <c r="A5" s="466" t="s">
        <v>206</v>
      </c>
      <c r="B5" s="467" t="s">
        <v>208</v>
      </c>
      <c r="C5" s="467" t="s">
        <v>209</v>
      </c>
      <c r="D5" s="467" t="s">
        <v>210</v>
      </c>
      <c r="E5" s="468" t="s">
        <v>211</v>
      </c>
      <c r="F5" s="469" t="s">
        <v>208</v>
      </c>
      <c r="G5" s="470" t="s">
        <v>209</v>
      </c>
      <c r="H5" s="470" t="s">
        <v>210</v>
      </c>
      <c r="I5" s="471" t="s">
        <v>211</v>
      </c>
      <c r="J5" s="467" t="s">
        <v>208</v>
      </c>
      <c r="K5" s="467" t="s">
        <v>209</v>
      </c>
      <c r="L5" s="467" t="s">
        <v>210</v>
      </c>
      <c r="M5" s="468" t="s">
        <v>211</v>
      </c>
      <c r="N5" s="469" t="s">
        <v>208</v>
      </c>
      <c r="O5" s="470" t="s">
        <v>209</v>
      </c>
      <c r="P5" s="470" t="s">
        <v>210</v>
      </c>
      <c r="Q5" s="471" t="s">
        <v>211</v>
      </c>
    </row>
    <row r="6" spans="1:17" ht="14.4" customHeight="1" x14ac:dyDescent="0.3">
      <c r="A6" s="478" t="s">
        <v>541</v>
      </c>
      <c r="B6" s="484"/>
      <c r="C6" s="452"/>
      <c r="D6" s="452"/>
      <c r="E6" s="453"/>
      <c r="F6" s="481"/>
      <c r="G6" s="472"/>
      <c r="H6" s="472"/>
      <c r="I6" s="487"/>
      <c r="J6" s="484"/>
      <c r="K6" s="452"/>
      <c r="L6" s="452"/>
      <c r="M6" s="453"/>
      <c r="N6" s="481"/>
      <c r="O6" s="472"/>
      <c r="P6" s="472"/>
      <c r="Q6" s="473"/>
    </row>
    <row r="7" spans="1:17" ht="14.4" customHeight="1" x14ac:dyDescent="0.3">
      <c r="A7" s="479" t="s">
        <v>542</v>
      </c>
      <c r="B7" s="485">
        <v>22</v>
      </c>
      <c r="C7" s="458"/>
      <c r="D7" s="458"/>
      <c r="E7" s="459"/>
      <c r="F7" s="482">
        <v>1</v>
      </c>
      <c r="G7" s="474">
        <v>0</v>
      </c>
      <c r="H7" s="474">
        <v>0</v>
      </c>
      <c r="I7" s="488">
        <v>0</v>
      </c>
      <c r="J7" s="485">
        <v>6</v>
      </c>
      <c r="K7" s="458"/>
      <c r="L7" s="458"/>
      <c r="M7" s="459"/>
      <c r="N7" s="482">
        <v>1</v>
      </c>
      <c r="O7" s="474">
        <v>0</v>
      </c>
      <c r="P7" s="474">
        <v>0</v>
      </c>
      <c r="Q7" s="475">
        <v>0</v>
      </c>
    </row>
    <row r="8" spans="1:17" ht="14.4" customHeight="1" x14ac:dyDescent="0.3">
      <c r="A8" s="479" t="s">
        <v>543</v>
      </c>
      <c r="B8" s="485">
        <v>39</v>
      </c>
      <c r="C8" s="458"/>
      <c r="D8" s="458"/>
      <c r="E8" s="459"/>
      <c r="F8" s="482">
        <v>1</v>
      </c>
      <c r="G8" s="474">
        <v>0</v>
      </c>
      <c r="H8" s="474">
        <v>0</v>
      </c>
      <c r="I8" s="488">
        <v>0</v>
      </c>
      <c r="J8" s="485">
        <v>11</v>
      </c>
      <c r="K8" s="458"/>
      <c r="L8" s="458"/>
      <c r="M8" s="459"/>
      <c r="N8" s="482">
        <v>1</v>
      </c>
      <c r="O8" s="474">
        <v>0</v>
      </c>
      <c r="P8" s="474">
        <v>0</v>
      </c>
      <c r="Q8" s="475">
        <v>0</v>
      </c>
    </row>
    <row r="9" spans="1:17" ht="14.4" customHeight="1" thickBot="1" x14ac:dyDescent="0.35">
      <c r="A9" s="480" t="s">
        <v>544</v>
      </c>
      <c r="B9" s="486">
        <v>4</v>
      </c>
      <c r="C9" s="464"/>
      <c r="D9" s="464"/>
      <c r="E9" s="465"/>
      <c r="F9" s="483">
        <v>1</v>
      </c>
      <c r="G9" s="476">
        <v>0</v>
      </c>
      <c r="H9" s="476">
        <v>0</v>
      </c>
      <c r="I9" s="489">
        <v>0</v>
      </c>
      <c r="J9" s="486">
        <v>1</v>
      </c>
      <c r="K9" s="464"/>
      <c r="L9" s="464"/>
      <c r="M9" s="465"/>
      <c r="N9" s="483">
        <v>1</v>
      </c>
      <c r="O9" s="476">
        <v>0</v>
      </c>
      <c r="P9" s="476">
        <v>0</v>
      </c>
      <c r="Q9" s="47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9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ZV Vyžád.</vt:lpstr>
      <vt:lpstr>ZV Vyžád.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2016-03-30T20:40:40Z</dcterms:modified>
</cp:coreProperties>
</file>