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145" i="371" l="1"/>
  <c r="U145" i="371"/>
  <c r="T145" i="371"/>
  <c r="S145" i="371"/>
  <c r="R145" i="371"/>
  <c r="Q145" i="371"/>
  <c r="T144" i="371"/>
  <c r="V144" i="371" s="1"/>
  <c r="S144" i="371"/>
  <c r="R144" i="371"/>
  <c r="Q144" i="371"/>
  <c r="T143" i="371"/>
  <c r="V143" i="371" s="1"/>
  <c r="S143" i="371"/>
  <c r="R143" i="371"/>
  <c r="Q143" i="371"/>
  <c r="T142" i="371"/>
  <c r="V142" i="371" s="1"/>
  <c r="S142" i="371"/>
  <c r="R142" i="371"/>
  <c r="Q142" i="371"/>
  <c r="T141" i="371"/>
  <c r="V141" i="371" s="1"/>
  <c r="S141" i="371"/>
  <c r="R141" i="371"/>
  <c r="Q141" i="371"/>
  <c r="V140" i="371"/>
  <c r="U140" i="371"/>
  <c r="T140" i="371"/>
  <c r="S140" i="371"/>
  <c r="R140" i="371"/>
  <c r="Q140" i="371"/>
  <c r="V139" i="371"/>
  <c r="U139" i="371"/>
  <c r="T139" i="371"/>
  <c r="S139" i="371"/>
  <c r="R139" i="371"/>
  <c r="Q139" i="371"/>
  <c r="V138" i="371"/>
  <c r="U138" i="371"/>
  <c r="T138" i="371"/>
  <c r="S138" i="371"/>
  <c r="R138" i="371"/>
  <c r="Q138" i="371"/>
  <c r="V137" i="371"/>
  <c r="U137" i="371"/>
  <c r="T137" i="371"/>
  <c r="S137" i="371"/>
  <c r="R137" i="371"/>
  <c r="Q137" i="371"/>
  <c r="V136" i="371"/>
  <c r="U136" i="371"/>
  <c r="T136" i="371"/>
  <c r="S136" i="371"/>
  <c r="R136" i="371"/>
  <c r="Q136" i="371"/>
  <c r="T135" i="371"/>
  <c r="V135" i="371" s="1"/>
  <c r="S135" i="371"/>
  <c r="R135" i="371"/>
  <c r="Q135" i="371"/>
  <c r="V134" i="371"/>
  <c r="U134" i="371"/>
  <c r="T134" i="371"/>
  <c r="S134" i="371"/>
  <c r="R134" i="371"/>
  <c r="Q134" i="371"/>
  <c r="V133" i="371"/>
  <c r="U133" i="371"/>
  <c r="T133" i="371"/>
  <c r="S133" i="371"/>
  <c r="R133" i="371"/>
  <c r="Q133" i="371"/>
  <c r="V132" i="371"/>
  <c r="U132" i="371"/>
  <c r="T132" i="371"/>
  <c r="S132" i="371"/>
  <c r="R132" i="371"/>
  <c r="Q132" i="371"/>
  <c r="T131" i="371"/>
  <c r="V131" i="371" s="1"/>
  <c r="S131" i="371"/>
  <c r="R131" i="371"/>
  <c r="Q131" i="371"/>
  <c r="T130" i="371"/>
  <c r="S130" i="371"/>
  <c r="V130" i="371" s="1"/>
  <c r="R130" i="371"/>
  <c r="Q130" i="371"/>
  <c r="T129" i="371"/>
  <c r="V129" i="371" s="1"/>
  <c r="S129" i="371"/>
  <c r="R129" i="371"/>
  <c r="Q129" i="371"/>
  <c r="V128" i="371"/>
  <c r="U128" i="371"/>
  <c r="T128" i="371"/>
  <c r="S128" i="371"/>
  <c r="R128" i="371"/>
  <c r="Q128" i="371"/>
  <c r="T127" i="371"/>
  <c r="V127" i="371" s="1"/>
  <c r="S127" i="371"/>
  <c r="R127" i="371"/>
  <c r="Q127" i="371"/>
  <c r="V126" i="371"/>
  <c r="U126" i="371"/>
  <c r="T126" i="371"/>
  <c r="S126" i="371"/>
  <c r="R126" i="371"/>
  <c r="Q126" i="371"/>
  <c r="V125" i="371"/>
  <c r="U125" i="371"/>
  <c r="T125" i="371"/>
  <c r="S125" i="371"/>
  <c r="R125" i="371"/>
  <c r="Q125" i="371"/>
  <c r="V124" i="371"/>
  <c r="U124" i="371"/>
  <c r="T124" i="371"/>
  <c r="S124" i="371"/>
  <c r="R124" i="371"/>
  <c r="Q124" i="371"/>
  <c r="V123" i="371"/>
  <c r="U123" i="371"/>
  <c r="T123" i="371"/>
  <c r="S123" i="371"/>
  <c r="R123" i="371"/>
  <c r="Q123" i="371"/>
  <c r="V122" i="371"/>
  <c r="U122" i="371"/>
  <c r="T122" i="371"/>
  <c r="S122" i="371"/>
  <c r="R122" i="371"/>
  <c r="Q122" i="371"/>
  <c r="T121" i="371"/>
  <c r="V121" i="371" s="1"/>
  <c r="S121" i="371"/>
  <c r="R121" i="371"/>
  <c r="Q121" i="371"/>
  <c r="V120" i="371"/>
  <c r="U120" i="371"/>
  <c r="T120" i="371"/>
  <c r="S120" i="371"/>
  <c r="R120" i="371"/>
  <c r="Q120" i="371"/>
  <c r="V119" i="371"/>
  <c r="U119" i="371"/>
  <c r="T119" i="371"/>
  <c r="S119" i="371"/>
  <c r="R119" i="371"/>
  <c r="Q119" i="371"/>
  <c r="V118" i="371"/>
  <c r="U118" i="371"/>
  <c r="T118" i="371"/>
  <c r="S118" i="371"/>
  <c r="R118" i="371"/>
  <c r="Q118" i="371"/>
  <c r="V117" i="371"/>
  <c r="U117" i="371"/>
  <c r="T117" i="371"/>
  <c r="S117" i="371"/>
  <c r="R117" i="371"/>
  <c r="Q117" i="371"/>
  <c r="V116" i="371"/>
  <c r="U116" i="371"/>
  <c r="T116" i="371"/>
  <c r="S116" i="371"/>
  <c r="R116" i="371"/>
  <c r="Q116" i="371"/>
  <c r="V115" i="371"/>
  <c r="U115" i="371"/>
  <c r="T115" i="371"/>
  <c r="S115" i="371"/>
  <c r="R115" i="371"/>
  <c r="Q115" i="371"/>
  <c r="V114" i="371"/>
  <c r="U114" i="371"/>
  <c r="T114" i="371"/>
  <c r="S114" i="371"/>
  <c r="R114" i="371"/>
  <c r="Q114" i="371"/>
  <c r="V113" i="371"/>
  <c r="U113" i="371"/>
  <c r="T113" i="371"/>
  <c r="S113" i="371"/>
  <c r="R113" i="371"/>
  <c r="Q113" i="371"/>
  <c r="V112" i="371"/>
  <c r="U112" i="371"/>
  <c r="T112" i="371"/>
  <c r="S112" i="371"/>
  <c r="R112" i="371"/>
  <c r="Q112" i="371"/>
  <c r="T111" i="371"/>
  <c r="V111" i="371" s="1"/>
  <c r="S111" i="371"/>
  <c r="R111" i="371"/>
  <c r="Q111" i="371"/>
  <c r="V110" i="371"/>
  <c r="U110" i="371"/>
  <c r="T110" i="371"/>
  <c r="S110" i="371"/>
  <c r="R110" i="371"/>
  <c r="Q110" i="371"/>
  <c r="T109" i="371"/>
  <c r="V109" i="371" s="1"/>
  <c r="S109" i="371"/>
  <c r="R109" i="371"/>
  <c r="Q109" i="371"/>
  <c r="V108" i="371"/>
  <c r="U108" i="371"/>
  <c r="T108" i="371"/>
  <c r="S108" i="371"/>
  <c r="R108" i="371"/>
  <c r="Q108" i="371"/>
  <c r="T107" i="371"/>
  <c r="V107" i="371" s="1"/>
  <c r="S107" i="371"/>
  <c r="R107" i="371"/>
  <c r="Q107" i="371"/>
  <c r="V106" i="371"/>
  <c r="U106" i="371"/>
  <c r="T106" i="371"/>
  <c r="S106" i="371"/>
  <c r="R106" i="371"/>
  <c r="Q106" i="371"/>
  <c r="T105" i="371"/>
  <c r="V105" i="371" s="1"/>
  <c r="S105" i="371"/>
  <c r="R105" i="371"/>
  <c r="Q105" i="371"/>
  <c r="V104" i="371"/>
  <c r="U104" i="371"/>
  <c r="T104" i="371"/>
  <c r="S104" i="371"/>
  <c r="R104" i="371"/>
  <c r="Q104" i="371"/>
  <c r="T103" i="371"/>
  <c r="V103" i="371" s="1"/>
  <c r="S103" i="371"/>
  <c r="R103" i="371"/>
  <c r="Q103" i="371"/>
  <c r="V102" i="371"/>
  <c r="U102" i="371"/>
  <c r="T102" i="371"/>
  <c r="S102" i="371"/>
  <c r="R102" i="371"/>
  <c r="Q102" i="371"/>
  <c r="T101" i="371"/>
  <c r="V101" i="371" s="1"/>
  <c r="S101" i="371"/>
  <c r="R101" i="371"/>
  <c r="Q101" i="371"/>
  <c r="V100" i="371"/>
  <c r="U100" i="371"/>
  <c r="T100" i="371"/>
  <c r="S100" i="371"/>
  <c r="R100" i="371"/>
  <c r="Q100" i="371"/>
  <c r="T99" i="371"/>
  <c r="V99" i="371" s="1"/>
  <c r="S99" i="371"/>
  <c r="R99" i="371"/>
  <c r="Q99" i="371"/>
  <c r="V98" i="371"/>
  <c r="U98" i="371"/>
  <c r="T98" i="371"/>
  <c r="S98" i="371"/>
  <c r="R98" i="371"/>
  <c r="Q98" i="371"/>
  <c r="V97" i="371"/>
  <c r="U97" i="371"/>
  <c r="T97" i="371"/>
  <c r="S97" i="371"/>
  <c r="R97" i="371"/>
  <c r="Q97" i="371"/>
  <c r="V96" i="371"/>
  <c r="U96" i="371"/>
  <c r="T96" i="371"/>
  <c r="S96" i="371"/>
  <c r="R96" i="371"/>
  <c r="Q96" i="371"/>
  <c r="T95" i="371"/>
  <c r="V95" i="371" s="1"/>
  <c r="S95" i="371"/>
  <c r="R95" i="371"/>
  <c r="Q95" i="371"/>
  <c r="V94" i="371"/>
  <c r="U94" i="371"/>
  <c r="T94" i="371"/>
  <c r="S94" i="371"/>
  <c r="R94" i="371"/>
  <c r="Q94" i="371"/>
  <c r="T93" i="371"/>
  <c r="V93" i="371" s="1"/>
  <c r="S93" i="371"/>
  <c r="R93" i="371"/>
  <c r="Q93" i="371"/>
  <c r="V92" i="371"/>
  <c r="U92" i="371"/>
  <c r="T92" i="371"/>
  <c r="S92" i="371"/>
  <c r="R92" i="371"/>
  <c r="Q92" i="371"/>
  <c r="T91" i="371"/>
  <c r="V91" i="371" s="1"/>
  <c r="S91" i="371"/>
  <c r="R91" i="371"/>
  <c r="Q91" i="371"/>
  <c r="V90" i="371"/>
  <c r="U90" i="371"/>
  <c r="T90" i="371"/>
  <c r="S90" i="371"/>
  <c r="R90" i="371"/>
  <c r="Q90" i="371"/>
  <c r="T89" i="371"/>
  <c r="V89" i="371" s="1"/>
  <c r="S89" i="371"/>
  <c r="R89" i="371"/>
  <c r="Q89" i="371"/>
  <c r="V88" i="371"/>
  <c r="U88" i="371"/>
  <c r="T88" i="371"/>
  <c r="S88" i="371"/>
  <c r="R88" i="371"/>
  <c r="Q88" i="371"/>
  <c r="T87" i="371"/>
  <c r="V87" i="371" s="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U84" i="371"/>
  <c r="T84" i="371"/>
  <c r="S84" i="37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T79" i="371"/>
  <c r="V79" i="371" s="1"/>
  <c r="S79" i="371"/>
  <c r="R79" i="371"/>
  <c r="Q79" i="371"/>
  <c r="V78" i="371"/>
  <c r="U78" i="371"/>
  <c r="T78" i="371"/>
  <c r="S78" i="371"/>
  <c r="R78" i="371"/>
  <c r="Q78" i="371"/>
  <c r="V77" i="371"/>
  <c r="U77" i="371"/>
  <c r="T77" i="37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V62" i="371"/>
  <c r="U62" i="371"/>
  <c r="T62" i="37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V55" i="371"/>
  <c r="U55" i="371"/>
  <c r="T55" i="37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T13" i="371"/>
  <c r="V13" i="371" s="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30" i="371" l="1"/>
  <c r="U142" i="371"/>
  <c r="U144" i="371"/>
  <c r="U9" i="371"/>
  <c r="U13" i="371"/>
  <c r="U15" i="371"/>
  <c r="U17" i="371"/>
  <c r="U19" i="371"/>
  <c r="U21" i="371"/>
  <c r="U27" i="371"/>
  <c r="U29" i="371"/>
  <c r="U33" i="371"/>
  <c r="U35" i="371"/>
  <c r="U45" i="371"/>
  <c r="U49" i="371"/>
  <c r="U51" i="371"/>
  <c r="U53" i="371"/>
  <c r="U57" i="371"/>
  <c r="U59" i="371"/>
  <c r="U65" i="371"/>
  <c r="U79" i="371"/>
  <c r="U85" i="371"/>
  <c r="U87" i="371"/>
  <c r="U89" i="371"/>
  <c r="U91" i="371"/>
  <c r="U93" i="371"/>
  <c r="U95" i="371"/>
  <c r="U99" i="371"/>
  <c r="U101" i="371"/>
  <c r="U103" i="371"/>
  <c r="U105" i="371"/>
  <c r="U107" i="371"/>
  <c r="U109" i="371"/>
  <c r="U111" i="371"/>
  <c r="U121" i="371"/>
  <c r="U127" i="371"/>
  <c r="U129" i="371"/>
  <c r="U131" i="371"/>
  <c r="U135" i="371"/>
  <c r="U141" i="371"/>
  <c r="U143" i="371"/>
  <c r="A7" i="339"/>
  <c r="B3" i="418" l="1"/>
  <c r="L6" i="419" l="1"/>
  <c r="H6" i="419"/>
  <c r="E6" i="419"/>
  <c r="K6" i="419"/>
  <c r="G6" i="419"/>
  <c r="D6" i="419"/>
  <c r="B6" i="419"/>
  <c r="J6" i="419"/>
  <c r="F6" i="419"/>
  <c r="C6" i="419"/>
  <c r="I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5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1" i="414"/>
  <c r="D21" i="414"/>
  <c r="Q3" i="347" l="1"/>
  <c r="S3" i="347"/>
  <c r="U3" i="347"/>
  <c r="H3" i="387"/>
  <c r="F3" i="372"/>
  <c r="N3" i="372"/>
  <c r="C27" i="414"/>
  <c r="E27" i="414" s="1"/>
  <c r="F13" i="339"/>
  <c r="E13" i="339"/>
  <c r="E15" i="339" s="1"/>
  <c r="J3" i="372"/>
  <c r="H12" i="339"/>
  <c r="G12" i="339"/>
  <c r="K3" i="390"/>
  <c r="A11" i="383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15" i="414"/>
  <c r="D17" i="414"/>
  <c r="C4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<sst xmlns="http://schemas.openxmlformats.org/spreadsheetml/2006/main" count="13230" uniqueCount="3756">
  <si>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</si>
  <si>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</si>
  <si>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</si>
  <si>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</si>
  <si>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</si>
  <si>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</si>
  <si>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</si>
  <si>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</si>
  <si>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</si>
  <si>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</si>
  <si>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</si>
  <si>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</si>
  <si>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</si>
  <si>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</si>
  <si>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</si>
  <si>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</si>
  <si>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</si>
  <si>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</si>
  <si>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</si>
  <si>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</si>
  <si>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</si>
  <si>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</si>
  <si>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</si>
  <si>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</si>
  <si>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</si>
  <si>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</si>
  <si>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</si>
  <si>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</si>
  <si>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</si>
  <si>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</si>
  <si>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</si>
  <si>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</si>
  <si>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</si>
  <si>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</si>
  <si>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</si>
  <si>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</si>
  <si>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</si>
  <si>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</si>
  <si>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</si>
  <si>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</si>
  <si>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</si>
  <si>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</si>
  <si>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</si>
  <si>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</si>
  <si>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</si>
  <si>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</si>
  <si>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</si>
  <si>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</si>
  <si>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</si>
  <si>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</si>
  <si>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</si>
  <si>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</si>
  <si>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</si>
  <si>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</si>
  <si>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</si>
  <si>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</si>
  <si>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</si>
  <si>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</si>
  <si>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</si>
  <si>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</si>
  <si>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</si>
  <si>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</si>
  <si>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</si>
  <si>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</si>
  <si>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</si>
  <si>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</si>
  <si>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</si>
  <si>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</si>
  <si>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</si>
  <si>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</si>
  <si>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</si>
  <si>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</si>
  <si>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</si>
  <si>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</si>
  <si>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</si>
  <si>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</si>
  <si>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</si>
  <si>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</si>
  <si>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</si>
  <si>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</si>
  <si>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</si>
  <si>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</si>
  <si>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</si>
  <si>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</si>
  <si>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</si>
  <si>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</si>
  <si>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</si>
  <si>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</si>
  <si>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</si>
  <si>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</si>
  <si>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</si>
  <si>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</si>
  <si>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</si>
  <si>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</si>
  <si>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</si>
  <si>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</si>
  <si>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</si>
  <si>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</si>
  <si>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</si>
  <si>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</si>
  <si>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</si>
  <si>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</si>
  <si>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</si>
  <si>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</si>
  <si>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</si>
  <si>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</si>
  <si>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</si>
  <si>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</si>
  <si>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</si>
  <si>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</si>
  <si>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</si>
  <si>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</si>
  <si>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</si>
  <si>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</si>
  <si>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</si>
  <si>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</si>
  <si>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</si>
  <si>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</si>
  <si>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</si>
  <si>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</si>
  <si>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</si>
  <si>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</si>
  <si>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</si>
  <si>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</si>
  <si>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</si>
  <si>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</si>
  <si>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</si>
  <si>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</si>
  <si>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</si>
  <si>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</si>
  <si>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</si>
  <si>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</si>
  <si>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</si>
  <si>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</si>
  <si>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</si>
  <si>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</si>
  <si>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</si>
  <si>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</si>
  <si>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</si>
  <si>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</si>
  <si>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</si>
  <si>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</si>
  <si>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</si>
  <si>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</si>
  <si>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</si>
  <si>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</si>
  <si>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</si>
  <si>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</si>
  <si>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</si>
  <si>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</si>
  <si>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</si>
  <si>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</si>
  <si>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</si>
  <si>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</si>
  <si>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</si>
  <si>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</si>
  <si>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</si>
  <si>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</si>
  <si>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</si>
  <si>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</si>
  <si>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</si>
  <si>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</si>
  <si>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</si>
  <si>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</si>
  <si>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</si>
  <si>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</si>
  <si>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</si>
  <si>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</si>
  <si>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</si>
  <si>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</si>
  <si>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</si>
  <si>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</si>
  <si>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</si>
  <si>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</si>
  <si>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</si>
  <si>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</si>
  <si>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</si>
  <si>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</si>
  <si>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</si>
  <si>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</si>
  <si>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</si>
  <si>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</si>
  <si>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</si>
  <si>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</si>
  <si>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</si>
  <si>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</si>
  <si>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</si>
  <si>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</si>
  <si>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</si>
  <si>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</si>
  <si>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</si>
  <si>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</si>
  <si>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</si>
  <si>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</si>
  <si>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</si>
  <si>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</si>
  <si>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</si>
  <si>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</si>
  <si>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</si>
  <si>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</si>
  <si>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</si>
  <si>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</si>
  <si>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</si>
  <si>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</si>
  <si>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</si>
  <si>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</si>
  <si>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</si>
  <si>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</si>
  <si>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</si>
  <si>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</si>
  <si>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</si>
  <si>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</si>
  <si>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</si>
  <si>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</si>
  <si>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</si>
  <si>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</si>
  <si>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</si>
  <si>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</si>
  <si>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</si>
  <si>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</si>
  <si>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</si>
  <si>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</si>
  <si>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</si>
  <si>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</si>
  <si>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</si>
  <si>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</si>
  <si>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</si>
  <si>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</si>
  <si>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</si>
  <si>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</si>
  <si>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</si>
  <si>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</si>
  <si>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</si>
  <si>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</si>
  <si>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</si>
  <si>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</si>
  <si>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</si>
  <si>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</si>
  <si>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</si>
  <si>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* Legenda</t>
  </si>
  <si>
    <t>Dle vyhlášky optimum casemixu 97%, hospitalizace 93%</t>
  </si>
  <si>
    <t>333 - Cizinci</t>
  </si>
  <si>
    <t>Počet hospitalizací - případů DRG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</si>
  <si>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</si>
  <si>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</si>
  <si>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</si>
  <si>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</si>
  <si>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</si>
  <si>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</si>
  <si>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</si>
  <si>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</si>
  <si>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</si>
  <si>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</si>
  <si>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</si>
  <si>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</si>
  <si>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</si>
  <si>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</si>
  <si>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</si>
  <si>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</si>
  <si>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</si>
  <si>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</si>
  <si>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</si>
  <si>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</si>
  <si>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</si>
  <si>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</si>
  <si>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</si>
  <si>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</si>
  <si>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</si>
  <si>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</si>
  <si>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</si>
  <si>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</si>
  <si>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</si>
  <si>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</si>
  <si>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</si>
  <si>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</si>
  <si>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</si>
  <si>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</si>
  <si>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</si>
  <si>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</si>
  <si>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</si>
  <si>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</si>
  <si>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</si>
  <si>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</si>
  <si>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</si>
  <si>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</si>
  <si>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</si>
  <si>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</si>
  <si>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</si>
  <si>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</si>
  <si>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</si>
  <si>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</si>
  <si>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</si>
  <si>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</si>
  <si>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</si>
  <si>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</si>
  <si>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</si>
  <si>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</si>
  <si>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</si>
  <si>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geriatrie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</si>
  <si>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</si>
  <si>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</si>
  <si>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</si>
  <si>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</si>
  <si>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</si>
  <si>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</si>
  <si>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</si>
  <si>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</si>
  <si>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</si>
  <si>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</si>
  <si>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</si>
  <si>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</si>
  <si>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</si>
  <si>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</si>
  <si>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</si>
  <si>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</si>
  <si>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</si>
  <si>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</si>
  <si>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</si>
  <si>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</si>
  <si>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</si>
  <si>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</si>
  <si>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</si>
  <si>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</si>
  <si>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</si>
  <si>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</si>
  <si>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</si>
  <si>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</si>
  <si>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</si>
  <si>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</si>
  <si>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</si>
  <si>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</si>
  <si>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</si>
  <si>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</si>
  <si>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</si>
  <si>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</si>
  <si>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</si>
  <si>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</si>
  <si>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</si>
  <si>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</si>
  <si>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</si>
  <si>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</si>
  <si>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</si>
  <si>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</si>
  <si>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</si>
  <si>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</si>
  <si>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</si>
  <si>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</si>
  <si>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</si>
  <si>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</si>
  <si>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</si>
  <si>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</si>
  <si>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</si>
  <si>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</si>
  <si>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</si>
  <si>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</si>
  <si>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</si>
  <si>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</si>
  <si>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</si>
  <si>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</si>
  <si>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</si>
  <si>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</si>
  <si>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</si>
  <si>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</si>
  <si>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</si>
  <si>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</si>
  <si>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</si>
  <si>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</si>
  <si>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</si>
  <si>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</si>
  <si>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</si>
  <si>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</si>
  <si>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</si>
  <si>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</si>
  <si>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</si>
  <si>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</si>
  <si>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</si>
  <si>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</si>
  <si>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</si>
  <si>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</si>
  <si>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</si>
  <si>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</si>
  <si>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</si>
  <si>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</si>
  <si>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</si>
  <si>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</si>
  <si>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</si>
  <si>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</si>
  <si>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</si>
  <si>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</si>
  <si>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</si>
  <si>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</si>
  <si>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</si>
  <si>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</si>
  <si>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</si>
  <si>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</si>
  <si>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</si>
  <si>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</si>
  <si>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</si>
  <si>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</si>
  <si>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</si>
  <si>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</si>
  <si>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</si>
  <si>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</si>
  <si>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</si>
  <si>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</si>
  <si>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</si>
  <si>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</si>
  <si>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</si>
  <si>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</si>
  <si>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</si>
  <si>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</si>
  <si>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</si>
  <si>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</si>
  <si>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</si>
  <si>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</si>
  <si>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</si>
  <si>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</si>
  <si>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</si>
  <si>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</si>
  <si>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</si>
  <si>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</si>
  <si>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</si>
  <si>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</si>
  <si>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</si>
  <si>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</si>
  <si>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</si>
  <si>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</si>
  <si>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</si>
  <si>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</si>
  <si>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</si>
  <si>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55801081     DDHM - zdravotnický a laboratorní (finanční dary)</t>
  </si>
  <si>
    <t>55804     DDHM - výpočetní technika</t>
  </si>
  <si>
    <t>55804081     DDHM - výpočetní technika (finanční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</si>
  <si>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</si>
  <si>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</si>
  <si>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</si>
  <si>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</si>
  <si>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</si>
  <si>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</si>
  <si>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</si>
  <si>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</si>
  <si>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</si>
  <si>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</si>
  <si>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</si>
  <si>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</si>
  <si>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</si>
  <si>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</si>
  <si>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</si>
  <si>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</si>
  <si>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</si>
  <si>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</si>
  <si>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</si>
  <si>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</si>
  <si>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</si>
  <si>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</si>
  <si>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</si>
  <si>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</si>
  <si>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</si>
  <si>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</si>
  <si>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</si>
  <si>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</si>
  <si>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</si>
  <si>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</si>
  <si>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</si>
  <si>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</si>
  <si>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</si>
  <si>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</si>
  <si>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</si>
  <si>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</si>
  <si>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</si>
  <si>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</si>
  <si>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</si>
  <si>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64908044     náhrady od pojišť. (majetek)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</si>
  <si>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</si>
  <si>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</si>
  <si>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</si>
  <si>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</si>
  <si>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</si>
  <si>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</si>
  <si>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</si>
  <si>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</si>
  <si>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</si>
  <si>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</si>
  <si>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</si>
  <si>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</si>
  <si>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</si>
  <si>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</si>
  <si>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</si>
  <si>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</si>
  <si>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</si>
  <si>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</si>
  <si>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</si>
  <si>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</si>
  <si>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</si>
  <si>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</si>
  <si>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</si>
  <si>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</si>
  <si>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</si>
  <si>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</si>
  <si>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30</t>
  </si>
  <si>
    <t/>
  </si>
  <si>
    <t>Oddělení geriatrie</t>
  </si>
  <si>
    <t>50113001</t>
  </si>
  <si>
    <t>Lékárna - léčiva</t>
  </si>
  <si>
    <t>50113006</t>
  </si>
  <si>
    <t>Lékárna - enterární výživa</t>
  </si>
  <si>
    <t>50113013</t>
  </si>
  <si>
    <t>Lékárna - antibiotika</t>
  </si>
  <si>
    <t>50113014</t>
  </si>
  <si>
    <t>Lékárna - antimykotika</t>
  </si>
  <si>
    <t>SumaKL</t>
  </si>
  <si>
    <t>3011</t>
  </si>
  <si>
    <t>GER lůž. odd. 46, 47,-původně 90 lůž/ 15 uzav</t>
  </si>
  <si>
    <t>SumaNS</t>
  </si>
  <si>
    <t>mezeraNS</t>
  </si>
  <si>
    <t>3021</t>
  </si>
  <si>
    <t>Oddělení geriatrie, ambulance</t>
  </si>
  <si>
    <t>164797</t>
  </si>
  <si>
    <t>64797</t>
  </si>
  <si>
    <t>KAMIREN 4</t>
  </si>
  <si>
    <t>TBL 30X4MG</t>
  </si>
  <si>
    <t>192608</t>
  </si>
  <si>
    <t>92608</t>
  </si>
  <si>
    <t>HUMULIN R CARTRIDGE</t>
  </si>
  <si>
    <t>INJ 5X3ML/300UT</t>
  </si>
  <si>
    <t>850448</t>
  </si>
  <si>
    <t>129827</t>
  </si>
  <si>
    <t>APO-QUETIAPIN 25 MG</t>
  </si>
  <si>
    <t>POR TBL FLM 30X25MG</t>
  </si>
  <si>
    <t>187425</t>
  </si>
  <si>
    <t>LETROX 50</t>
  </si>
  <si>
    <t>POR TBL NOB 100X50RG II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</si>
  <si>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</si>
  <si>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</si>
  <si>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</si>
  <si>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</si>
  <si>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</si>
  <si>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</si>
  <si>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</si>
  <si>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</si>
  <si>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</si>
  <si>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</si>
  <si>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</si>
  <si>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</si>
  <si>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</si>
  <si>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100168</t>
  </si>
  <si>
    <t>168</t>
  </si>
  <si>
    <t>HYDROCHLOROTHIAZID LECIVA</t>
  </si>
  <si>
    <t>TBL 20X25MG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</si>
  <si>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</si>
  <si>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</si>
  <si>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</si>
  <si>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</si>
  <si>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</si>
  <si>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</si>
  <si>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</si>
  <si>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</si>
  <si>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</si>
  <si>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</si>
  <si>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</si>
  <si>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</si>
  <si>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</si>
  <si>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</si>
  <si>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</si>
  <si>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</si>
  <si>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</si>
  <si>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</si>
  <si>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</si>
  <si>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</si>
  <si>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</si>
  <si>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</si>
  <si>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</si>
  <si>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</si>
  <si>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</si>
  <si>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</si>
  <si>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</si>
  <si>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</si>
  <si>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</si>
  <si>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</si>
  <si>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</si>
  <si>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100876</t>
  </si>
  <si>
    <t>876</t>
  </si>
  <si>
    <t>UNG OPH 1X5GM</t>
  </si>
  <si>
    <t>100889</t>
  </si>
  <si>
    <t>889</t>
  </si>
  <si>
    <t>PITYOL</t>
  </si>
  <si>
    <t>101290</t>
  </si>
  <si>
    <t>1290</t>
  </si>
  <si>
    <t>DIAPREL MR</t>
  </si>
  <si>
    <t>TBL RET 60X30MG</t>
  </si>
  <si>
    <t>101328</t>
  </si>
  <si>
    <t>1328</t>
  </si>
  <si>
    <t>DOPEGYT</t>
  </si>
  <si>
    <t>TBL 50X250MG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</si>
  <si>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</si>
  <si>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</si>
  <si>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</si>
  <si>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</si>
  <si>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</si>
  <si>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</si>
  <si>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</si>
  <si>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</si>
  <si>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102486</t>
  </si>
  <si>
    <t>2486</t>
  </si>
  <si>
    <t>KALIUM CHLORATUM LECIVA 7.5%</t>
  </si>
  <si>
    <t>INJ 5X10ML 7.5%</t>
  </si>
  <si>
    <t>102537</t>
  </si>
  <si>
    <t>2537</t>
  </si>
  <si>
    <t>HALOPERIDOL</t>
  </si>
  <si>
    <t>TBL 50X1.5MG</t>
  </si>
  <si>
    <t>102538</t>
  </si>
  <si>
    <t>2538</t>
  </si>
  <si>
    <t>INJ 5X1ML/5MG</t>
  </si>
  <si>
    <t>102785</t>
  </si>
  <si>
    <t>2785</t>
  </si>
  <si>
    <t>FUROSEMID SLOVAKOFARMA FORTE</t>
  </si>
  <si>
    <t>TBL 10X250MG</t>
  </si>
  <si>
    <t>103423</t>
  </si>
  <si>
    <t>3423</t>
  </si>
  <si>
    <t>AKTIFERRIN COMPOSITUM</t>
  </si>
  <si>
    <t>CPS 30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</si>
  <si>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</si>
  <si>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</si>
  <si>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</si>
  <si>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</si>
  <si>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</si>
  <si>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</si>
  <si>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</si>
  <si>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</si>
  <si>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</si>
  <si>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</si>
  <si>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103645</t>
  </si>
  <si>
    <t>3645</t>
  </si>
  <si>
    <t>DIMEXOL</t>
  </si>
  <si>
    <t>TBL 30X200MG</t>
  </si>
  <si>
    <t>104361</t>
  </si>
  <si>
    <t>4361</t>
  </si>
  <si>
    <t>ANAVENOL</t>
  </si>
  <si>
    <t>DRG 60X32MG</t>
  </si>
  <si>
    <t>107981</t>
  </si>
  <si>
    <t>7981</t>
  </si>
  <si>
    <t>NOVALGIN</t>
  </si>
  <si>
    <t>INJ 10X2ML/1000MG</t>
  </si>
  <si>
    <t>109205</t>
  </si>
  <si>
    <t>9205</t>
  </si>
  <si>
    <t>ISOPTIN 80</t>
  </si>
  <si>
    <t>TBL OBD 50X80MG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</si>
  <si>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</si>
  <si>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</si>
  <si>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</si>
  <si>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</si>
  <si>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</si>
  <si>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</si>
  <si>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</si>
  <si>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</si>
  <si>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</si>
  <si>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</si>
  <si>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</si>
  <si>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</si>
  <si>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112894</t>
  </si>
  <si>
    <t>12894</t>
  </si>
  <si>
    <t>AULIN</t>
  </si>
  <si>
    <t>GRA 15X100MG(SACKY)</t>
  </si>
  <si>
    <t>113808</t>
  </si>
  <si>
    <t>13808</t>
  </si>
  <si>
    <t>URSOSAN</t>
  </si>
  <si>
    <t>POR CPSDUR100X250MG</t>
  </si>
  <si>
    <t>114075</t>
  </si>
  <si>
    <t>14075</t>
  </si>
  <si>
    <t>DETRALEX</t>
  </si>
  <si>
    <t>POR TBL FLM 60</t>
  </si>
  <si>
    <t>114811</t>
  </si>
  <si>
    <t>14811</t>
  </si>
  <si>
    <t>KREON 25 000</t>
  </si>
  <si>
    <t>POR CPS DUR 50</t>
  </si>
  <si>
    <t>114957</t>
  </si>
  <si>
    <t>14957</t>
  </si>
  <si>
    <t>RIVOTRIL 0.5 MG</t>
  </si>
  <si>
    <t>TBL 50X0.5MG</t>
  </si>
  <si>
    <t>115140</t>
  </si>
  <si>
    <t>15140</t>
  </si>
  <si>
    <t>TARKA 240/4 MG TBL.</t>
  </si>
  <si>
    <t>POR TBL RET 28</t>
  </si>
  <si>
    <t>116439</t>
  </si>
  <si>
    <t>16439</t>
  </si>
  <si>
    <t>LOMIR SRO</t>
  </si>
  <si>
    <t>POR CPS PRO 30X5MG</t>
  </si>
  <si>
    <t>119571</t>
  </si>
  <si>
    <t>19571</t>
  </si>
  <si>
    <t>LAGOSA</t>
  </si>
  <si>
    <t>DRG 100X150MG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</si>
  <si>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</si>
  <si>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</si>
  <si>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</si>
  <si>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</si>
  <si>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</si>
  <si>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</si>
  <si>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</si>
  <si>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130434</t>
  </si>
  <si>
    <t>30434</t>
  </si>
  <si>
    <t>TBL 100X25MG</t>
  </si>
  <si>
    <t>132225</t>
  </si>
  <si>
    <t>32225</t>
  </si>
  <si>
    <t>BETALOC ZOK 25 MG</t>
  </si>
  <si>
    <t>TBL RET 28X25MG</t>
  </si>
  <si>
    <t>132917</t>
  </si>
  <si>
    <t>32917</t>
  </si>
  <si>
    <t>PREDUCTAL MR</t>
  </si>
  <si>
    <t>POR TBL RET 60X35MG</t>
  </si>
  <si>
    <t>144305</t>
  </si>
  <si>
    <t>44305</t>
  </si>
  <si>
    <t>EUPHYLLIN CR N 200</t>
  </si>
  <si>
    <t>CPS RET 50X200MG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</si>
  <si>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</si>
  <si>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</si>
  <si>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</si>
  <si>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</si>
  <si>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</si>
  <si>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</si>
  <si>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</si>
  <si>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</si>
  <si>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</si>
  <si>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</si>
  <si>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</si>
  <si>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146964</t>
  </si>
  <si>
    <t>46964</t>
  </si>
  <si>
    <t>RISPERDAL 1MG</t>
  </si>
  <si>
    <t>TBL OBD 20X1MG</t>
  </si>
  <si>
    <t>148578</t>
  </si>
  <si>
    <t>48578</t>
  </si>
  <si>
    <t>TIAPRIDAL</t>
  </si>
  <si>
    <t>POR TBLNOB 50X100MG</t>
  </si>
  <si>
    <t>148888</t>
  </si>
  <si>
    <t>48888</t>
  </si>
  <si>
    <t>ATARALGIN</t>
  </si>
  <si>
    <t>POR TBL NOB 20</t>
  </si>
  <si>
    <t>149012</t>
  </si>
  <si>
    <t>49012</t>
  </si>
  <si>
    <t>SOTAHEXAL 80</t>
  </si>
  <si>
    <t>POR TBL NOB 20X80MG</t>
  </si>
  <si>
    <t>149013</t>
  </si>
  <si>
    <t>49013</t>
  </si>
  <si>
    <t>POR TBL NOB 50X80MG</t>
  </si>
  <si>
    <t>149560</t>
  </si>
  <si>
    <t>49560</t>
  </si>
  <si>
    <t>MOLSIHEXAL RETARD</t>
  </si>
  <si>
    <t>TBL RET 30X8MG</t>
  </si>
  <si>
    <t>150117</t>
  </si>
  <si>
    <t>50117</t>
  </si>
  <si>
    <t>TRIASYN 5/5 MG</t>
  </si>
  <si>
    <t>POR TBL RET 30</t>
  </si>
  <si>
    <t>150335</t>
  </si>
  <si>
    <t>50335</t>
  </si>
  <si>
    <t>ALGIFEN NEO</t>
  </si>
  <si>
    <t>POR GTT SOL 1X25ML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</si>
  <si>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</si>
  <si>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</si>
  <si>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</si>
  <si>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</si>
  <si>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</si>
  <si>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</si>
  <si>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</si>
  <si>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</si>
  <si>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154534</t>
  </si>
  <si>
    <t>54534</t>
  </si>
  <si>
    <t>PANZYTRAT 25000</t>
  </si>
  <si>
    <t>CPS 50 (SKLO)</t>
  </si>
  <si>
    <t>155823</t>
  </si>
  <si>
    <t>55823</t>
  </si>
  <si>
    <t>TBL OBD 20X500MG</t>
  </si>
  <si>
    <t>156807</t>
  </si>
  <si>
    <t>56807</t>
  </si>
  <si>
    <t>FURORESE 125</t>
  </si>
  <si>
    <t>TBL 30X125MG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</si>
  <si>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</si>
  <si>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</si>
  <si>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</si>
  <si>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</si>
  <si>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</si>
  <si>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</si>
  <si>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</si>
  <si>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</si>
  <si>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157525</t>
  </si>
  <si>
    <t>57525</t>
  </si>
  <si>
    <t>MYDOCALM 150MG</t>
  </si>
  <si>
    <t>TBL OBD 30X150MG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</si>
  <si>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</si>
  <si>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</si>
  <si>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</si>
  <si>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</si>
  <si>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</si>
  <si>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</si>
  <si>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</si>
  <si>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</si>
  <si>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</si>
  <si>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</si>
  <si>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</si>
  <si>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158827</t>
  </si>
  <si>
    <t>58827</t>
  </si>
  <si>
    <t>FORTRANS</t>
  </si>
  <si>
    <t>PLV 1X4(SACKY)</t>
  </si>
  <si>
    <t>162320</t>
  </si>
  <si>
    <t>62320</t>
  </si>
  <si>
    <t>BETADINE</t>
  </si>
  <si>
    <t>UNG 1X20GM</t>
  </si>
  <si>
    <t>162859</t>
  </si>
  <si>
    <t>ASPIRIN PROTECT 100</t>
  </si>
  <si>
    <t>POR TBL ENT 98X100MG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</si>
  <si>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</si>
  <si>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</si>
  <si>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</si>
  <si>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</si>
  <si>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</si>
  <si>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</si>
  <si>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</si>
  <si>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</si>
  <si>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</si>
  <si>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</si>
  <si>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</si>
  <si>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</si>
  <si>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</si>
  <si>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</si>
  <si>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</si>
  <si>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</si>
  <si>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</si>
  <si>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</si>
  <si>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</si>
  <si>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</si>
  <si>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</si>
  <si>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</si>
  <si>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</si>
  <si>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</si>
  <si>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</si>
  <si>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</si>
  <si>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</si>
  <si>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184284</t>
  </si>
  <si>
    <t>CONCOR COMBI 5 MG/5 MG</t>
  </si>
  <si>
    <t>POR TBL NOB 30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</si>
  <si>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</si>
  <si>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</si>
  <si>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</si>
  <si>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</si>
  <si>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</si>
  <si>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</si>
  <si>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</si>
  <si>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</si>
  <si>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</si>
  <si>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</si>
  <si>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</si>
  <si>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</si>
  <si>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</si>
  <si>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</si>
  <si>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</si>
  <si>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188356</t>
  </si>
  <si>
    <t>88356</t>
  </si>
  <si>
    <t>CARDILAN</t>
  </si>
  <si>
    <t>TBL 100X175MG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</si>
  <si>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</si>
  <si>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</si>
  <si>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</si>
  <si>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</si>
  <si>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</si>
  <si>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</si>
  <si>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</si>
  <si>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</si>
  <si>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191587</t>
  </si>
  <si>
    <t>91587</t>
  </si>
  <si>
    <t>DOLGIT</t>
  </si>
  <si>
    <t>CRM 1X50GM/2.5GM</t>
  </si>
  <si>
    <t>191836</t>
  </si>
  <si>
    <t>91836</t>
  </si>
  <si>
    <t>TORECAN</t>
  </si>
  <si>
    <t>INJ 5X1ML/6.5MG</t>
  </si>
  <si>
    <t>192351</t>
  </si>
  <si>
    <t>92351</t>
  </si>
  <si>
    <t>ATROVENT 0.025%</t>
  </si>
  <si>
    <t>INH SOL 1X20ML</t>
  </si>
  <si>
    <t>192839</t>
  </si>
  <si>
    <t>VERAL NEO 1% GEL</t>
  </si>
  <si>
    <t>DRM GEL 1X50GM II</t>
  </si>
  <si>
    <t>192840</t>
  </si>
  <si>
    <t>DRM GEL 1X100GM II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</si>
  <si>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</si>
  <si>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</si>
  <si>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</si>
  <si>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</si>
  <si>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</si>
  <si>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</si>
  <si>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</si>
  <si>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194292</t>
  </si>
  <si>
    <t>94292</t>
  </si>
  <si>
    <t>ZOLPIDEM-RATIOPHARM 10 MG</t>
  </si>
  <si>
    <t>POR TBL FLM 20X10MG</t>
  </si>
  <si>
    <t>196118</t>
  </si>
  <si>
    <t>96118</t>
  </si>
  <si>
    <t>VESSEL DUE F</t>
  </si>
  <si>
    <t>CPS 50X250LSU</t>
  </si>
  <si>
    <t>196190</t>
  </si>
  <si>
    <t>96190</t>
  </si>
  <si>
    <t>MONOSAN 20MG</t>
  </si>
  <si>
    <t>TBL 30X20MG</t>
  </si>
  <si>
    <t>196696</t>
  </si>
  <si>
    <t>96696</t>
  </si>
  <si>
    <t>INDAP</t>
  </si>
  <si>
    <t>CPS 30X2.5MG</t>
  </si>
  <si>
    <t>197026</t>
  </si>
  <si>
    <t>97026</t>
  </si>
  <si>
    <t>ENELBIN RETARD</t>
  </si>
  <si>
    <t>TBL OBD 50X100MG</t>
  </si>
  <si>
    <t>197522</t>
  </si>
  <si>
    <t>97522</t>
  </si>
  <si>
    <t>TBL OBD 30</t>
  </si>
  <si>
    <t>198219</t>
  </si>
  <si>
    <t>98219</t>
  </si>
  <si>
    <t>FURON</t>
  </si>
  <si>
    <t>TBL 50X40MG</t>
  </si>
  <si>
    <t>199333</t>
  </si>
  <si>
    <t>99333</t>
  </si>
  <si>
    <t>FUROSEMID BIOTIKA FORTE</t>
  </si>
  <si>
    <t>INJ 10X10ML/125MG</t>
  </si>
  <si>
    <t>199680</t>
  </si>
  <si>
    <t>ERDOMED</t>
  </si>
  <si>
    <t>POR CPS DUR 60X300MG</t>
  </si>
  <si>
    <t>840169</t>
  </si>
  <si>
    <t>Indulona  Nechtíková 100g</t>
  </si>
  <si>
    <t>840464</t>
  </si>
  <si>
    <t>Vitar Soda tbl.150</t>
  </si>
  <si>
    <t>neleč.</t>
  </si>
  <si>
    <t>843905</t>
  </si>
  <si>
    <t>103391</t>
  </si>
  <si>
    <t>MUCOSOLVAN</t>
  </si>
  <si>
    <t>POR GTT SOL+INH SOL 60ML</t>
  </si>
  <si>
    <t>844145</t>
  </si>
  <si>
    <t>56350</t>
  </si>
  <si>
    <t>SPECIES UROLOGICAE PLANTA</t>
  </si>
  <si>
    <t>SPC 20X1.5GM(SÁČKY)</t>
  </si>
  <si>
    <t>844831</t>
  </si>
  <si>
    <t>DIGOXIN ORION INJ</t>
  </si>
  <si>
    <t>INJ SOL 25X1ML/0.25MG</t>
  </si>
  <si>
    <t>845008</t>
  </si>
  <si>
    <t>107806</t>
  </si>
  <si>
    <t>AESCIN-TEVA</t>
  </si>
  <si>
    <t>POR TBL FLM 30X20MG</t>
  </si>
  <si>
    <t>845108</t>
  </si>
  <si>
    <t>125595</t>
  </si>
  <si>
    <t>VALSACOR 160 MG</t>
  </si>
  <si>
    <t>POR TBL FLM 28X160MG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</si>
  <si>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</si>
  <si>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</si>
  <si>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</si>
  <si>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</si>
  <si>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</si>
  <si>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</si>
  <si>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</si>
  <si>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</si>
  <si>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846338</t>
  </si>
  <si>
    <t>122685</t>
  </si>
  <si>
    <t>PRESTARIUM NEO COMBI 5mg/1,25mg</t>
  </si>
  <si>
    <t>POR TBL FLM 30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</si>
  <si>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</si>
  <si>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</si>
  <si>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</si>
  <si>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</si>
  <si>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</si>
  <si>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</si>
  <si>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</si>
  <si>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</si>
  <si>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</si>
  <si>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</si>
  <si>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</si>
  <si>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</si>
  <si>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</si>
  <si>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</si>
  <si>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</si>
  <si>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848632</t>
  </si>
  <si>
    <t>125315</t>
  </si>
  <si>
    <t>INJ SOL 12X2ML/100MG</t>
  </si>
  <si>
    <t>849941</t>
  </si>
  <si>
    <t>162142</t>
  </si>
  <si>
    <t>PARALEN 500</t>
  </si>
  <si>
    <t>POR TBL NOB 24X500MG</t>
  </si>
  <si>
    <t>850010</t>
  </si>
  <si>
    <t>149543</t>
  </si>
  <si>
    <t>CLOPIDOGREL APOTEX 75 MG</t>
  </si>
  <si>
    <t>POR TBL FLM 30X75MG</t>
  </si>
  <si>
    <t>850642</t>
  </si>
  <si>
    <t>169673</t>
  </si>
  <si>
    <t>CALTRATE PLUS</t>
  </si>
  <si>
    <t>905098</t>
  </si>
  <si>
    <t>23989</t>
  </si>
  <si>
    <t>DZ OCTENISEPT 1 l</t>
  </si>
  <si>
    <t>DPH 15 %</t>
  </si>
  <si>
    <t>930065</t>
  </si>
  <si>
    <t>DZ PRONTOSAN ROZTOK 350ml</t>
  </si>
  <si>
    <t>100489</t>
  </si>
  <si>
    <t>489</t>
  </si>
  <si>
    <t>INJ 5X1ML/10MG</t>
  </si>
  <si>
    <t>100513</t>
  </si>
  <si>
    <t>513</t>
  </si>
  <si>
    <t>NATRIUM CHLORATUM BIOTIKA 10%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</si>
  <si>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</si>
  <si>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</si>
  <si>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</si>
  <si>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</si>
  <si>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</si>
  <si>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</si>
  <si>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</si>
  <si>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102539</t>
  </si>
  <si>
    <t>2539</t>
  </si>
  <si>
    <t>GTT 1X10ML/20MG</t>
  </si>
  <si>
    <t>102818</t>
  </si>
  <si>
    <t>2818</t>
  </si>
  <si>
    <t>ENDIARON</t>
  </si>
  <si>
    <t>TBL OBD 20X250MG</t>
  </si>
  <si>
    <t>102829</t>
  </si>
  <si>
    <t>2829</t>
  </si>
  <si>
    <t>TRIAMCINOLON LECIVA</t>
  </si>
  <si>
    <t>UNG 1X10GM 0.1%</t>
  </si>
  <si>
    <t>102959</t>
  </si>
  <si>
    <t>2959</t>
  </si>
  <si>
    <t>PRESID 10 MG</t>
  </si>
  <si>
    <t>TBL RET 30X10MG</t>
  </si>
  <si>
    <t>109139</t>
  </si>
  <si>
    <t>9139</t>
  </si>
  <si>
    <t>HEMINEVRIN 300MG</t>
  </si>
  <si>
    <t>CPS 100X300MG</t>
  </si>
  <si>
    <t>111242</t>
  </si>
  <si>
    <t>11242</t>
  </si>
  <si>
    <t>GERATAM 1200</t>
  </si>
  <si>
    <t>TBL OBD 60X1200MG</t>
  </si>
  <si>
    <t>111337</t>
  </si>
  <si>
    <t>11337</t>
  </si>
  <si>
    <t>GERATAM 3G</t>
  </si>
  <si>
    <t>INJ 4X15ML/3GM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</si>
  <si>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</si>
  <si>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</si>
  <si>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</si>
  <si>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</si>
  <si>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</si>
  <si>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</si>
  <si>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</si>
  <si>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</si>
  <si>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117983</t>
  </si>
  <si>
    <t>17983</t>
  </si>
  <si>
    <t>OXYPHYLLIN</t>
  </si>
  <si>
    <t>TBL 50X100MG</t>
  </si>
  <si>
    <t>121887</t>
  </si>
  <si>
    <t>21887</t>
  </si>
  <si>
    <t>AKINETON</t>
  </si>
  <si>
    <t>POR TBL NOB 50X2MG</t>
  </si>
  <si>
    <t>125969</t>
  </si>
  <si>
    <t>25969</t>
  </si>
  <si>
    <t>PROCORALAN 5 MG</t>
  </si>
  <si>
    <t>POR TBL FLM 56X5MG</t>
  </si>
  <si>
    <t>157345</t>
  </si>
  <si>
    <t>57345</t>
  </si>
  <si>
    <t>LITALIR</t>
  </si>
  <si>
    <t>CPS 100X500MG</t>
  </si>
  <si>
    <t>157866</t>
  </si>
  <si>
    <t>57866</t>
  </si>
  <si>
    <t>TOBRADEX</t>
  </si>
  <si>
    <t>GTT OPH 1X5ML</t>
  </si>
  <si>
    <t>159104</t>
  </si>
  <si>
    <t>59104</t>
  </si>
  <si>
    <t>UROXAL 5MG</t>
  </si>
  <si>
    <t>TBL 60X5MG</t>
  </si>
  <si>
    <t>164888</t>
  </si>
  <si>
    <t>CALTRATE 600 MG/400 IU D3 POTAHOVANÁ TABLETA</t>
  </si>
  <si>
    <t>POR TBL FLM 90</t>
  </si>
  <si>
    <t>169189</t>
  </si>
  <si>
    <t>69189</t>
  </si>
  <si>
    <t>EUTHYROX 50</t>
  </si>
  <si>
    <t>TBL 100X50RG</t>
  </si>
  <si>
    <t>176501</t>
  </si>
  <si>
    <t>IBALGIN DUO EFFECT</t>
  </si>
  <si>
    <t>188967</t>
  </si>
  <si>
    <t>88967</t>
  </si>
  <si>
    <t>STOPTUSSIN</t>
  </si>
  <si>
    <t>POR GTT SOL 1X50ML</t>
  </si>
  <si>
    <t>193124</t>
  </si>
  <si>
    <t>93124</t>
  </si>
  <si>
    <t>FAKTU</t>
  </si>
  <si>
    <t>193724</t>
  </si>
  <si>
    <t>93724</t>
  </si>
  <si>
    <t>INDOMETACIN 100 BERLIN-CHEMIE</t>
  </si>
  <si>
    <t>SUP 10X100MG</t>
  </si>
  <si>
    <t>194918</t>
  </si>
  <si>
    <t>94918</t>
  </si>
  <si>
    <t>AMBROBENE</t>
  </si>
  <si>
    <t>TBL 20X30MG</t>
  </si>
  <si>
    <t>194920</t>
  </si>
  <si>
    <t>94920</t>
  </si>
  <si>
    <t>AMBROBENE 7.5MG/ML</t>
  </si>
  <si>
    <t>SOL 1X100ML</t>
  </si>
  <si>
    <t>196191</t>
  </si>
  <si>
    <t>96191</t>
  </si>
  <si>
    <t>MONOSAN 40MG</t>
  </si>
  <si>
    <t>TBL 30X40MG</t>
  </si>
  <si>
    <t>197186</t>
  </si>
  <si>
    <t>97186</t>
  </si>
  <si>
    <t>EUTHYROX 100</t>
  </si>
  <si>
    <t>TBL 100X100RG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</si>
  <si>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</si>
  <si>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</si>
  <si>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</si>
  <si>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</si>
  <si>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</si>
  <si>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</si>
  <si>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</si>
  <si>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</si>
  <si>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847635</t>
  </si>
  <si>
    <t>Biopron9    PREMIUM tob.120</t>
  </si>
  <si>
    <t>848625</t>
  </si>
  <si>
    <t>138841</t>
  </si>
  <si>
    <t>DORETA 37,5 MG/325 MG</t>
  </si>
  <si>
    <t>848797</t>
  </si>
  <si>
    <t>163143</t>
  </si>
  <si>
    <t>TENOLOC 200</t>
  </si>
  <si>
    <t>POR TBL FLM 30X200MG</t>
  </si>
  <si>
    <t>850072</t>
  </si>
  <si>
    <t>162502</t>
  </si>
  <si>
    <t>TRIAMCINOLON TEVA</t>
  </si>
  <si>
    <t>DRM EML 1X30GM</t>
  </si>
  <si>
    <t>102684</t>
  </si>
  <si>
    <t>2684</t>
  </si>
  <si>
    <t>MESOCAIN</t>
  </si>
  <si>
    <t>GEL 1X20GM</t>
  </si>
  <si>
    <t>185071</t>
  </si>
  <si>
    <t>85071</t>
  </si>
  <si>
    <t>NITROMINT</t>
  </si>
  <si>
    <t>ORM SPR SLG 1X10GM</t>
  </si>
  <si>
    <t>47247</t>
  </si>
  <si>
    <t>INF SOL 10X1000ML-PE</t>
  </si>
  <si>
    <t>100874</t>
  </si>
  <si>
    <t>874</t>
  </si>
  <si>
    <t>OPHTHALMO-AZULEN</t>
  </si>
  <si>
    <t>109415</t>
  </si>
  <si>
    <t>9415</t>
  </si>
  <si>
    <t>NASIVIN</t>
  </si>
  <si>
    <t>SPR NAS 10ML 0.05%</t>
  </si>
  <si>
    <t>110555</t>
  </si>
  <si>
    <t>10555</t>
  </si>
  <si>
    <t>AQUA PRO INJECTIONE BRAUN</t>
  </si>
  <si>
    <t>INJ SOL 20X100ML-PE</t>
  </si>
  <si>
    <t>184288</t>
  </si>
  <si>
    <t>CONCOR COMBI 5 MG/10 MG</t>
  </si>
  <si>
    <t>194916</t>
  </si>
  <si>
    <t>94916</t>
  </si>
  <si>
    <t>INJ 5X2ML/15MG</t>
  </si>
  <si>
    <t>844078</t>
  </si>
  <si>
    <t>Lacrisyn gtt.ophth.10ml</t>
  </si>
  <si>
    <t>911927</t>
  </si>
  <si>
    <t>KL ETHANOL.C.BENZINO 200G</t>
  </si>
  <si>
    <t>109414</t>
  </si>
  <si>
    <t>9414</t>
  </si>
  <si>
    <t>GTT NAS 10ML 0.05%</t>
  </si>
  <si>
    <t>102963</t>
  </si>
  <si>
    <t>2963</t>
  </si>
  <si>
    <t>PREDNISON 20 LECIVA</t>
  </si>
  <si>
    <t>TBL 20X20MG(BLISTR)</t>
  </si>
  <si>
    <t>198864</t>
  </si>
  <si>
    <t>98864</t>
  </si>
  <si>
    <t>FYZIOLOGICKÝ ROZTOK VIAFLO</t>
  </si>
  <si>
    <t>INF SOL 50X100ML</t>
  </si>
  <si>
    <t>900321</t>
  </si>
  <si>
    <t>KL PRIPRAVEK</t>
  </si>
  <si>
    <t>55919</t>
  </si>
  <si>
    <t>CHLORID SODNÝ 10% BRAUN</t>
  </si>
  <si>
    <t>INF CNC SOL 20X10ML</t>
  </si>
  <si>
    <t>100512</t>
  </si>
  <si>
    <t>512</t>
  </si>
  <si>
    <t>INJ 10X5ML 10%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</si>
  <si>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</si>
  <si>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</si>
  <si>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</si>
  <si>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</si>
  <si>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</si>
  <si>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</si>
  <si>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</si>
  <si>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</si>
  <si>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102957</t>
  </si>
  <si>
    <t>2957</t>
  </si>
  <si>
    <t>PRESID 5 MG</t>
  </si>
  <si>
    <t>TBL RET 30X5MG</t>
  </si>
  <si>
    <t>104207</t>
  </si>
  <si>
    <t>4207</t>
  </si>
  <si>
    <t>PROTHIADEN</t>
  </si>
  <si>
    <t>DRG 30X25MG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</si>
  <si>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</si>
  <si>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</si>
  <si>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</si>
  <si>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</si>
  <si>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</si>
  <si>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</si>
  <si>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</si>
  <si>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</si>
  <si>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147535</t>
  </si>
  <si>
    <t>47535</t>
  </si>
  <si>
    <t>DOGMATIL 50 MG</t>
  </si>
  <si>
    <t>POR CPS DUR 30X50MG</t>
  </si>
  <si>
    <t>149018</t>
  </si>
  <si>
    <t>49018</t>
  </si>
  <si>
    <t>GUTTALAX</t>
  </si>
  <si>
    <t>POR GTT SOL 1X30ML</t>
  </si>
  <si>
    <t>150118</t>
  </si>
  <si>
    <t>50118</t>
  </si>
  <si>
    <t>TRIASYN 2.5/2.5 MG</t>
  </si>
  <si>
    <t>152334</t>
  </si>
  <si>
    <t>52334</t>
  </si>
  <si>
    <t>FORTECORTIN 4</t>
  </si>
  <si>
    <t>POR TBL NOB 20X4MG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</si>
  <si>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</si>
  <si>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</si>
  <si>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</si>
  <si>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</si>
  <si>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</si>
  <si>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</si>
  <si>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</si>
  <si>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</si>
  <si>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175289</t>
  </si>
  <si>
    <t>75289</t>
  </si>
  <si>
    <t>CRM 1X100GM/5GM</t>
  </si>
  <si>
    <t>183730</t>
  </si>
  <si>
    <t>83730</t>
  </si>
  <si>
    <t>GOPTEN 2MG</t>
  </si>
  <si>
    <t>CPS 28X2MG</t>
  </si>
  <si>
    <t>192489</t>
  </si>
  <si>
    <t>92489</t>
  </si>
  <si>
    <t>SOL 10X67.5ML</t>
  </si>
  <si>
    <t>500268</t>
  </si>
  <si>
    <t>KL CHLADIVE MAZANI 900 g KULICH</t>
  </si>
  <si>
    <t>845265</t>
  </si>
  <si>
    <t>107935</t>
  </si>
  <si>
    <t>GLYVENOL 400</t>
  </si>
  <si>
    <t>POR CPS MOL 60X400MG</t>
  </si>
  <si>
    <t>104178</t>
  </si>
  <si>
    <t>4178</t>
  </si>
  <si>
    <t>TRIAMCINOLON E LECIVA</t>
  </si>
  <si>
    <t>144849</t>
  </si>
  <si>
    <t>44849</t>
  </si>
  <si>
    <t>MUCONASAL PLUS</t>
  </si>
  <si>
    <t>SPR NAS 1X10ML</t>
  </si>
  <si>
    <t>145241</t>
  </si>
  <si>
    <t>45241</t>
  </si>
  <si>
    <t>ISICOM 100MG</t>
  </si>
  <si>
    <t>TBL 100X125MG</t>
  </si>
  <si>
    <t>146444</t>
  </si>
  <si>
    <t>46444</t>
  </si>
  <si>
    <t>TRITTICO AC 150</t>
  </si>
  <si>
    <t>TBL RET 60X150MG</t>
  </si>
  <si>
    <t>146692</t>
  </si>
  <si>
    <t>46692</t>
  </si>
  <si>
    <t>EUTHYROX 75</t>
  </si>
  <si>
    <t>TBL 100X75RG</t>
  </si>
  <si>
    <t>169755</t>
  </si>
  <si>
    <t>69755</t>
  </si>
  <si>
    <t>ARDEANUTRISOL G 40</t>
  </si>
  <si>
    <t>INF 1X80ML</t>
  </si>
  <si>
    <t>187149</t>
  </si>
  <si>
    <t>87149</t>
  </si>
  <si>
    <t>THYROZOL 10</t>
  </si>
  <si>
    <t>TBL OBD 50X10MG</t>
  </si>
  <si>
    <t>199466</t>
  </si>
  <si>
    <t>BURONIL 25 MG</t>
  </si>
  <si>
    <t>POR TBL OBD 50X25MG</t>
  </si>
  <si>
    <t>846306</t>
  </si>
  <si>
    <t>100096</t>
  </si>
  <si>
    <t>VOLTAREN EMULGEL</t>
  </si>
  <si>
    <t>DRM GEL 1X50GM LAM</t>
  </si>
  <si>
    <t>849767</t>
  </si>
  <si>
    <t>162012</t>
  </si>
  <si>
    <t>PRESTARIUM NEO COMBI 10 MG/2,5 MG</t>
  </si>
  <si>
    <t>850039</t>
  </si>
  <si>
    <t>122119</t>
  </si>
  <si>
    <t>APO-FAMOTIDINE 20 MG</t>
  </si>
  <si>
    <t>POR TBL FLM 100X20MG</t>
  </si>
  <si>
    <t>920356</t>
  </si>
  <si>
    <t>KL SOL.BORGLYCEROLI  3% 100 G</t>
  </si>
  <si>
    <t>131385</t>
  </si>
  <si>
    <t>31385</t>
  </si>
  <si>
    <t>TENSIOMIN</t>
  </si>
  <si>
    <t>TBL 30X12.5MG</t>
  </si>
  <si>
    <t>109305</t>
  </si>
  <si>
    <t>9305</t>
  </si>
  <si>
    <t>LOCOID 0.1%</t>
  </si>
  <si>
    <t>CRM 1X30GM 0.1%</t>
  </si>
  <si>
    <t>112023</t>
  </si>
  <si>
    <t>12023</t>
  </si>
  <si>
    <t>VIGANTOL</t>
  </si>
  <si>
    <t>POR GTT SOL 1x10ML</t>
  </si>
  <si>
    <t>114725</t>
  </si>
  <si>
    <t>14725</t>
  </si>
  <si>
    <t>TUSSIN</t>
  </si>
  <si>
    <t>147300</t>
  </si>
  <si>
    <t>47300</t>
  </si>
  <si>
    <t>ELOCOM</t>
  </si>
  <si>
    <t>DRM CRM 1X30GM 0.1%</t>
  </si>
  <si>
    <t>147515</t>
  </si>
  <si>
    <t>47515</t>
  </si>
  <si>
    <t>CALCICHEW D3</t>
  </si>
  <si>
    <t>CTB 60</t>
  </si>
  <si>
    <t>161238</t>
  </si>
  <si>
    <t>61238</t>
  </si>
  <si>
    <t>THEOPLUS</t>
  </si>
  <si>
    <t>TBL RET 30X300MG</t>
  </si>
  <si>
    <t>162322</t>
  </si>
  <si>
    <t>62322</t>
  </si>
  <si>
    <t>MAXI-KALZ 500</t>
  </si>
  <si>
    <t>TBL EFF 20X500MG</t>
  </si>
  <si>
    <t>900881</t>
  </si>
  <si>
    <t>KL BALS.VISNEVSKI 100G</t>
  </si>
  <si>
    <t>921134</t>
  </si>
  <si>
    <t>KL UNG.HYDROC.0,1G,LENIENS AD 100G</t>
  </si>
  <si>
    <t>106093</t>
  </si>
  <si>
    <t>6093</t>
  </si>
  <si>
    <t>GUTRON 2.5MG</t>
  </si>
  <si>
    <t>TBL 50X2.5MG</t>
  </si>
  <si>
    <t>114329</t>
  </si>
  <si>
    <t>14329</t>
  </si>
  <si>
    <t>ALPHA D3 0.25 MCG</t>
  </si>
  <si>
    <t>POR CPSMOL30X0.25RG</t>
  </si>
  <si>
    <t>177047</t>
  </si>
  <si>
    <t>77047</t>
  </si>
  <si>
    <t>PROTHIADEN 75</t>
  </si>
  <si>
    <t>TBL OBD 30X75MG</t>
  </si>
  <si>
    <t>192254</t>
  </si>
  <si>
    <t>92254</t>
  </si>
  <si>
    <t>MICTONORM</t>
  </si>
  <si>
    <t>DRG 30X15MG</t>
  </si>
  <si>
    <t>921547</t>
  </si>
  <si>
    <t>KL UNG.ELOCOM 45G,LENIENS AD 300G</t>
  </si>
  <si>
    <t>930127</t>
  </si>
  <si>
    <t>KL CHLADIVE MAZANI 800 g FAGRON</t>
  </si>
  <si>
    <t>140274</t>
  </si>
  <si>
    <t>40274</t>
  </si>
  <si>
    <t>BACLOFEN</t>
  </si>
  <si>
    <t>TBL 50X10MG</t>
  </si>
  <si>
    <t>181425</t>
  </si>
  <si>
    <t>81425</t>
  </si>
  <si>
    <t>XALACOM</t>
  </si>
  <si>
    <t>OPH GTT SOL 1X2.5ML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</si>
  <si>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</si>
  <si>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</si>
  <si>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</si>
  <si>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</si>
  <si>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</si>
  <si>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</si>
  <si>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</si>
  <si>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</si>
  <si>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900493</t>
  </si>
  <si>
    <t>KL SUPP.BISACODYLI 0,01G  30KS</t>
  </si>
  <si>
    <t>921394</t>
  </si>
  <si>
    <t>KL SUPP.BISACODYLI 0,01G  50KS</t>
  </si>
  <si>
    <t>125592</t>
  </si>
  <si>
    <t>25592</t>
  </si>
  <si>
    <t>HUMALOG 100 IU</t>
  </si>
  <si>
    <t>INJ SOL 5X3ML/300UT</t>
  </si>
  <si>
    <t>158659</t>
  </si>
  <si>
    <t>58659</t>
  </si>
  <si>
    <t>ATENOLOL AL 25</t>
  </si>
  <si>
    <t>POR TBL NOB 30X25MG</t>
  </si>
  <si>
    <t>920358</t>
  </si>
  <si>
    <t>KL SOL.BORGLYCEROLI 3% 200 G</t>
  </si>
  <si>
    <t>930078</t>
  </si>
  <si>
    <t>KL ONDREJOVA MAST, 100G</t>
  </si>
  <si>
    <t>100584</t>
  </si>
  <si>
    <t>584</t>
  </si>
  <si>
    <t>PYRIDOXIN LECIVA</t>
  </si>
  <si>
    <t>INJ 5X1ML 50MG</t>
  </si>
  <si>
    <t>162914</t>
  </si>
  <si>
    <t>62914</t>
  </si>
  <si>
    <t>TANAKAN</t>
  </si>
  <si>
    <t>TBL OBD 30X40MG</t>
  </si>
  <si>
    <t>126247</t>
  </si>
  <si>
    <t>26247</t>
  </si>
  <si>
    <t>AZOPT</t>
  </si>
  <si>
    <t>OPH GTT SUS 1X5ML</t>
  </si>
  <si>
    <t>849041</t>
  </si>
  <si>
    <t>19053</t>
  </si>
  <si>
    <t>Forlax 10g por.plv.sol20x10g</t>
  </si>
  <si>
    <t>161237</t>
  </si>
  <si>
    <t>61237</t>
  </si>
  <si>
    <t>382099</t>
  </si>
  <si>
    <t>82099</t>
  </si>
  <si>
    <t>KRYTÍ GELOVÉ HEMAGEL 5G</t>
  </si>
  <si>
    <t>HEMAGEL V TUBĚ O OBSAHU 5G</t>
  </si>
  <si>
    <t>848411</t>
  </si>
  <si>
    <t>84795</t>
  </si>
  <si>
    <t>ZOLPIDEM-RATHIOPHARM tbl. 100x10mg</t>
  </si>
  <si>
    <t>121856</t>
  </si>
  <si>
    <t>21856</t>
  </si>
  <si>
    <t>CORYOL 3.125</t>
  </si>
  <si>
    <t>PORTBLNOB30X3.125MG</t>
  </si>
  <si>
    <t>846024</t>
  </si>
  <si>
    <t>100097</t>
  </si>
  <si>
    <t>DRM GEL 1X100GM LAM</t>
  </si>
  <si>
    <t>164703</t>
  </si>
  <si>
    <t>64703</t>
  </si>
  <si>
    <t>TANATRIL 5 MG</t>
  </si>
  <si>
    <t>POR TBL NOB 30X5MG</t>
  </si>
  <si>
    <t>179325</t>
  </si>
  <si>
    <t>DORETA 75 MG/650 MG</t>
  </si>
  <si>
    <t>POR TBL FLM 10</t>
  </si>
  <si>
    <t>130685</t>
  </si>
  <si>
    <t>30685</t>
  </si>
  <si>
    <t>NASOFAN</t>
  </si>
  <si>
    <t>NAS SPR SUS 120 DÁV</t>
  </si>
  <si>
    <t>849055</t>
  </si>
  <si>
    <t>125314</t>
  </si>
  <si>
    <t>120159</t>
  </si>
  <si>
    <t>20159</t>
  </si>
  <si>
    <t>MONOTAB 20</t>
  </si>
  <si>
    <t>POR TBL NOB 20X20MG</t>
  </si>
  <si>
    <t>149522</t>
  </si>
  <si>
    <t>49522</t>
  </si>
  <si>
    <t>FLAMEXIN</t>
  </si>
  <si>
    <t>184256</t>
  </si>
  <si>
    <t>84256</t>
  </si>
  <si>
    <t>ACYLPYRIN</t>
  </si>
  <si>
    <t>TBL 10X500MG</t>
  </si>
  <si>
    <t>500530</t>
  </si>
  <si>
    <t>KL UNG.ELOCOM 45G,LENIENS AD 500G</t>
  </si>
  <si>
    <t>849320</t>
  </si>
  <si>
    <t>134270</t>
  </si>
  <si>
    <t>VALSACOMBI 80 MG/12,5 MG</t>
  </si>
  <si>
    <t>POR TBL FLM 28</t>
  </si>
  <si>
    <t>121795</t>
  </si>
  <si>
    <t>21795</t>
  </si>
  <si>
    <t>MONOTAB SR</t>
  </si>
  <si>
    <t>POR TBLPRO100X100MG</t>
  </si>
  <si>
    <t>126777</t>
  </si>
  <si>
    <t>26777</t>
  </si>
  <si>
    <t>NOVONORM 1 MG</t>
  </si>
  <si>
    <t>PORTBLNOB 90X1MG</t>
  </si>
  <si>
    <t>930247</t>
  </si>
  <si>
    <t>KL ALUMIN.ACETOTAR.CREMOR 500g</t>
  </si>
  <si>
    <t>930248</t>
  </si>
  <si>
    <t>KL ONDREJ. MAST FAGRON 500 g</t>
  </si>
  <si>
    <t>930258</t>
  </si>
  <si>
    <t>KL DETSKA MAST FAGRON 500g</t>
  </si>
  <si>
    <t>930424</t>
  </si>
  <si>
    <t>KL DETSKA MAST FAGRON,KUL. 1 kg</t>
  </si>
  <si>
    <t>116464</t>
  </si>
  <si>
    <t>16464</t>
  </si>
  <si>
    <t>EXCIPIAL MAST</t>
  </si>
  <si>
    <t>DRM UNG 1X100GM</t>
  </si>
  <si>
    <t>194328</t>
  </si>
  <si>
    <t>94328</t>
  </si>
  <si>
    <t>AKTIFERRIN</t>
  </si>
  <si>
    <t>SIR 1X100ML</t>
  </si>
  <si>
    <t>12026</t>
  </si>
  <si>
    <t>GLIMEPIRID SANDOZ 1 MG TABLETY</t>
  </si>
  <si>
    <t>POR TBL NOB 30X1MG</t>
  </si>
  <si>
    <t>116593</t>
  </si>
  <si>
    <t>16593</t>
  </si>
  <si>
    <t>MALTOFER FOL TABLETY</t>
  </si>
  <si>
    <t>POR TBL MND 30</t>
  </si>
  <si>
    <t>107678</t>
  </si>
  <si>
    <t>KALIUMCHLORID 7.45% BRAUN</t>
  </si>
  <si>
    <t>INF CNC SOL 20X20ML</t>
  </si>
  <si>
    <t>988088</t>
  </si>
  <si>
    <t>Walmark Laktobacily FORTE s fruktooligosach.60+60</t>
  </si>
  <si>
    <t>176954</t>
  </si>
  <si>
    <t>142150</t>
  </si>
  <si>
    <t>DONEPEZIL MYLAN 5 MG POTAHOVANÉ TABLETY</t>
  </si>
  <si>
    <t>POR TBL FLM 28X5MG</t>
  </si>
  <si>
    <t>12343</t>
  </si>
  <si>
    <t>NORTRILEN</t>
  </si>
  <si>
    <t>POR TBL FLM 50X25MG I PP</t>
  </si>
  <si>
    <t>142140</t>
  </si>
  <si>
    <t>DONEPEZIL MYLAN 10 MG POTAHOVANÉ TABLETY</t>
  </si>
  <si>
    <t>POR TBL FLM 84X10MG</t>
  </si>
  <si>
    <t>500554</t>
  </si>
  <si>
    <t>Uniderma Balzám na ruce a nehty 200ml</t>
  </si>
  <si>
    <t>200863</t>
  </si>
  <si>
    <t>OPH GTT SOL 1X10ML PLAST</t>
  </si>
  <si>
    <t>142136</t>
  </si>
  <si>
    <t>POR TBL FLM 28X10MG</t>
  </si>
  <si>
    <t>397124</t>
  </si>
  <si>
    <t>KL UNG.LENIENS FAGRON 1000g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</si>
  <si>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</si>
  <si>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</si>
  <si>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</si>
  <si>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</si>
  <si>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</si>
  <si>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</si>
  <si>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</si>
  <si>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</si>
  <si>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</si>
  <si>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</si>
  <si>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</si>
  <si>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</si>
  <si>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</si>
  <si>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</si>
  <si>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110252</t>
  </si>
  <si>
    <t>10252</t>
  </si>
  <si>
    <t>CAVINTON FORTE</t>
  </si>
  <si>
    <t>POR TBL NOB 30X10MG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</si>
  <si>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</si>
  <si>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</si>
  <si>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</si>
  <si>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</si>
  <si>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</si>
  <si>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</si>
  <si>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</si>
  <si>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</si>
  <si>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</si>
  <si>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</si>
  <si>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</si>
  <si>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115316</t>
  </si>
  <si>
    <t>15316</t>
  </si>
  <si>
    <t>LOZAP H</t>
  </si>
  <si>
    <t>118630</t>
  </si>
  <si>
    <t>18630</t>
  </si>
  <si>
    <t>SIOFOR 1000</t>
  </si>
  <si>
    <t>POR TBLFLM60X1000MG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</si>
  <si>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</si>
  <si>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</si>
  <si>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</si>
  <si>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</si>
  <si>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</si>
  <si>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</si>
  <si>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</si>
  <si>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132086</t>
  </si>
  <si>
    <t>32086</t>
  </si>
  <si>
    <t>TRALGIT</t>
  </si>
  <si>
    <t>POR CPS DUR 20X50MG</t>
  </si>
  <si>
    <t>132087</t>
  </si>
  <si>
    <t>32087</t>
  </si>
  <si>
    <t>TRALGIT 100 INJ</t>
  </si>
  <si>
    <t>INJ SOL 5X2ML/100MG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</si>
  <si>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</si>
  <si>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</si>
  <si>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</si>
  <si>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</si>
  <si>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</si>
  <si>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</si>
  <si>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</si>
  <si>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</si>
  <si>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147741</t>
  </si>
  <si>
    <t>47741</t>
  </si>
  <si>
    <t>RIVOCOR 10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</si>
  <si>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</si>
  <si>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</si>
  <si>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</si>
  <si>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</si>
  <si>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</si>
  <si>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</si>
  <si>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</si>
  <si>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156102</t>
  </si>
  <si>
    <t>56102</t>
  </si>
  <si>
    <t>LANZUL</t>
  </si>
  <si>
    <t>CPS 14X30MG</t>
  </si>
  <si>
    <t>156503</t>
  </si>
  <si>
    <t>56503</t>
  </si>
  <si>
    <t>SIOFOR 500</t>
  </si>
  <si>
    <t>TBL OBD 60X500MG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</si>
  <si>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</si>
  <si>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</si>
  <si>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</si>
  <si>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</si>
  <si>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</si>
  <si>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</si>
  <si>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</si>
  <si>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</si>
  <si>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159672</t>
  </si>
  <si>
    <t>59672</t>
  </si>
  <si>
    <t>TRALGIT SR 100</t>
  </si>
  <si>
    <t>POR TBL RET30X100MG</t>
  </si>
  <si>
    <t>159806</t>
  </si>
  <si>
    <t>59806</t>
  </si>
  <si>
    <t>FRAXIPARINE FORTE</t>
  </si>
  <si>
    <t>INJ 10X0.6ML/11.4KU</t>
  </si>
  <si>
    <t>166030</t>
  </si>
  <si>
    <t>66030</t>
  </si>
  <si>
    <t>TBL OBD 30X10MG</t>
  </si>
  <si>
    <t>166759</t>
  </si>
  <si>
    <t>KINITO 50 MG, POTAHOVANÉ TABLETY</t>
  </si>
  <si>
    <t>POR TBL FLM 40X50MG</t>
  </si>
  <si>
    <t>184399</t>
  </si>
  <si>
    <t>84399</t>
  </si>
  <si>
    <t>NEURONTIN 300MG</t>
  </si>
  <si>
    <t>CPS 50X300MG</t>
  </si>
  <si>
    <t>190957</t>
  </si>
  <si>
    <t>90957</t>
  </si>
  <si>
    <t>XANAX</t>
  </si>
  <si>
    <t>192340</t>
  </si>
  <si>
    <t>WARFARIN PMCS 2 MG</t>
  </si>
  <si>
    <t>POR TBL NOB 100X2MG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</si>
  <si>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</si>
  <si>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</si>
  <si>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</si>
  <si>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</si>
  <si>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</si>
  <si>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</si>
  <si>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</si>
  <si>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</si>
  <si>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</si>
  <si>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</si>
  <si>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</si>
  <si>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</si>
  <si>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</si>
  <si>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</si>
  <si>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</si>
  <si>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</si>
  <si>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</si>
  <si>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</si>
  <si>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</si>
  <si>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</si>
  <si>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</si>
  <si>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</si>
  <si>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847488</t>
  </si>
  <si>
    <t>107869</t>
  </si>
  <si>
    <t>APO-ALLOPURINOL</t>
  </si>
  <si>
    <t>POR TBL NOB 100X100MG</t>
  </si>
  <si>
    <t>848765</t>
  </si>
  <si>
    <t>107938</t>
  </si>
  <si>
    <t>INJ SOL 6X3ML/150MG</t>
  </si>
  <si>
    <t>848907</t>
  </si>
  <si>
    <t>148072</t>
  </si>
  <si>
    <t>ROSUCARD 20 MG POTAHOVANÉ TABLETY</t>
  </si>
  <si>
    <t>849453</t>
  </si>
  <si>
    <t>163077</t>
  </si>
  <si>
    <t>AMARYL 2 MG</t>
  </si>
  <si>
    <t>POR TBL NOB 30X2MG</t>
  </si>
  <si>
    <t>849561</t>
  </si>
  <si>
    <t>125060</t>
  </si>
  <si>
    <t>APO-AMLO 5</t>
  </si>
  <si>
    <t>849713</t>
  </si>
  <si>
    <t>125046</t>
  </si>
  <si>
    <t>APO-AMLO 10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</si>
  <si>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</si>
  <si>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</si>
  <si>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</si>
  <si>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</si>
  <si>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</si>
  <si>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</si>
  <si>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</si>
  <si>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850087</t>
  </si>
  <si>
    <t>120791</t>
  </si>
  <si>
    <t>APO-PERINDO 4 MG</t>
  </si>
  <si>
    <t>POR TBL NOB 30X4MG</t>
  </si>
  <si>
    <t>29328</t>
  </si>
  <si>
    <t>PRADAXA 110 MG</t>
  </si>
  <si>
    <t>POR CPS DUR 60X1X110MG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</si>
  <si>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</si>
  <si>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</si>
  <si>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</si>
  <si>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</si>
  <si>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</si>
  <si>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</si>
  <si>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</si>
  <si>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</si>
  <si>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</si>
  <si>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</si>
  <si>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</si>
  <si>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</si>
  <si>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145964</t>
  </si>
  <si>
    <t>45964</t>
  </si>
  <si>
    <t>SERETIDE DISKUS 50/250</t>
  </si>
  <si>
    <t>INH PLV 60X50/250RG</t>
  </si>
  <si>
    <t>149531</t>
  </si>
  <si>
    <t>49531</t>
  </si>
  <si>
    <t>CONTROLOC I.V.</t>
  </si>
  <si>
    <t>INJ PLV SOL 1X40MG</t>
  </si>
  <si>
    <t>158191</t>
  </si>
  <si>
    <t>TELMISARTAN SANDOZ 80 MG</t>
  </si>
  <si>
    <t>POR TBL NOB 30X80MG</t>
  </si>
  <si>
    <t>193019</t>
  </si>
  <si>
    <t>93019</t>
  </si>
  <si>
    <t>SORTIS 40MG</t>
  </si>
  <si>
    <t>194113</t>
  </si>
  <si>
    <t>94113</t>
  </si>
  <si>
    <t>TBL 100X3MG</t>
  </si>
  <si>
    <t>844377</t>
  </si>
  <si>
    <t>BETAHISTIN ACTAVIS 16 MG</t>
  </si>
  <si>
    <t>POR TBL NOB 60X16MG</t>
  </si>
  <si>
    <t>848251</t>
  </si>
  <si>
    <t>122632</t>
  </si>
  <si>
    <t>SORTIS 80 MG</t>
  </si>
  <si>
    <t>POR TBL FLM 30X80MG</t>
  </si>
  <si>
    <t>848947</t>
  </si>
  <si>
    <t>135928</t>
  </si>
  <si>
    <t>ESOPREX 10 MG</t>
  </si>
  <si>
    <t>849187</t>
  </si>
  <si>
    <t>111902</t>
  </si>
  <si>
    <t>NITRESAN 20 MG</t>
  </si>
  <si>
    <t>POR TBL NOB 30X20MG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</si>
  <si>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</si>
  <si>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</si>
  <si>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</si>
  <si>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</si>
  <si>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</si>
  <si>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</si>
  <si>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</si>
  <si>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126789</t>
  </si>
  <si>
    <t>26789</t>
  </si>
  <si>
    <t>NOVORAPID PENFILL 100 U/ML</t>
  </si>
  <si>
    <t>INJ SOL 5X3ML</t>
  </si>
  <si>
    <t>132058</t>
  </si>
  <si>
    <t>32058</t>
  </si>
  <si>
    <t>INJ SOL 10X0.3ML</t>
  </si>
  <si>
    <t>132059</t>
  </si>
  <si>
    <t>32059</t>
  </si>
  <si>
    <t>INJ SOL 10X0.4ML</t>
  </si>
  <si>
    <t>844306</t>
  </si>
  <si>
    <t>102674</t>
  </si>
  <si>
    <t>BETAHISTIN ACTAVIS 8 MG</t>
  </si>
  <si>
    <t>POR TBL NOB100X8MG</t>
  </si>
  <si>
    <t>850526</t>
  </si>
  <si>
    <t>101172</t>
  </si>
  <si>
    <t>CADUET 5 MG/10 MG</t>
  </si>
  <si>
    <t>145958</t>
  </si>
  <si>
    <t>45958</t>
  </si>
  <si>
    <t>SERETIDE DISKUS 50/500</t>
  </si>
  <si>
    <t>INH PLV 60X50/500RG</t>
  </si>
  <si>
    <t>848895</t>
  </si>
  <si>
    <t>151056</t>
  </si>
  <si>
    <t>LAMICTAL 100 MG</t>
  </si>
  <si>
    <t>POR TBL NOB 42X100MG</t>
  </si>
  <si>
    <t>117431</t>
  </si>
  <si>
    <t>17431</t>
  </si>
  <si>
    <t>CITALEC 20 ZENTIVA</t>
  </si>
  <si>
    <t>POR TBL FLM30X20MG</t>
  </si>
  <si>
    <t>184396</t>
  </si>
  <si>
    <t>84396</t>
  </si>
  <si>
    <t>NEURONTIN 100MG</t>
  </si>
  <si>
    <t>CPS 20X100MG</t>
  </si>
  <si>
    <t>166760</t>
  </si>
  <si>
    <t>POR TBL FLM 100X50MG</t>
  </si>
  <si>
    <t>850106</t>
  </si>
  <si>
    <t>111898</t>
  </si>
  <si>
    <t>NITRESAN 10 MG</t>
  </si>
  <si>
    <t>104062</t>
  </si>
  <si>
    <t>4062</t>
  </si>
  <si>
    <t>CAVINTON</t>
  </si>
  <si>
    <t>INJ 10X2ML/10MG</t>
  </si>
  <si>
    <t>175080</t>
  </si>
  <si>
    <t>DRETACEN 250 MG</t>
  </si>
  <si>
    <t>POR TBL FLM 50X250MG</t>
  </si>
  <si>
    <t>158893</t>
  </si>
  <si>
    <t>58893</t>
  </si>
  <si>
    <t>XALATAN</t>
  </si>
  <si>
    <t>GTT OPH 1X2.5ML</t>
  </si>
  <si>
    <t>191922</t>
  </si>
  <si>
    <t>POR TBL FLM 60X1000MG</t>
  </si>
  <si>
    <t>103414</t>
  </si>
  <si>
    <t>3414</t>
  </si>
  <si>
    <t>NUTRIFLEX PERI</t>
  </si>
  <si>
    <t>INF 5X2000ML</t>
  </si>
  <si>
    <t>149415</t>
  </si>
  <si>
    <t>49415</t>
  </si>
  <si>
    <t>AMINOPLASMAL B.BRAUN 10%</t>
  </si>
  <si>
    <t>INF SOL 10X500ML</t>
  </si>
  <si>
    <t>988740</t>
  </si>
  <si>
    <t>Nutrison Advanced Diason 1000ml</t>
  </si>
  <si>
    <t>133146</t>
  </si>
  <si>
    <t>33530</t>
  </si>
  <si>
    <t>NUTRISON MULTI FIBRE</t>
  </si>
  <si>
    <t>POR SOL 1X1000ML-VA</t>
  </si>
  <si>
    <t>133220</t>
  </si>
  <si>
    <t>33220</t>
  </si>
  <si>
    <t>PROTIFAR</t>
  </si>
  <si>
    <t>POR PLV SOL 1X225GM</t>
  </si>
  <si>
    <t>33526</t>
  </si>
  <si>
    <t>NUTRISON</t>
  </si>
  <si>
    <t>POR SOL 1X1000ML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</si>
  <si>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</si>
  <si>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</si>
  <si>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</si>
  <si>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</si>
  <si>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</si>
  <si>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</si>
  <si>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</si>
  <si>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</si>
  <si>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</si>
  <si>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</si>
  <si>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</si>
  <si>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</si>
  <si>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</si>
  <si>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</si>
  <si>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</si>
  <si>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</si>
  <si>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</si>
  <si>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</si>
  <si>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</si>
  <si>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</si>
  <si>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</si>
  <si>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</si>
  <si>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</si>
  <si>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</si>
  <si>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</si>
  <si>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</si>
  <si>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</si>
  <si>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131654</t>
  </si>
  <si>
    <t>CEFTAZIDIM KABI 1 GM</t>
  </si>
  <si>
    <t>INJ PLV SOL 10X1GM</t>
  </si>
  <si>
    <t>162050</t>
  </si>
  <si>
    <t>62050</t>
  </si>
  <si>
    <t>DUOMOX 500</t>
  </si>
  <si>
    <t>TBL 20X500MG</t>
  </si>
  <si>
    <t>192289</t>
  </si>
  <si>
    <t>92289</t>
  </si>
  <si>
    <t>EDICIN 0,5GM</t>
  </si>
  <si>
    <t>INJ.SICC.1X500MG</t>
  </si>
  <si>
    <t>847476</t>
  </si>
  <si>
    <t>112782</t>
  </si>
  <si>
    <t xml:space="preserve">GENTAMICIN B.BRAUN 3 MG/ML INFUZNÍ ROZTOK </t>
  </si>
  <si>
    <t>INF SOL 20X80ML</t>
  </si>
  <si>
    <t>849567</t>
  </si>
  <si>
    <t>125249</t>
  </si>
  <si>
    <t>CIPROFLOXACIN KABI 400 MG/200 ML INFUZNÍ ROZTOK</t>
  </si>
  <si>
    <t>INF SOL 10X400MG/200ML</t>
  </si>
  <si>
    <t>850012</t>
  </si>
  <si>
    <t>154748</t>
  </si>
  <si>
    <t>NITROFURANTOIN - RATIOPHARM 100 MG</t>
  </si>
  <si>
    <t>POR CPS PRO 50X100MG</t>
  </si>
  <si>
    <t>144285</t>
  </si>
  <si>
    <t>44285</t>
  </si>
  <si>
    <t>NORMIX</t>
  </si>
  <si>
    <t>TBL OBD 12X200MG</t>
  </si>
  <si>
    <t>131656</t>
  </si>
  <si>
    <t>CEFTAZIDIM KABI 2 GM</t>
  </si>
  <si>
    <t>INJ+INF PLV SOL 10X2GM</t>
  </si>
  <si>
    <t>111706</t>
  </si>
  <si>
    <t>11706</t>
  </si>
  <si>
    <t>BISEPTOL 480</t>
  </si>
  <si>
    <t>INJ 10X5ML</t>
  </si>
  <si>
    <t>184492</t>
  </si>
  <si>
    <t>84492</t>
  </si>
  <si>
    <t>FUCIDIN</t>
  </si>
  <si>
    <t>CRM 1X15GM 2%</t>
  </si>
  <si>
    <t>175022</t>
  </si>
  <si>
    <t>75022</t>
  </si>
  <si>
    <t>COTRIMOXAZOL AL FORTE</t>
  </si>
  <si>
    <t>TBL 10X960MG</t>
  </si>
  <si>
    <t>113453</t>
  </si>
  <si>
    <t>PIPERACILLIN/TAZOBACTAM KABI 4 G/0,5 G</t>
  </si>
  <si>
    <t>INF PLV SOL 10X4.5GM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</si>
  <si>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</si>
  <si>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</si>
  <si>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</si>
  <si>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</si>
  <si>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</si>
  <si>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</si>
  <si>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</si>
  <si>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</si>
  <si>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</si>
  <si>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</si>
  <si>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</si>
  <si>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</si>
  <si>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</si>
  <si>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</si>
  <si>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</si>
  <si>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</si>
  <si>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</si>
  <si>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</si>
  <si>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</si>
  <si>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</si>
  <si>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</si>
  <si>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</si>
  <si>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</si>
  <si>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</si>
  <si>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</si>
  <si>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</si>
  <si>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</si>
  <si>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</si>
  <si>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</si>
  <si>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</si>
  <si>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</si>
  <si>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</si>
  <si>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</si>
  <si>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</si>
  <si>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</si>
  <si>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132546</t>
  </si>
  <si>
    <t>32546</t>
  </si>
  <si>
    <t>KLACID SR</t>
  </si>
  <si>
    <t>PORTBLRET14X500MG-D</t>
  </si>
  <si>
    <t>147725</t>
  </si>
  <si>
    <t>47725</t>
  </si>
  <si>
    <t>ZINNAT 250 MG</t>
  </si>
  <si>
    <t>TBL OBD 10X250MG</t>
  </si>
  <si>
    <t>113798</t>
  </si>
  <si>
    <t>13798</t>
  </si>
  <si>
    <t>CANESTEN KRÉM</t>
  </si>
  <si>
    <t>CRM 1X20GM/200MG</t>
  </si>
  <si>
    <t>199248</t>
  </si>
  <si>
    <t>99248</t>
  </si>
  <si>
    <t>MYFUNGAR</t>
  </si>
  <si>
    <t>CRM 1X30GM</t>
  </si>
  <si>
    <t>116895</t>
  </si>
  <si>
    <t>16895</t>
  </si>
  <si>
    <t>IMAZOL KRÉMPASTA</t>
  </si>
  <si>
    <t>DRM PST 1X30GM</t>
  </si>
  <si>
    <t>141515</t>
  </si>
  <si>
    <t>41515</t>
  </si>
  <si>
    <t>PIMAFUCORT</t>
  </si>
  <si>
    <t>CRM 1X15GM</t>
  </si>
  <si>
    <t>100707</t>
  </si>
  <si>
    <t>707</t>
  </si>
  <si>
    <t>FUCIDIN H</t>
  </si>
  <si>
    <t>DRM CRM 1X15GM</t>
  </si>
  <si>
    <t>176150</t>
  </si>
  <si>
    <t>76150</t>
  </si>
  <si>
    <t>BATRAFEN</t>
  </si>
  <si>
    <t>CRM 1X20GM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</si>
  <si>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</si>
  <si>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</si>
  <si>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</si>
  <si>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</si>
  <si>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</si>
  <si>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</si>
  <si>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</si>
  <si>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3011 - GER lůž. odd. 46, 47,-původně 90 lůž/ 15 uzav</t>
  </si>
  <si>
    <t>N06DA02 - Donepezil</t>
  </si>
  <si>
    <t>A10AB01 - Inzulin lidský</t>
  </si>
  <si>
    <t>C02CA04 - Doxazosin</t>
  </si>
  <si>
    <t>N05AH04 - Kvetiapin</t>
  </si>
  <si>
    <t>A10BA02 - Metformin</t>
  </si>
  <si>
    <t>H03AA01 - Levothyroxin, sodná sůl</t>
  </si>
  <si>
    <t>A02BC02 - Pantoprazol</t>
  </si>
  <si>
    <t>S01EE01 - Latanoprost</t>
  </si>
  <si>
    <t>A10AB05 - Inzulin aspart</t>
  </si>
  <si>
    <t>J01FF01 - Klindamycin</t>
  </si>
  <si>
    <t>J02AC01 - Flukonazol</t>
  </si>
  <si>
    <t>N03AX09 - Lamotrigin</t>
  </si>
  <si>
    <t>A03FA - Prokinetika</t>
  </si>
  <si>
    <t>A10BB12 - Glimepirid</t>
  </si>
  <si>
    <t>C10BX03 - Atorvastatin a amlodipin</t>
  </si>
  <si>
    <t>B01AA03 - Warfarin</t>
  </si>
  <si>
    <t>J01DC02 - Cefuroxim</t>
  </si>
  <si>
    <t>B01AB06 - Nadroparin</t>
  </si>
  <si>
    <t>J01MA02 - Ciprofloxacin</t>
  </si>
  <si>
    <t>B01AC04 - Klopidogrel</t>
  </si>
  <si>
    <t>N02AE01 - Buprenorfin</t>
  </si>
  <si>
    <t>B01AE07 - Dabigatran-etexilát</t>
  </si>
  <si>
    <t>A06AD11 - Laktulóza</t>
  </si>
  <si>
    <t>C01BD01 - Amiodaron</t>
  </si>
  <si>
    <t>R03AC02 - Salbutamol</t>
  </si>
  <si>
    <t>A02BC03 - Lansoprazol</t>
  </si>
  <si>
    <t>R03AK06 - SALMETEROL AND FLUTICASONE</t>
  </si>
  <si>
    <t>C03EA01 - Hydrochlorothiazid a kalium šetřící diuretika</t>
  </si>
  <si>
    <t>G04CA02 - Tamsulosin</t>
  </si>
  <si>
    <t>C07AB07 - Bisoprolol</t>
  </si>
  <si>
    <t>J01CR02 - Amoxicilin a enzymový inhibitor</t>
  </si>
  <si>
    <t>C07AG02 - Karvedilol</t>
  </si>
  <si>
    <t>J01FA09 - Klarithromycin</t>
  </si>
  <si>
    <t>C08CA01 - Amlodipin</t>
  </si>
  <si>
    <t>J01MA01 - Ofloxacin</t>
  </si>
  <si>
    <t>C08CA08 - Nitrendipin</t>
  </si>
  <si>
    <t>J01XA01 - Vankomycin</t>
  </si>
  <si>
    <t>C09AA04 - Perindopril</t>
  </si>
  <si>
    <t>M04AA01 - Alopurinol</t>
  </si>
  <si>
    <t>C09AA05 - Ramipril</t>
  </si>
  <si>
    <t>N02AX02 - Tramadol</t>
  </si>
  <si>
    <t>N03AX14 - Levetiracetam</t>
  </si>
  <si>
    <t>N03AX12 - Gabapentin</t>
  </si>
  <si>
    <t>N05BA12 - Alprazolam</t>
  </si>
  <si>
    <t>N06AB10 - Escitalopram</t>
  </si>
  <si>
    <t>C09AA10 - Trandolapril</t>
  </si>
  <si>
    <t>N06AB04 - Citalopram</t>
  </si>
  <si>
    <t>C09BA04 - Perindopril a diuretika</t>
  </si>
  <si>
    <t>N06BX18 - Vinpocetin</t>
  </si>
  <si>
    <t>C09CA01 - Losartan</t>
  </si>
  <si>
    <t>N07CA01 - Betahistin</t>
  </si>
  <si>
    <t>C09CA07 - Telmisartan</t>
  </si>
  <si>
    <t>R06AE07 - Cetirizin</t>
  </si>
  <si>
    <t>C09DA01 - Losartan a diuretika</t>
  </si>
  <si>
    <t>V06XX - Potraviny pro zvláštní lékařské účely (PZLÚ)</t>
  </si>
  <si>
    <t>C10AA05 - Atorvastatin</t>
  </si>
  <si>
    <t>A02BA03 - Famotidin</t>
  </si>
  <si>
    <t>C10AA07 - Rosuvastatin</t>
  </si>
  <si>
    <t>A02BA03</t>
  </si>
  <si>
    <t>A02BC02</t>
  </si>
  <si>
    <t>POR TBL ENT 28X20MG I</t>
  </si>
  <si>
    <t>POR TBL ENT 28X40MG I</t>
  </si>
  <si>
    <t>A02BC03</t>
  </si>
  <si>
    <t>LANZUL 30 MG</t>
  </si>
  <si>
    <t>POR CPS DUR 14X30MG</t>
  </si>
  <si>
    <t>A03FA</t>
  </si>
  <si>
    <t>A06AD11</t>
  </si>
  <si>
    <t>A10AB01</t>
  </si>
  <si>
    <t>A10AB05</t>
  </si>
  <si>
    <t>A10BA02</t>
  </si>
  <si>
    <t>POR TBL FLM 60X500MG</t>
  </si>
  <si>
    <t>A10BB12</t>
  </si>
  <si>
    <t>B01AA03</t>
  </si>
  <si>
    <t>WARFARIN ORION 3 MG</t>
  </si>
  <si>
    <t>POR TBL NOB 100X3MG</t>
  </si>
  <si>
    <t>WARFARIN ORION 5 MG</t>
  </si>
  <si>
    <t>POR TBL NOB 100X5MG</t>
  </si>
  <si>
    <t>B01AB06</t>
  </si>
  <si>
    <t>B01AC04</t>
  </si>
  <si>
    <t>B01AE07</t>
  </si>
  <si>
    <t>C01BD01</t>
  </si>
  <si>
    <t>POR TBL NOB 30X200MG</t>
  </si>
  <si>
    <t>POR TBL NOB 60X200MG</t>
  </si>
  <si>
    <t>C02CA04</t>
  </si>
  <si>
    <t>C03EA01</t>
  </si>
  <si>
    <t>C07AB07</t>
  </si>
  <si>
    <t>C07AG02</t>
  </si>
  <si>
    <t>C08CA01</t>
  </si>
  <si>
    <t>C08CA08</t>
  </si>
  <si>
    <t>C09AA04</t>
  </si>
  <si>
    <t>C09AA05</t>
  </si>
  <si>
    <t>TRITACE 5 MG</t>
  </si>
  <si>
    <t>C09AA10</t>
  </si>
  <si>
    <t>GOPTEN 2 MG</t>
  </si>
  <si>
    <t>POR CPS DUR 28X2MG</t>
  </si>
  <si>
    <t>C09BA04</t>
  </si>
  <si>
    <t>C09CA01</t>
  </si>
  <si>
    <t>C09CA07</t>
  </si>
  <si>
    <t>C09DA01</t>
  </si>
  <si>
    <t>C10AA05</t>
  </si>
  <si>
    <t>POR TBL FLM 100X10MG</t>
  </si>
  <si>
    <t>SORTIS 40 MG</t>
  </si>
  <si>
    <t>POR TBL FLM 30X40MG</t>
  </si>
  <si>
    <t>C10AA07</t>
  </si>
  <si>
    <t>C10BX03</t>
  </si>
  <si>
    <t>G04CA02</t>
  </si>
  <si>
    <t>POR CPS RDR 30X0.4MG</t>
  </si>
  <si>
    <t>H03AA01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</si>
  <si>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</si>
  <si>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</si>
  <si>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</si>
  <si>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</si>
  <si>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</si>
  <si>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</si>
  <si>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</si>
  <si>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J01DC02</t>
  </si>
  <si>
    <t>POR TBL FLM 10X250MG</t>
  </si>
  <si>
    <t>POR TBL FLM 10X500MG</t>
  </si>
  <si>
    <t>ZINACEF 1,5 G</t>
  </si>
  <si>
    <t>INJ PLV SOL 1X1.5GM</t>
  </si>
  <si>
    <t>J01FA09</t>
  </si>
  <si>
    <t>POR TBL RET 14X500MG-DOUBLE BL</t>
  </si>
  <si>
    <t>POR TBL FLM 14X500MG</t>
  </si>
  <si>
    <t>J01FF01</t>
  </si>
  <si>
    <t>DALACIN C</t>
  </si>
  <si>
    <t>INJ SOL 1X4ML/600MG</t>
  </si>
  <si>
    <t>J01MA01</t>
  </si>
  <si>
    <t>POR TBL FLM 10X200MG</t>
  </si>
  <si>
    <t>J01MA02</t>
  </si>
  <si>
    <t>J01XA01</t>
  </si>
  <si>
    <t>EDICIN 0,5 G</t>
  </si>
  <si>
    <t>INJ PLV SOL 1X500MG</t>
  </si>
  <si>
    <t>J02AC01</t>
  </si>
  <si>
    <t>MYCOMAX INF</t>
  </si>
  <si>
    <t>INF SOL 100ML/200MG</t>
  </si>
  <si>
    <t>POR CPS DUR 28X100MG</t>
  </si>
  <si>
    <t>M04AA01</t>
  </si>
  <si>
    <t>N02AE01</t>
  </si>
  <si>
    <t>N02AX02</t>
  </si>
  <si>
    <t>POR TBL PRO 30X100MG</t>
  </si>
  <si>
    <t>N03AX09</t>
  </si>
  <si>
    <t>N03AX12</t>
  </si>
  <si>
    <t>NEURONTIN 100 MG</t>
  </si>
  <si>
    <t>POR CPS DUR 20X100MG</t>
  </si>
  <si>
    <t>NEURONTIN 300 MG</t>
  </si>
  <si>
    <t>POR CPS DUR 50X300MG</t>
  </si>
  <si>
    <t>N03AX14</t>
  </si>
  <si>
    <t>N05AH04</t>
  </si>
  <si>
    <t>N05BA12</t>
  </si>
  <si>
    <t>XANAX 0,25 MG</t>
  </si>
  <si>
    <t>POR TBL NOB 30X0.25MG</t>
  </si>
  <si>
    <t>N06AB04</t>
  </si>
  <si>
    <t>POR TBL FLM 30X10 MG</t>
  </si>
  <si>
    <t>POR TBL FLM 30X20 MG</t>
  </si>
  <si>
    <t>N06AB10</t>
  </si>
  <si>
    <t>N06BX18</t>
  </si>
  <si>
    <t>INJ SOL 10X2ML/10MG</t>
  </si>
  <si>
    <t>N06DA02</t>
  </si>
  <si>
    <t>N07CA01</t>
  </si>
  <si>
    <t>POR TBL NOB 100X8MG</t>
  </si>
  <si>
    <t>R03AC02</t>
  </si>
  <si>
    <t>INH SUS PSS 200X100RG</t>
  </si>
  <si>
    <t>R03AK06</t>
  </si>
  <si>
    <t>INH PLV 1X60X50/500MCG</t>
  </si>
  <si>
    <t>INH PLV 1X60X50/250RG</t>
  </si>
  <si>
    <t>R06AE07</t>
  </si>
  <si>
    <t>POR TBL FLM 60X10MG</t>
  </si>
  <si>
    <t>S01EE01</t>
  </si>
  <si>
    <t>OPH GTT SOL 1X2.5ML I</t>
  </si>
  <si>
    <t>V06XX</t>
  </si>
  <si>
    <t>Přehled plnění pozitivního listu - spotřeba léčivých přípravků - orientační přehled</t>
  </si>
  <si>
    <t>HVLP</t>
  </si>
  <si>
    <t>IPLP</t>
  </si>
  <si>
    <t>PZT</t>
  </si>
  <si>
    <t>89301301</t>
  </si>
  <si>
    <t>Standardní lůžková péče Celkem</t>
  </si>
  <si>
    <t>89301303</t>
  </si>
  <si>
    <t>Ambulance interní Celkem</t>
  </si>
  <si>
    <t>Oddělení geriatrie Celkem</t>
  </si>
  <si>
    <t>Bretšnajdrová Milena</t>
  </si>
  <si>
    <t>Kurašová Jitka</t>
  </si>
  <si>
    <t>Mertová Eva</t>
  </si>
  <si>
    <t>Molitorová Ivana</t>
  </si>
  <si>
    <t>Pavlů Naděžda</t>
  </si>
  <si>
    <t>Šanová Hana</t>
  </si>
  <si>
    <t>Záboj Zdeněk</t>
  </si>
  <si>
    <t>Alopurinol</t>
  </si>
  <si>
    <t>2592</t>
  </si>
  <si>
    <t>MILURIT 100</t>
  </si>
  <si>
    <t>POR TBL NOB 50X100MG</t>
  </si>
  <si>
    <t>Amlodipin</t>
  </si>
  <si>
    <t>125045</t>
  </si>
  <si>
    <t>Atorvastatin</t>
  </si>
  <si>
    <t>Baklofen</t>
  </si>
  <si>
    <t>BACLOFEN-POLPHARMA 10 MG</t>
  </si>
  <si>
    <t>POR TBL NOB 50X10MG</t>
  </si>
  <si>
    <t>Betaxolol</t>
  </si>
  <si>
    <t>49909</t>
  </si>
  <si>
    <t>LOKREN 20 MG</t>
  </si>
  <si>
    <t>POR TBL FLM 28X20MG</t>
  </si>
  <si>
    <t>Biperiden</t>
  </si>
  <si>
    <t>21888</t>
  </si>
  <si>
    <t>POR TBL NOB 20X2MG</t>
  </si>
  <si>
    <t>Finasterid</t>
  </si>
  <si>
    <t>65988</t>
  </si>
  <si>
    <t>PENESTER</t>
  </si>
  <si>
    <t>Gabapentin</t>
  </si>
  <si>
    <t>Chinapril a diuretika</t>
  </si>
  <si>
    <t>76708</t>
  </si>
  <si>
    <t>ACCUZIDE 10</t>
  </si>
  <si>
    <t>Kyselina listová</t>
  </si>
  <si>
    <t>ACIDUM FOLICUM LÉČIVA</t>
  </si>
  <si>
    <t>POR TBL OBD 30X10MG</t>
  </si>
  <si>
    <t>Levodopa a inhibitor dekarboxylázy</t>
  </si>
  <si>
    <t>45239</t>
  </si>
  <si>
    <t>ISICOM 100 MG</t>
  </si>
  <si>
    <t>POR TBL NOB 30X125MG</t>
  </si>
  <si>
    <t>Levothyroxin, sodná sůl</t>
  </si>
  <si>
    <t>47144</t>
  </si>
  <si>
    <t>LETROX 100</t>
  </si>
  <si>
    <t>POR TBL NOB 100X100RG I</t>
  </si>
  <si>
    <t>Losartan</t>
  </si>
  <si>
    <t>13892</t>
  </si>
  <si>
    <t>Magnesium-laktát</t>
  </si>
  <si>
    <t>TBL.MAGNESII LACTICI 0,5 GLO</t>
  </si>
  <si>
    <t>POR TBL NOB 100X500MG</t>
  </si>
  <si>
    <t>Melperon</t>
  </si>
  <si>
    <t>69447</t>
  </si>
  <si>
    <t>Metoprolol</t>
  </si>
  <si>
    <t>49934</t>
  </si>
  <si>
    <t>POR TBL PRO 30X25MG</t>
  </si>
  <si>
    <t>Nadroparin</t>
  </si>
  <si>
    <t>Omeprazol</t>
  </si>
  <si>
    <t>132530</t>
  </si>
  <si>
    <t>HELICID 20</t>
  </si>
  <si>
    <t>POR CPS ETD 28X20MG</t>
  </si>
  <si>
    <t>Perindopril</t>
  </si>
  <si>
    <t>Ramipril</t>
  </si>
  <si>
    <t>Rutosid, kombinace</t>
  </si>
  <si>
    <t>96303</t>
  </si>
  <si>
    <t>ASCORUTIN</t>
  </si>
  <si>
    <t>POR TBL FLM 50</t>
  </si>
  <si>
    <t>Sulodexid</t>
  </si>
  <si>
    <t>POR CPS MOL 50X250LSU</t>
  </si>
  <si>
    <t>Tiaprid</t>
  </si>
  <si>
    <t>48577</t>
  </si>
  <si>
    <t>POR TBL NOB 20X100MG</t>
  </si>
  <si>
    <t>Verapamil</t>
  </si>
  <si>
    <t>9201</t>
  </si>
  <si>
    <t>ISOPTIN 40 MG</t>
  </si>
  <si>
    <t>POR TBL FLM 50X40MG</t>
  </si>
  <si>
    <t>1710</t>
  </si>
  <si>
    <t>MILURIT 300</t>
  </si>
  <si>
    <t>POR TBL NOB 30X300MG</t>
  </si>
  <si>
    <t>Alprazolam</t>
  </si>
  <si>
    <t>125059</t>
  </si>
  <si>
    <t>109850</t>
  </si>
  <si>
    <t>ATORVASTATIN ACTAVIS 20 MG</t>
  </si>
  <si>
    <t>Betahistin</t>
  </si>
  <si>
    <t>Escitalopram</t>
  </si>
  <si>
    <t>Fenofibrát</t>
  </si>
  <si>
    <t>76502</t>
  </si>
  <si>
    <t>LIPANTHYL 200 M</t>
  </si>
  <si>
    <t>POR CPS DUR 30X200MG</t>
  </si>
  <si>
    <t>Furosemid</t>
  </si>
  <si>
    <t>FURON 40 MG</t>
  </si>
  <si>
    <t>POR TBL NOB 50X40MG</t>
  </si>
  <si>
    <t>Glycerol-trinitrát</t>
  </si>
  <si>
    <t>Haloperidol</t>
  </si>
  <si>
    <t>HALOPERIDOL-RICHTER 1,5 MG</t>
  </si>
  <si>
    <t>POR TBL NOB 50X1.5MG</t>
  </si>
  <si>
    <t>Hořčík (různé sole v kombinaci)</t>
  </si>
  <si>
    <t>POR GRA SOL 30</t>
  </si>
  <si>
    <t>Cholekalciferol</t>
  </si>
  <si>
    <t>POR GTT SOL 1X10ML</t>
  </si>
  <si>
    <t>Ipratropium-bromid</t>
  </si>
  <si>
    <t>32992</t>
  </si>
  <si>
    <t>ATROVENT N</t>
  </si>
  <si>
    <t>INH SOL PSS 200X20 MCG</t>
  </si>
  <si>
    <t>Isosorbid-mononitrát</t>
  </si>
  <si>
    <t>20301</t>
  </si>
  <si>
    <t>MONOTAB 40</t>
  </si>
  <si>
    <t>POR TBL NOB 20X40MG</t>
  </si>
  <si>
    <t>Laktulóza</t>
  </si>
  <si>
    <t>Levetiracetam</t>
  </si>
  <si>
    <t>Makrogol</t>
  </si>
  <si>
    <t>POR PLV SOL 1X4(SÁČKY)</t>
  </si>
  <si>
    <t>Molsidomin</t>
  </si>
  <si>
    <t>POR TBL PRO 30X8MG</t>
  </si>
  <si>
    <t>59808</t>
  </si>
  <si>
    <t>25365</t>
  </si>
  <si>
    <t>POR CPS ETD 28X20MG SKLO</t>
  </si>
  <si>
    <t>Oxazepam</t>
  </si>
  <si>
    <t>OXAZEPAM LÉČIVA</t>
  </si>
  <si>
    <t>POR TBL NOB 20X10MG</t>
  </si>
  <si>
    <t>Pantoprazol</t>
  </si>
  <si>
    <t>177322</t>
  </si>
  <si>
    <t>PERINDOPRIL MYLAN 4 MG</t>
  </si>
  <si>
    <t>Propiverin</t>
  </si>
  <si>
    <t>66817</t>
  </si>
  <si>
    <t>POR TBL OBD 50X15MG</t>
  </si>
  <si>
    <t>Různé jiné kombinace železa</t>
  </si>
  <si>
    <t>97402</t>
  </si>
  <si>
    <t>SORBIFER DURULES</t>
  </si>
  <si>
    <t>POR TBL FLM 50X100MG</t>
  </si>
  <si>
    <t>Sodná sůl metamizolu</t>
  </si>
  <si>
    <t>NOVALGIN TABLETY</t>
  </si>
  <si>
    <t>POR TBL FLM 20X500MG</t>
  </si>
  <si>
    <t>Spironolakton</t>
  </si>
  <si>
    <t>POR TBL NOB 20X25MG</t>
  </si>
  <si>
    <t>Telmisartan</t>
  </si>
  <si>
    <t>Theofylin</t>
  </si>
  <si>
    <t>44304</t>
  </si>
  <si>
    <t>POR CPS PRO 20X200MG</t>
  </si>
  <si>
    <t>Trimetazidin</t>
  </si>
  <si>
    <t>178689</t>
  </si>
  <si>
    <t>PROTEVASC 35 MG TABLETY S PRODLOUŽENÝM UVOLŇOVÁNÍM</t>
  </si>
  <si>
    <t>POR TBL PRO 60X35MG</t>
  </si>
  <si>
    <t>Vápník, kombinace s vitaminem D a/nebo jinými léčivy</t>
  </si>
  <si>
    <t>Warfarin</t>
  </si>
  <si>
    <t>Zolpidem</t>
  </si>
  <si>
    <t>146889</t>
  </si>
  <si>
    <t>ZOLPIDEM MYLAN</t>
  </si>
  <si>
    <t>POR TBL FLM 10X10MG</t>
  </si>
  <si>
    <t>107868</t>
  </si>
  <si>
    <t>Ambroxol</t>
  </si>
  <si>
    <t>45324</t>
  </si>
  <si>
    <t>POR TBL NOB 20X30MG</t>
  </si>
  <si>
    <t>Amiodaron</t>
  </si>
  <si>
    <t>Atenolol</t>
  </si>
  <si>
    <t>Bisoprolol</t>
  </si>
  <si>
    <t>Cinchokain</t>
  </si>
  <si>
    <t>RCT UNG 1X20GM</t>
  </si>
  <si>
    <t>Citalopram</t>
  </si>
  <si>
    <t>Diosmin, kombinace</t>
  </si>
  <si>
    <t>POR TBL FLM 30X500MG</t>
  </si>
  <si>
    <t>13459</t>
  </si>
  <si>
    <t>FUROSEMID - SLOVAKOFARMA FORTE</t>
  </si>
  <si>
    <t>POR TBL NOB 20X250MG</t>
  </si>
  <si>
    <t>98218</t>
  </si>
  <si>
    <t>Gliklazid</t>
  </si>
  <si>
    <t>1244</t>
  </si>
  <si>
    <t>POR TBL RET 30X30MG</t>
  </si>
  <si>
    <t>Chlorid draselný</t>
  </si>
  <si>
    <t>17188</t>
  </si>
  <si>
    <t>KALIUM CHLORATUM BIOMEDICA</t>
  </si>
  <si>
    <t>POR TBL FLM 50X500MG</t>
  </si>
  <si>
    <t>Klarithromycin</t>
  </si>
  <si>
    <t>Klonazepam</t>
  </si>
  <si>
    <t>Kyselina acetylsalicylová</t>
  </si>
  <si>
    <t>155781</t>
  </si>
  <si>
    <t>GODASAL 100</t>
  </si>
  <si>
    <t>POR TBL NOB 50</t>
  </si>
  <si>
    <t>155780</t>
  </si>
  <si>
    <t>Lansoprazol</t>
  </si>
  <si>
    <t>17121</t>
  </si>
  <si>
    <t>POR CPS DUR 28X30MG</t>
  </si>
  <si>
    <t>30018</t>
  </si>
  <si>
    <t>LETROX 75</t>
  </si>
  <si>
    <t>POR TBL NOB 100X75MCG I</t>
  </si>
  <si>
    <t>EUTHYROX 100 MIKROGRAMŮ</t>
  </si>
  <si>
    <t>POR TBL NOB 100X100RG</t>
  </si>
  <si>
    <t>Methyldopa (levotočivá)</t>
  </si>
  <si>
    <t>POR TBL NOB 50X250MG</t>
  </si>
  <si>
    <t>Moxonidin</t>
  </si>
  <si>
    <t>16932</t>
  </si>
  <si>
    <t>MOXOSTAD 0,4 MG</t>
  </si>
  <si>
    <t>POR TBL FLM 30X0.4MG</t>
  </si>
  <si>
    <t>Multienzymové přípravky (lipáza, proteáza apod.)</t>
  </si>
  <si>
    <t>92627</t>
  </si>
  <si>
    <t>PANZYTRAT 25 000</t>
  </si>
  <si>
    <t>POR CPS DUR 20-PLAST</t>
  </si>
  <si>
    <t>Nitrendipin</t>
  </si>
  <si>
    <t>101205</t>
  </si>
  <si>
    <t>PRESTARIUM NEO</t>
  </si>
  <si>
    <t>Perindopril a diuretika</t>
  </si>
  <si>
    <t>162008</t>
  </si>
  <si>
    <t>Prokinetika</t>
  </si>
  <si>
    <t>Rilmenidin</t>
  </si>
  <si>
    <t>84360</t>
  </si>
  <si>
    <t>TENAXUM</t>
  </si>
  <si>
    <t>119653</t>
  </si>
  <si>
    <t>POR TBL FLM 60X100MG</t>
  </si>
  <si>
    <t>POR CPS PRO 50X200MG</t>
  </si>
  <si>
    <t>Tramadol</t>
  </si>
  <si>
    <t>59671</t>
  </si>
  <si>
    <t>POR TBL PRO 10X100MG</t>
  </si>
  <si>
    <t>32912</t>
  </si>
  <si>
    <t>POR TBL RET 10X35MG</t>
  </si>
  <si>
    <t>32914</t>
  </si>
  <si>
    <t>POR TBL RET 28X35MG</t>
  </si>
  <si>
    <t>47514</t>
  </si>
  <si>
    <t>CALCICHEW D3 200 IU</t>
  </si>
  <si>
    <t>POR TBL MND 20</t>
  </si>
  <si>
    <t>Acebutolol</t>
  </si>
  <si>
    <t>80058</t>
  </si>
  <si>
    <t>SECTRAL 400 MG</t>
  </si>
  <si>
    <t>POR TBL FLM 30X400MG</t>
  </si>
  <si>
    <t>Amoxicilin</t>
  </si>
  <si>
    <t>POR TBL SUS 20X500MG</t>
  </si>
  <si>
    <t>Digoxin</t>
  </si>
  <si>
    <t>DIGOXIN 0,125 LÉČIVA</t>
  </si>
  <si>
    <t>POR TBL NOB 30X0.125MG</t>
  </si>
  <si>
    <t>Donepezil</t>
  </si>
  <si>
    <t>131504</t>
  </si>
  <si>
    <t>APO-DONEPEZIL 5 MG POTAHOVANÉ TABLETY</t>
  </si>
  <si>
    <t>21562</t>
  </si>
  <si>
    <t>POR TBL ENT 20X100MG</t>
  </si>
  <si>
    <t>21563</t>
  </si>
  <si>
    <t>POR TBL ENT 50X100MG</t>
  </si>
  <si>
    <t>Kyselina ursodeoxycholová</t>
  </si>
  <si>
    <t>97864</t>
  </si>
  <si>
    <t>POR CPS DUR 50X250MG</t>
  </si>
  <si>
    <t>EUTHYROX 50 MIKROGRAMŮ</t>
  </si>
  <si>
    <t>POR TBL NOB 100X50RG</t>
  </si>
  <si>
    <t>69190</t>
  </si>
  <si>
    <t>POR TBL NOB 50X50RG</t>
  </si>
  <si>
    <t>13778</t>
  </si>
  <si>
    <t>POR TBL PRO 28X100MG</t>
  </si>
  <si>
    <t>46981</t>
  </si>
  <si>
    <t>BETALOC SR 200 MG</t>
  </si>
  <si>
    <t>POR TBL PRO 30X200MG</t>
  </si>
  <si>
    <t>49937</t>
  </si>
  <si>
    <t>BETALOC ZOK 50 MG</t>
  </si>
  <si>
    <t>POR TBL PRO 28X50MG</t>
  </si>
  <si>
    <t>49122</t>
  </si>
  <si>
    <t>PRESTARIUM NEO COMBI 5 MG/1,25 MG</t>
  </si>
  <si>
    <t>Piracetam</t>
  </si>
  <si>
    <t>11240</t>
  </si>
  <si>
    <t>GERATAM 1200 MG</t>
  </si>
  <si>
    <t>POR TBL FLM 20X1200MG</t>
  </si>
  <si>
    <t>56973</t>
  </si>
  <si>
    <t>POR TBL NOB 30X1.25MG</t>
  </si>
  <si>
    <t>Sulfamethoxazol a trimethoprim</t>
  </si>
  <si>
    <t>POR TBL NOB 20X480MG</t>
  </si>
  <si>
    <t>Tramadol, kombinace</t>
  </si>
  <si>
    <t>138840</t>
  </si>
  <si>
    <t>POR TBL FLM 20</t>
  </si>
  <si>
    <t>192341</t>
  </si>
  <si>
    <t>WARFARIN PMCS 5 MG</t>
  </si>
  <si>
    <t>POR TBL NOB 50X5MG</t>
  </si>
  <si>
    <t>146890</t>
  </si>
  <si>
    <t>3801</t>
  </si>
  <si>
    <t>CONCOR COR 2,5 MG</t>
  </si>
  <si>
    <t>POR TBL FLM 28X2.5MG</t>
  </si>
  <si>
    <t>Buprenorfin</t>
  </si>
  <si>
    <t>Celiprolol</t>
  </si>
  <si>
    <t>Enalapril</t>
  </si>
  <si>
    <t>115480</t>
  </si>
  <si>
    <t>APO-ENALAPRIL 10 MG</t>
  </si>
  <si>
    <t>POR TBL NOB 100X10MG</t>
  </si>
  <si>
    <t>56811</t>
  </si>
  <si>
    <t>FURORESE 250</t>
  </si>
  <si>
    <t>Glimepirid</t>
  </si>
  <si>
    <t>17189</t>
  </si>
  <si>
    <t>POR TBL FLM 100X500MG</t>
  </si>
  <si>
    <t>Jiná antihistaminika pro systémovou aplikaci</t>
  </si>
  <si>
    <t>2479</t>
  </si>
  <si>
    <t>DITHIADEN</t>
  </si>
  <si>
    <t>Jinanový list (Ginkgo biloba)</t>
  </si>
  <si>
    <t>47224</t>
  </si>
  <si>
    <t>POR TBL FLM 90X40MG</t>
  </si>
  <si>
    <t>Kalcitriol</t>
  </si>
  <si>
    <t>14098</t>
  </si>
  <si>
    <t>OSTEOD 0,25 MCG</t>
  </si>
  <si>
    <t>POR CPS MOL 30X0.25RG</t>
  </si>
  <si>
    <t>POR TBL PRO 28X25MG</t>
  </si>
  <si>
    <t>17104</t>
  </si>
  <si>
    <t>LOSEPRAZOL 20 MG</t>
  </si>
  <si>
    <t>Perindopril a amlodipin</t>
  </si>
  <si>
    <t>124087</t>
  </si>
  <si>
    <t>PRESTANCE 5 MG/5 MG</t>
  </si>
  <si>
    <t>124129</t>
  </si>
  <si>
    <t>PRESTANCE 10 MG/10 MG</t>
  </si>
  <si>
    <t>Prednison</t>
  </si>
  <si>
    <t>PREDNISON 20 LÉČIVA</t>
  </si>
  <si>
    <t>Vinpocetin</t>
  </si>
  <si>
    <t>4063</t>
  </si>
  <si>
    <t>Jiná</t>
  </si>
  <si>
    <t>*2003</t>
  </si>
  <si>
    <t>Jiný</t>
  </si>
  <si>
    <t>*3012</t>
  </si>
  <si>
    <t>Alfakalcidol</t>
  </si>
  <si>
    <t>14398</t>
  </si>
  <si>
    <t>ALPHA D3 1 MCG</t>
  </si>
  <si>
    <t>POR CPS MOL 30X1RG</t>
  </si>
  <si>
    <t>132670</t>
  </si>
  <si>
    <t>103183</t>
  </si>
  <si>
    <t>POR TBL NOB 100X0.25MG</t>
  </si>
  <si>
    <t>90959</t>
  </si>
  <si>
    <t>XANAX 0,5 MG</t>
  </si>
  <si>
    <t>POR TBL NOB 30X0.5MG</t>
  </si>
  <si>
    <t>Amoxicilin a enzymový inhibitor</t>
  </si>
  <si>
    <t>Antiagregancia kromě heparinu, kombinace</t>
  </si>
  <si>
    <t>57364</t>
  </si>
  <si>
    <t>AGGRENOX</t>
  </si>
  <si>
    <t>POR CPS RDR 60</t>
  </si>
  <si>
    <t>94164</t>
  </si>
  <si>
    <t>CONCOR 5</t>
  </si>
  <si>
    <t>Bisoprolol a jiná antihypertenziva</t>
  </si>
  <si>
    <t>180994</t>
  </si>
  <si>
    <t>CONCOR COMBI 10 MG/5 MG</t>
  </si>
  <si>
    <t>Bromazepam</t>
  </si>
  <si>
    <t>LEXAURIN 1,5</t>
  </si>
  <si>
    <t>POR TBL NOB 30X1.5MG</t>
  </si>
  <si>
    <t>Desloratadin</t>
  </si>
  <si>
    <t>168947</t>
  </si>
  <si>
    <t>DESLORATADINE ACTAVIS 5 MG</t>
  </si>
  <si>
    <t>Dihydrokodein</t>
  </si>
  <si>
    <t>41824</t>
  </si>
  <si>
    <t>DHC CONTINUS 60 MG</t>
  </si>
  <si>
    <t>POR TBL RET 60X60MG B</t>
  </si>
  <si>
    <t>Diklofenak</t>
  </si>
  <si>
    <t>125121</t>
  </si>
  <si>
    <t>APO-DICLO SR 100</t>
  </si>
  <si>
    <t>POR TBL RET 30X100MG</t>
  </si>
  <si>
    <t>132547</t>
  </si>
  <si>
    <t>Doxycyklin</t>
  </si>
  <si>
    <t>97654</t>
  </si>
  <si>
    <t>DOXYBENE 100 MG</t>
  </si>
  <si>
    <t>POR CPS MOL 10X100MG</t>
  </si>
  <si>
    <t>163085</t>
  </si>
  <si>
    <t>AMARYL 3 MG</t>
  </si>
  <si>
    <t>POR TBL NOB 30X3MG</t>
  </si>
  <si>
    <t>Guajfenesin</t>
  </si>
  <si>
    <t>GUAJACURAN 5%</t>
  </si>
  <si>
    <t>INJ SOL 10X10ML/0.5GM</t>
  </si>
  <si>
    <t>Hydrogenované námelové alkaloidy</t>
  </si>
  <si>
    <t>91032</t>
  </si>
  <si>
    <t>SECATOXIN FORTE</t>
  </si>
  <si>
    <t>Hydrochlorothiazid a kalium šetřící diuretika</t>
  </si>
  <si>
    <t>47476</t>
  </si>
  <si>
    <t>LORADUR</t>
  </si>
  <si>
    <t>94804</t>
  </si>
  <si>
    <t>MODURETIC</t>
  </si>
  <si>
    <t>Inzulin lidský</t>
  </si>
  <si>
    <t>26486</t>
  </si>
  <si>
    <t>ACTRAPID PENFILL 100 IU/ML</t>
  </si>
  <si>
    <t>Jodovaný povidon</t>
  </si>
  <si>
    <t>DRM UNG 1X20GM 10%</t>
  </si>
  <si>
    <t>47141</t>
  </si>
  <si>
    <t>POR TBL NOB 100X50RG I</t>
  </si>
  <si>
    <t>69191</t>
  </si>
  <si>
    <t>EUTHYROX 150 MIKROGRAMŮ</t>
  </si>
  <si>
    <t>POR TBL NOB 100X150RG</t>
  </si>
  <si>
    <t>125036</t>
  </si>
  <si>
    <t>LORISTA 25</t>
  </si>
  <si>
    <t>Losartan a diuretika</t>
  </si>
  <si>
    <t>15317</t>
  </si>
  <si>
    <t>163923</t>
  </si>
  <si>
    <t>LORISTA H 50 MG/12,5 MG</t>
  </si>
  <si>
    <t>POR TBL FLM 90X50/12.5MG</t>
  </si>
  <si>
    <t>Medroxyprogesteron a estrogen</t>
  </si>
  <si>
    <t>14628</t>
  </si>
  <si>
    <t>DIVINA</t>
  </si>
  <si>
    <t>POR TBL NOB 3X21</t>
  </si>
  <si>
    <t>Meloxikam</t>
  </si>
  <si>
    <t>117916</t>
  </si>
  <si>
    <t>MELOVIS 15 MG</t>
  </si>
  <si>
    <t>POR TBL NOB 30X15MG</t>
  </si>
  <si>
    <t>Metformin</t>
  </si>
  <si>
    <t>12354</t>
  </si>
  <si>
    <t>POR TBL FLM 120X500MG</t>
  </si>
  <si>
    <t>POR TBL FLM 60X850MG</t>
  </si>
  <si>
    <t>POR TBL PRO 30X50MG</t>
  </si>
  <si>
    <t>58039</t>
  </si>
  <si>
    <t>BETALOC ZOK 200 MG</t>
  </si>
  <si>
    <t>POR TBL PRO 28X200MG</t>
  </si>
  <si>
    <t>Nimesulid</t>
  </si>
  <si>
    <t>12891</t>
  </si>
  <si>
    <t>POR TBL NOB 15X100MG</t>
  </si>
  <si>
    <t>12892</t>
  </si>
  <si>
    <t>POR TBL NOB 30X100MG</t>
  </si>
  <si>
    <t>13316</t>
  </si>
  <si>
    <t>LUSOPRESS</t>
  </si>
  <si>
    <t>POR TBL NOB 28X20MG</t>
  </si>
  <si>
    <t>132531</t>
  </si>
  <si>
    <t>Pentoxifylin</t>
  </si>
  <si>
    <t>47085</t>
  </si>
  <si>
    <t>PENTOMER RETARD 400 MG</t>
  </si>
  <si>
    <t>POR TBL PRO 100X400MG</t>
  </si>
  <si>
    <t>122690</t>
  </si>
  <si>
    <t>Pitofenon a analgetika</t>
  </si>
  <si>
    <t>56977</t>
  </si>
  <si>
    <t>POR TBL NOB 30X2.5MG</t>
  </si>
  <si>
    <t>56978</t>
  </si>
  <si>
    <t>POR TBL NOB 50X2.5MG</t>
  </si>
  <si>
    <t>Ramipril a felodipin</t>
  </si>
  <si>
    <t>TRIASYN 2,5/2,5 MG</t>
  </si>
  <si>
    <t>Rosuvastatin</t>
  </si>
  <si>
    <t>148070</t>
  </si>
  <si>
    <t>ROSUCARD 10 MG POTAHOVANÉ TABLETY</t>
  </si>
  <si>
    <t>55824</t>
  </si>
  <si>
    <t>NOVALGIN INJEKCE</t>
  </si>
  <si>
    <t>INJ SOL 5X5ML/2.5GM</t>
  </si>
  <si>
    <t>INJ SOL 10X2ML/1GM</t>
  </si>
  <si>
    <t>Sotalol</t>
  </si>
  <si>
    <t>3377</t>
  </si>
  <si>
    <t>Telmisartan a amlodipin</t>
  </si>
  <si>
    <t>167855</t>
  </si>
  <si>
    <t>TWYNSTA 80 MG/5 MG</t>
  </si>
  <si>
    <t>POR TBL NOB 90X1</t>
  </si>
  <si>
    <t>Telmisartan a diuretika</t>
  </si>
  <si>
    <t>26575</t>
  </si>
  <si>
    <t>MICARDISPLUS 80/12,5 MG</t>
  </si>
  <si>
    <t>POR TBL NOB 98</t>
  </si>
  <si>
    <t>Thiamazol</t>
  </si>
  <si>
    <t>POR TBL FLM 50X10MG</t>
  </si>
  <si>
    <t>Tolperison</t>
  </si>
  <si>
    <t>MYDOCALM 150 MG</t>
  </si>
  <si>
    <t>POR TBL FLM 30X150MG</t>
  </si>
  <si>
    <t>17928</t>
  </si>
  <si>
    <t>ZALDIAR</t>
  </si>
  <si>
    <t>Trazodon</t>
  </si>
  <si>
    <t>POR TBL RET 60X150MG</t>
  </si>
  <si>
    <t>Triamcinolon a antiseptika</t>
  </si>
  <si>
    <t>162503</t>
  </si>
  <si>
    <t>DRM SOL 1X10ML</t>
  </si>
  <si>
    <t>Urapidil</t>
  </si>
  <si>
    <t>164412</t>
  </si>
  <si>
    <t>10253</t>
  </si>
  <si>
    <t>POR TBL NOB 90X10MG</t>
  </si>
  <si>
    <t>Vitamin B1 v kombinaci s vitaminem B6 a/nebo B12</t>
  </si>
  <si>
    <t>119621</t>
  </si>
  <si>
    <t>MILGAMMA N</t>
  </si>
  <si>
    <t>INJ SOL 6X2ML</t>
  </si>
  <si>
    <t>146893</t>
  </si>
  <si>
    <t>163145</t>
  </si>
  <si>
    <t>HYPNOGEN</t>
  </si>
  <si>
    <t>146897</t>
  </si>
  <si>
    <t>Aciklovir</t>
  </si>
  <si>
    <t>84127</t>
  </si>
  <si>
    <t>HERPESIN 200</t>
  </si>
  <si>
    <t>POR TBL NOB 25X200MG</t>
  </si>
  <si>
    <t>200214</t>
  </si>
  <si>
    <t>ANOPYRIN 100 MG</t>
  </si>
  <si>
    <t>POR TBL NOB 56X100MG</t>
  </si>
  <si>
    <t>23747</t>
  </si>
  <si>
    <t>GLUCOPHAGE XR 500 MG TABLETY S PRODLOUŽENÝM UVOLŇOVÁNÍM</t>
  </si>
  <si>
    <t>POR TBL PRO 60X500MG</t>
  </si>
  <si>
    <t>Ondansetron</t>
  </si>
  <si>
    <t>97776</t>
  </si>
  <si>
    <t>ZOFRAN ZYDIS 4 MG</t>
  </si>
  <si>
    <t>ORM TBL BUC 10X4MG</t>
  </si>
  <si>
    <t>99589</t>
  </si>
  <si>
    <t>ZOFRAN 8 MG</t>
  </si>
  <si>
    <t>POR TBL FLM 10X8MG</t>
  </si>
  <si>
    <t>13703</t>
  </si>
  <si>
    <t>ZOVIRAX 200 MG</t>
  </si>
  <si>
    <t>LEXAURIN 3</t>
  </si>
  <si>
    <t>Fluvastatin</t>
  </si>
  <si>
    <t>200993</t>
  </si>
  <si>
    <t>LESCOL XL</t>
  </si>
  <si>
    <t>POR TBL PRO 30X80MG</t>
  </si>
  <si>
    <t>Fytomenadion</t>
  </si>
  <si>
    <t>POR GTT EML 1X5ML/100MG</t>
  </si>
  <si>
    <t>Gestoden a ethinylestradiol</t>
  </si>
  <si>
    <t>144185</t>
  </si>
  <si>
    <t>STODETTE OBALENÉ TABLETY</t>
  </si>
  <si>
    <t>POR TBL OBD 3X21</t>
  </si>
  <si>
    <t>Hydrokortison-butyrát</t>
  </si>
  <si>
    <t>9307</t>
  </si>
  <si>
    <t>LOCOID 0,1% LOTION</t>
  </si>
  <si>
    <t>DRM SOL 1X30ML</t>
  </si>
  <si>
    <t>Kodein</t>
  </si>
  <si>
    <t>CODEIN SLOVAKOFARMA 30 MG</t>
  </si>
  <si>
    <t>POR TBL NOB 10X30MG</t>
  </si>
  <si>
    <t>151142</t>
  </si>
  <si>
    <t>Mebeverin</t>
  </si>
  <si>
    <t>100301</t>
  </si>
  <si>
    <t>DUSPATALIN RETARD</t>
  </si>
  <si>
    <t>POR CPS RDR 30X200MG</t>
  </si>
  <si>
    <t>Mesalazin</t>
  </si>
  <si>
    <t>75567</t>
  </si>
  <si>
    <t>SALOFALK 500</t>
  </si>
  <si>
    <t>POR TBL ENT 100X500MG</t>
  </si>
  <si>
    <t>Mirtazapin</t>
  </si>
  <si>
    <t>17685</t>
  </si>
  <si>
    <t>MIRZATEN 30 MG</t>
  </si>
  <si>
    <t>POR TBL FLM 30X30MG</t>
  </si>
  <si>
    <t>POR CPS DUR 50-SKLO</t>
  </si>
  <si>
    <t>200310</t>
  </si>
  <si>
    <t>POR CPS ETD 100</t>
  </si>
  <si>
    <t>Naftidrofuryl</t>
  </si>
  <si>
    <t>ENELBIN 100 RETARD</t>
  </si>
  <si>
    <t>POR TBL PRO 50X100MG</t>
  </si>
  <si>
    <t>POR CPS ETD 90X20MG SKLO</t>
  </si>
  <si>
    <t>Paroxetin</t>
  </si>
  <si>
    <t>30805</t>
  </si>
  <si>
    <t>REMOOD 20 MG</t>
  </si>
  <si>
    <t>124115</t>
  </si>
  <si>
    <t>PRESTANCE 10 MG/5 MG</t>
  </si>
  <si>
    <t>Sertralin</t>
  </si>
  <si>
    <t>53950</t>
  </si>
  <si>
    <t>ZOLOFT 50 MG</t>
  </si>
  <si>
    <t>POR TBL FLM 28X50MG</t>
  </si>
  <si>
    <t>*1005</t>
  </si>
  <si>
    <t>125066</t>
  </si>
  <si>
    <t>19591</t>
  </si>
  <si>
    <t>TORVACARD 10</t>
  </si>
  <si>
    <t>Azithromycin</t>
  </si>
  <si>
    <t>45010</t>
  </si>
  <si>
    <t>AZITROMYCIN SANDOZ 500 MG</t>
  </si>
  <si>
    <t>POR TBL FLM 3X500MG</t>
  </si>
  <si>
    <t>84400</t>
  </si>
  <si>
    <t>POR CPS DUR 100X300MG</t>
  </si>
  <si>
    <t>Methotrexát (pouze perorální)</t>
  </si>
  <si>
    <t>157119</t>
  </si>
  <si>
    <t>METHOTREXAT EBEWE 2,5 MG TABLETY</t>
  </si>
  <si>
    <t>54094</t>
  </si>
  <si>
    <t>TRITTICO AC 75</t>
  </si>
  <si>
    <t>POR TBL RET 30X75MG</t>
  </si>
  <si>
    <t>16286</t>
  </si>
  <si>
    <t>STILNOX</t>
  </si>
  <si>
    <t>Kompresivní punčochy a návleky</t>
  </si>
  <si>
    <t>45387</t>
  </si>
  <si>
    <t>PUNČOCHY KOMPRESNÍ LÝTKOVÉ               II.K.T.</t>
  </si>
  <si>
    <t>MAXIS COMFORT  A-D</t>
  </si>
  <si>
    <t>1711</t>
  </si>
  <si>
    <t>POR TBL NOB 100X300MG</t>
  </si>
  <si>
    <t>125065</t>
  </si>
  <si>
    <t>POR TBL NOB 90X5MG</t>
  </si>
  <si>
    <t>15378</t>
  </si>
  <si>
    <t>AGEN 5</t>
  </si>
  <si>
    <t>187502</t>
  </si>
  <si>
    <t>POR TBL FLM 90X20MG</t>
  </si>
  <si>
    <t>187518</t>
  </si>
  <si>
    <t>10543</t>
  </si>
  <si>
    <t>DRM GEL 1X100ML PUMPA</t>
  </si>
  <si>
    <t>Ergokalciferol</t>
  </si>
  <si>
    <t>353</t>
  </si>
  <si>
    <t>VITAMIN D SLOVAKOFARMA</t>
  </si>
  <si>
    <t>POR CPS MOL 1X300KU</t>
  </si>
  <si>
    <t>Kyanokobalamin</t>
  </si>
  <si>
    <t>VITAMIN B12 LÉČIVA 1000 MCG</t>
  </si>
  <si>
    <t>INJ SOL 5X1ML/1000RG</t>
  </si>
  <si>
    <t>POR CPS ETD 50</t>
  </si>
  <si>
    <t>269</t>
  </si>
  <si>
    <t>PREDNISON 5 LÉČIVA</t>
  </si>
  <si>
    <t>POR TBL NOB 20X5MG</t>
  </si>
  <si>
    <t>23965</t>
  </si>
  <si>
    <t>AMPRILAN 5</t>
  </si>
  <si>
    <t>Silymarin</t>
  </si>
  <si>
    <t>POR TBL OBD 100X150MG</t>
  </si>
  <si>
    <t>*1004</t>
  </si>
  <si>
    <t>Standardní lůžková péče</t>
  </si>
  <si>
    <t>Ambulance interní</t>
  </si>
  <si>
    <t>Preskripce a záchyt receptů a poukazů - orientační přehled</t>
  </si>
  <si>
    <t>Přehled plnění pozitivního listu (PL) - 
   preskripce léčivých přípravků dle objemu Kč mimo PL</t>
  </si>
  <si>
    <t>N06AB05 - Paroxetin</t>
  </si>
  <si>
    <t>M01AC06 - Meloxikam</t>
  </si>
  <si>
    <t>C07AB02 - Metoprolol</t>
  </si>
  <si>
    <t>C10AB05 - Fenofibrát</t>
  </si>
  <si>
    <t>J01AA02 - Doxycyklin</t>
  </si>
  <si>
    <t>C07AB05 - Betaxolol</t>
  </si>
  <si>
    <t>N06AX11 - Mirtazapin</t>
  </si>
  <si>
    <t>A04AA01 - Ondansetron</t>
  </si>
  <si>
    <t>C02AC05 - Moxonidin</t>
  </si>
  <si>
    <t>C09AA02 - Enalapril</t>
  </si>
  <si>
    <t>G04CB01 - Finasterid</t>
  </si>
  <si>
    <t>M01AX17 - Nimesulid</t>
  </si>
  <si>
    <t>J01FA10 - Azithromycin</t>
  </si>
  <si>
    <t>N06AB06 - Sertralin</t>
  </si>
  <si>
    <t>C09BA06 - Chinapril a diuretika</t>
  </si>
  <si>
    <t>C07AB02</t>
  </si>
  <si>
    <t>C07AB05</t>
  </si>
  <si>
    <t>J01AA02</t>
  </si>
  <si>
    <t>M01AC06</t>
  </si>
  <si>
    <t>M01AX17</t>
  </si>
  <si>
    <t>A04AA01</t>
  </si>
  <si>
    <t>C09BA06</t>
  </si>
  <si>
    <t>G04CB01</t>
  </si>
  <si>
    <t>C10AB05</t>
  </si>
  <si>
    <t>C02AC05</t>
  </si>
  <si>
    <t>N06AB05</t>
  </si>
  <si>
    <t>N06AB06</t>
  </si>
  <si>
    <t>N06AX11</t>
  </si>
  <si>
    <t>C09AA02</t>
  </si>
  <si>
    <t>J01FA10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</si>
  <si>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</si>
  <si>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</si>
  <si>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</si>
  <si>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</si>
  <si>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</si>
  <si>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</si>
  <si>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</si>
  <si>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</si>
  <si>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</si>
  <si>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</si>
  <si>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</si>
  <si>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</si>
  <si>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</si>
  <si>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ZA318</t>
  </si>
  <si>
    <t>Náplast transpore 1,25 cm x 9,14 m 1527-0</t>
  </si>
  <si>
    <t>ZA324</t>
  </si>
  <si>
    <t>Náplast tegaderm 10,0 cm x 12,0 cm bal. á 50 ks 1626W</t>
  </si>
  <si>
    <t>ZA327</t>
  </si>
  <si>
    <t>Krytí hydrocoll 10 x 10 cm bal. á 10 ks 900744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</si>
  <si>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</si>
  <si>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</si>
  <si>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</si>
  <si>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</si>
  <si>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</si>
  <si>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</si>
  <si>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ZA446</t>
  </si>
  <si>
    <t>Vata buničitá přířezy 20 x 30 cm 1230200129</t>
  </si>
  <si>
    <t>ZA476</t>
  </si>
  <si>
    <t>Krytí mepilex border lite 10 x 10 cm bal. á 5 ks 281300-00</t>
  </si>
  <si>
    <t>ZA478</t>
  </si>
  <si>
    <t>Krytí actisorb plus 10,5 x 10,5 cm bal. á 10 ks SYSMAP105_1/5</t>
  </si>
  <si>
    <t>ZA537</t>
  </si>
  <si>
    <t>Krytí mepilex heel 13 x 20 cm bal. á 5 ks 288100-01</t>
  </si>
  <si>
    <t>ZA539</t>
  </si>
  <si>
    <t>Kompresa NT 10 x 10 cm nesterilní 06103</t>
  </si>
  <si>
    <t>ZA547</t>
  </si>
  <si>
    <t>Krytí inadine nepřilnavé 9,5 x 9,5 cm 1/10 SYS01512EE</t>
  </si>
  <si>
    <t>ZA569</t>
  </si>
  <si>
    <t>Podkolenky cambren C  K3 velké 997396/2</t>
  </si>
  <si>
    <t>ZA593</t>
  </si>
  <si>
    <t>Tampon stáčený sterilní 20 x 20 cm / 5 ks 28003</t>
  </si>
  <si>
    <t>ZA595</t>
  </si>
  <si>
    <t>Náplast tegaderm 6,0 cm x 7,0 cm bal. á 100 ks s výřezem 1623W</t>
  </si>
  <si>
    <t>ZA624</t>
  </si>
  <si>
    <t>Punčochy cambren C  SG2 velké 9974042</t>
  </si>
  <si>
    <t>ZA658</t>
  </si>
  <si>
    <t>Krytí granuflex 10 x 10 cm á 10 ks 187639</t>
  </si>
  <si>
    <t>ZB404</t>
  </si>
  <si>
    <t>Náplast cosmos 8 cm x 1m 5403353</t>
  </si>
  <si>
    <t>ZC100</t>
  </si>
  <si>
    <t>Vata buničitá dělená 2 role / 500 ks 40 x 50 mm 1230200310</t>
  </si>
  <si>
    <t>ZC550</t>
  </si>
  <si>
    <t>Krytí mepilex silikonový Ag 10 x 10 cm bal. á 5 ks 287110-00</t>
  </si>
  <si>
    <t>ZC702</t>
  </si>
  <si>
    <t>Náplast tegaderm 6,0 cm x 7,0 cm bal. á 100 ks 1624W</t>
  </si>
  <si>
    <t>ZC845</t>
  </si>
  <si>
    <t>Kompresa NT 10 x 20 cm / 5 ks sterilní 26621</t>
  </si>
  <si>
    <t>ZD770</t>
  </si>
  <si>
    <t>Krytí tubifast 7,5 x 10 m 2438</t>
  </si>
  <si>
    <t>ZE748</t>
  </si>
  <si>
    <t>Krytí melgisorb Ag alginátové absorpční 10 x 10 cm bal. á 10 ks 256100-00</t>
  </si>
  <si>
    <t>ZG613</t>
  </si>
  <si>
    <t>Krytí mepitel one 8 x 10 cm  bal. á 5 ks 289200-00</t>
  </si>
  <si>
    <t>ZH011</t>
  </si>
  <si>
    <t>Náplast micropore 1,25 cm x 9,14 m bal. á 24 ks 1530-0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</si>
  <si>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</si>
  <si>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</si>
  <si>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</si>
  <si>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</si>
  <si>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</si>
  <si>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</si>
  <si>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ZA487</t>
  </si>
  <si>
    <t>Obinadlo ideal 12 cm x 5 m 9310233</t>
  </si>
  <si>
    <t>ZA526</t>
  </si>
  <si>
    <t>Krytí sorbalgon 10 x 10 cm bal. á 10 ks 999595</t>
  </si>
  <si>
    <t>ZA588</t>
  </si>
  <si>
    <t>Sada k odstranění stehů PEHA 9919004</t>
  </si>
  <si>
    <t>ZD746</t>
  </si>
  <si>
    <t>Krytí atrauman Ag 10 x 10 cm bal. á 3 ks 499572</t>
  </si>
  <si>
    <t>ZL410</t>
  </si>
  <si>
    <t>Hemagel 100 g A2681147</t>
  </si>
  <si>
    <t>ZL854</t>
  </si>
  <si>
    <t>Krytí mastný tyl jelonet 10 x 10 cm á 36 ks 66007478</t>
  </si>
  <si>
    <t>ZF042</t>
  </si>
  <si>
    <t>Krytí mastný tyl jelonet 10 x 10 cm á 10 ks 7404</t>
  </si>
  <si>
    <t>ZA639</t>
  </si>
  <si>
    <t>Krytí tenderwet 24 active 10 x 10 cm bal. á 20 ks 609822</t>
  </si>
  <si>
    <t>ZA727</t>
  </si>
  <si>
    <t>Kontejner 30 ml sterilní 331690251750</t>
  </si>
  <si>
    <t>ZA728</t>
  </si>
  <si>
    <t>Lopatka lékařská nesterilní 1320100655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</si>
  <si>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</si>
  <si>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</si>
  <si>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</si>
  <si>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</si>
  <si>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</si>
  <si>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</si>
  <si>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</si>
  <si>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</si>
  <si>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</si>
  <si>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</si>
  <si>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ZA812</t>
  </si>
  <si>
    <t>Uzávěr do katetrů 4435001</t>
  </si>
  <si>
    <t>ZA964</t>
  </si>
  <si>
    <t>Stříkačka janett 60 ml vyplachovací MRG564</t>
  </si>
  <si>
    <t>ZB006</t>
  </si>
  <si>
    <t>Teploměr digitální thermoval basic 9250391</t>
  </si>
  <si>
    <t>ZB066</t>
  </si>
  <si>
    <t>Stříkačka janett 100 ml s adapt. PLS1710</t>
  </si>
  <si>
    <t>ZB249</t>
  </si>
  <si>
    <t>Sáček močový s křížovou výpustí sterilní 2000 ml ZAR-TNU201601</t>
  </si>
  <si>
    <t>ZB753</t>
  </si>
  <si>
    <t>Nebulizátor s maskou+hadičkou 1483</t>
  </si>
  <si>
    <t>ZB755</t>
  </si>
  <si>
    <t>Zkumavka 1 ml K3 edta fialová 454034</t>
  </si>
  <si>
    <t>ZB759</t>
  </si>
  <si>
    <t>Zkumavka červená 8 ml gel 455071</t>
  </si>
  <si>
    <t>ZB761</t>
  </si>
  <si>
    <t>Zkumavka červená 4 ml 454092</t>
  </si>
  <si>
    <t>ZB768</t>
  </si>
  <si>
    <t>Jehla vakuová 216/38 mm zelená 450076</t>
  </si>
  <si>
    <t>ZB771</t>
  </si>
  <si>
    <t>Držák jehly základní 450201</t>
  </si>
  <si>
    <t>ZB773</t>
  </si>
  <si>
    <t>Zkumavka šedá-glykemie 454085</t>
  </si>
  <si>
    <t>ZB775</t>
  </si>
  <si>
    <t>Zkumavka koagulace 4 ml modrá 454328</t>
  </si>
  <si>
    <t>ZB777</t>
  </si>
  <si>
    <t>Zkumavka červená 4 ml gel 454071</t>
  </si>
  <si>
    <t>ZB893</t>
  </si>
  <si>
    <t>Stříkačka inzulinová omnican 0,5 ml 100j s jehlou 30 G 9151125S</t>
  </si>
  <si>
    <t>ZC498</t>
  </si>
  <si>
    <t>Držák močových sáčků UH 800800100</t>
  </si>
  <si>
    <t>ZC506</t>
  </si>
  <si>
    <t>Kompresa NT 10 x 10 cm / 5 ks sterilní 1325020275</t>
  </si>
  <si>
    <t>ZC769</t>
  </si>
  <si>
    <t>Hadička spojovací HS 1,8 x 450LL 606301</t>
  </si>
  <si>
    <t>ZC798</t>
  </si>
  <si>
    <t>Fonendoskop oboustranný KVS-30L</t>
  </si>
  <si>
    <t>ZD616</t>
  </si>
  <si>
    <t>Mediset pro močovou katetriz.+ aqua 4753881</t>
  </si>
  <si>
    <t>ZD808</t>
  </si>
  <si>
    <t>Kanyla vasofix 22G modrá safety 4269098S-01</t>
  </si>
  <si>
    <t>ZD809</t>
  </si>
  <si>
    <t>Kanyla vasofix 20G růžová safety 4269110S-01</t>
  </si>
  <si>
    <t>ZD903</t>
  </si>
  <si>
    <t>Kontejner+lopatka 30 ml nesterilní 331690251330</t>
  </si>
  <si>
    <t>ZE159</t>
  </si>
  <si>
    <t>Nádoba na kontaminovaný odpad 2 l 15-0003</t>
  </si>
  <si>
    <t>ZG515</t>
  </si>
  <si>
    <t>Zkumavka močová vacuette 10,5 ml bal. á 50 ks 331980455007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</si>
  <si>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</si>
  <si>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</si>
  <si>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</si>
  <si>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</si>
  <si>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</si>
  <si>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</si>
  <si>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</si>
  <si>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</si>
  <si>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</si>
  <si>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</si>
  <si>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</si>
  <si>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</si>
  <si>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ZI436</t>
  </si>
  <si>
    <t>Brýle kyslíkové americký typ upevnění svorkou SOFT H-103106</t>
  </si>
  <si>
    <t>ZK978</t>
  </si>
  <si>
    <t>Cévka odsávací CH16 s přerušovačem sání P01175a</t>
  </si>
  <si>
    <t>ZK979</t>
  </si>
  <si>
    <t>Cévka odsávací CH18 s přerušovačem sání P01177a</t>
  </si>
  <si>
    <t>ZL688</t>
  </si>
  <si>
    <t>Proužky Accu-Check Inform IIStrip 50 EU1 á 50 ks 05942861</t>
  </si>
  <si>
    <t>ZL781</t>
  </si>
  <si>
    <t>Konektor bezjehlový K-NECT 7 denní M79400845</t>
  </si>
  <si>
    <t>ZD815</t>
  </si>
  <si>
    <t>Manžeta TK tonometru KVS LD7 + k monitoru Philips dospělá 14 x 50 cm KVS M1 5ZOM</t>
  </si>
  <si>
    <t>ZA715</t>
  </si>
  <si>
    <t>Set infuzní intrafix 4062957</t>
  </si>
  <si>
    <t>ZE079</t>
  </si>
  <si>
    <t>Set transfúzní non PVC s odvzdušněním a bakteriálním filtrem ZAR-I-TS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</si>
  <si>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</si>
  <si>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</si>
  <si>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</si>
  <si>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</si>
  <si>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</si>
  <si>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</si>
  <si>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</si>
  <si>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</si>
  <si>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ZI493</t>
  </si>
  <si>
    <t>Rukavice vinyl bez p. XL 01260-XL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</si>
  <si>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</si>
  <si>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</si>
  <si>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</si>
  <si>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</si>
  <si>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</si>
  <si>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</si>
  <si>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DG395</t>
  </si>
  <si>
    <t>Diagnostická souprava ABO set monoklonální na 30</t>
  </si>
  <si>
    <t>ZA748</t>
  </si>
  <si>
    <t>Kanyla venofix 25G oranžová 4056370</t>
  </si>
  <si>
    <t>ZB754</t>
  </si>
  <si>
    <t>Zkumavka černá 2 ml 454073</t>
  </si>
  <si>
    <t>Spotřeba zdravotnického materiálu - orientační přehled</t>
  </si>
  <si>
    <t>ON Data</t>
  </si>
  <si>
    <t>101 - Pracoviště interního lékařství</t>
  </si>
  <si>
    <t>106 - Pracoviště geriatrie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</si>
  <si>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</si>
  <si>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</si>
  <si>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</si>
  <si>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1</t>
  </si>
  <si>
    <t>0000499</t>
  </si>
  <si>
    <t>MAGNESIUM SULFURICUM BIOTIKA 20%</t>
  </si>
  <si>
    <t>0069670</t>
  </si>
  <si>
    <t>0089212</t>
  </si>
  <si>
    <t>INJECTIO PROCAINII CHLORATI 0,2% ARDEAPHARMA</t>
  </si>
  <si>
    <t>V</t>
  </si>
  <si>
    <t>09511</t>
  </si>
  <si>
    <t>MINIMÁLNÍ KONTAKT LÉKAŘE S PACIENTEM</t>
  </si>
  <si>
    <t>11022</t>
  </si>
  <si>
    <t>CÍLENÉ VYŠETŘENÍ INTERNISTOU</t>
  </si>
  <si>
    <t>09543</t>
  </si>
  <si>
    <t>REGULAČNÍ POPLATEK ZA NÁVŠTĚVU -- POPLATEK UHRAZEN</t>
  </si>
  <si>
    <t>16022</t>
  </si>
  <si>
    <t>CÍLENÉ VYŠETŘENÍ GERIATREM</t>
  </si>
  <si>
    <t>09119</t>
  </si>
  <si>
    <t xml:space="preserve">ODBĚR KRVE ZE ŽÍLY U DOSPĚLÉHO NEBO DÍTĚTE NAD 10 </t>
  </si>
  <si>
    <t>11111</t>
  </si>
  <si>
    <t>EKG VYŠETŘENÍ INTERNISTOU</t>
  </si>
  <si>
    <t>09215</t>
  </si>
  <si>
    <t>INJEKCE I. M., S. C., I. D.</t>
  </si>
  <si>
    <t>11021</t>
  </si>
  <si>
    <t>KOMPLEXNÍ VYŠETŘENÍ INTERNISTOU</t>
  </si>
  <si>
    <t>09223</t>
  </si>
  <si>
    <t>INTRAVENÓZNÍ INFÚZE U DOSPĚLÉHO NEBO DÍTĚTE NAD 10</t>
  </si>
  <si>
    <t>11023</t>
  </si>
  <si>
    <t>KONTROLNÍ VYŠETŘENÍ INTERNISTOU</t>
  </si>
  <si>
    <t>11012</t>
  </si>
  <si>
    <t>11013</t>
  </si>
  <si>
    <t>106</t>
  </si>
  <si>
    <t>09127</t>
  </si>
  <si>
    <t>EKG VYŠETŘENÍ</t>
  </si>
  <si>
    <t>09237</t>
  </si>
  <si>
    <t>OŠETŘENÍ A PŘEVAZ RÁNY VČETNĚ OŠETŘENÍ KOŽNÍCH A P</t>
  </si>
  <si>
    <t>16110</t>
  </si>
  <si>
    <t>TEST AKTIVIT DENNÍHO ŽIVOTA V GERIATRII</t>
  </si>
  <si>
    <t>16120</t>
  </si>
  <si>
    <t>TEST MENTÁLNÍCH FUNKCÍ V GERIATRII</t>
  </si>
  <si>
    <t>16023</t>
  </si>
  <si>
    <t>KONTROLNÍ VYŠETŘENÍ GERIATREM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</si>
  <si>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</si>
  <si>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</si>
  <si>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</si>
  <si>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</si>
  <si>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</si>
  <si>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</si>
  <si>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</si>
  <si>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</si>
  <si>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11 - ORTOPEDICKÁ KLINIKA</t>
  </si>
  <si>
    <t>12 - UROLOGICKÁ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</si>
  <si>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</si>
  <si>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</si>
  <si>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</si>
  <si>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</si>
  <si>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</si>
  <si>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26 - ODDĚLENÍ REHABILITACE</t>
  </si>
  <si>
    <t>30 - ODDĚLENÍ GERIATRIE</t>
  </si>
  <si>
    <t>31 - TRAUMATOLOGICKÉ ODDĚLENÍ</t>
  </si>
  <si>
    <t>32 - HEMATO-ONKOLOGICKÁ KLINIKA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</si>
  <si>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</si>
  <si>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</si>
  <si>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</si>
  <si>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</si>
  <si>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</si>
  <si>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</si>
  <si>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</si>
  <si>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</si>
  <si>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1F6</t>
  </si>
  <si>
    <t>09544</t>
  </si>
  <si>
    <t>REGULAČNÍ POPLATEK ZA KAŽDÝ DEN LŮŽKOVÉ PÉČE -- PO</t>
  </si>
  <si>
    <t>11</t>
  </si>
  <si>
    <t>12</t>
  </si>
  <si>
    <t>16</t>
  </si>
  <si>
    <t>17</t>
  </si>
  <si>
    <t>18</t>
  </si>
  <si>
    <t>20</t>
  </si>
  <si>
    <t>21</t>
  </si>
  <si>
    <t>26</t>
  </si>
  <si>
    <t>0003952</t>
  </si>
  <si>
    <t>AMIKIN 500 MG</t>
  </si>
  <si>
    <t>0011785</t>
  </si>
  <si>
    <t>AMIKIN 1 G</t>
  </si>
  <si>
    <t>0016600</t>
  </si>
  <si>
    <t>0049193</t>
  </si>
  <si>
    <t>CEFTAX 1000</t>
  </si>
  <si>
    <t>0053922</t>
  </si>
  <si>
    <t>CIPHIN PRO INFUSIONE 200 MG/100 ML</t>
  </si>
  <si>
    <t>0056801</t>
  </si>
  <si>
    <t>0072972</t>
  </si>
  <si>
    <t>0076360</t>
  </si>
  <si>
    <t>0077044</t>
  </si>
  <si>
    <t>ZINACEF 750 MG</t>
  </si>
  <si>
    <t>0083417</t>
  </si>
  <si>
    <t>MERONEM 1 G</t>
  </si>
  <si>
    <t>0094155</t>
  </si>
  <si>
    <t>ABAKTAL 400 MG/5 ML</t>
  </si>
  <si>
    <t>0096040</t>
  </si>
  <si>
    <t>CIPRINOL 100 MG/10 ML</t>
  </si>
  <si>
    <t>0096414</t>
  </si>
  <si>
    <t>GENTAMICIN LEK 80 MG/2 ML</t>
  </si>
  <si>
    <t>0112782</t>
  </si>
  <si>
    <t>GENTAMICIN B.BRAUN 3 MG/ML INFUZNÍ ROZTOK</t>
  </si>
  <si>
    <t>0129767</t>
  </si>
  <si>
    <t>IMIPENEM/CILASTATIN KABI 500 MG/500 MG</t>
  </si>
  <si>
    <t>0131654</t>
  </si>
  <si>
    <t>0137499</t>
  </si>
  <si>
    <t>KLACID I.V.</t>
  </si>
  <si>
    <t>0162187</t>
  </si>
  <si>
    <t>0164350</t>
  </si>
  <si>
    <t>TAZOCIN 4 G/0,5 G</t>
  </si>
  <si>
    <t>2</t>
  </si>
  <si>
    <t>0007917</t>
  </si>
  <si>
    <t>Erytrocyty bez buffy coatu</t>
  </si>
  <si>
    <t>0107959</t>
  </si>
  <si>
    <t>Trombocyty z aferézy deleukotizované</t>
  </si>
  <si>
    <t>3</t>
  </si>
  <si>
    <t>0037139</t>
  </si>
  <si>
    <t>PROTÉZA GORE-TEX CÉVNÍ - PRUŽNÁ TENKOSTĚNNÁ</t>
  </si>
  <si>
    <t>0056288</t>
  </si>
  <si>
    <t>KATETR BALONKOVÝ FOGARTY 120403F</t>
  </si>
  <si>
    <t>0056292</t>
  </si>
  <si>
    <t>KATETR BALONKOVÝ FOGARTY 120805F</t>
  </si>
  <si>
    <t>0056306</t>
  </si>
  <si>
    <t>KATETR BALONKOVÝ FOGARTY 620405F</t>
  </si>
  <si>
    <t>00601</t>
  </si>
  <si>
    <t>OD TYPU 01 - PRO NEMOCNICE TYPU 3, (KATEGORIE 6)</t>
  </si>
  <si>
    <t>09227</t>
  </si>
  <si>
    <t>I. V. APLIKACE KRVE NEBO KREVNÍCH DERIVÁTŮ</t>
  </si>
  <si>
    <t>16021</t>
  </si>
  <si>
    <t>KOMPLEXNÍ VYŠETŘENÍ GERIATREM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</si>
  <si>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</si>
  <si>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</si>
  <si>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</si>
  <si>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</si>
  <si>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</si>
  <si>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</si>
  <si>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00698</t>
  </si>
  <si>
    <t>OD TYPU 98 - PRO NEMOCNICE TYPU 3, (KATEGORIE 6) -</t>
  </si>
  <si>
    <t>5F1</t>
  </si>
  <si>
    <t>07546</t>
  </si>
  <si>
    <t>(DRG) OTEVŘENÝ PŘÍSTUP</t>
  </si>
  <si>
    <t>07520</t>
  </si>
  <si>
    <t>(VZP) VYTVOŘENÍ A-V SHUNTU - PRIMOOPERACE</t>
  </si>
  <si>
    <t>07543</t>
  </si>
  <si>
    <t>(DRG) PRIMOOPERACE</t>
  </si>
  <si>
    <t>54990</t>
  </si>
  <si>
    <t>ODBĚR ŽILNÍHO ŠTĚPU</t>
  </si>
  <si>
    <t>54190</t>
  </si>
  <si>
    <t>OSTATNÍ REKONSTRUKCE TEPEN A BY-PASSY</t>
  </si>
  <si>
    <t>54210</t>
  </si>
  <si>
    <t>VYTVOŘENÍ NEBO ZRUŠENÍ A-V PÍŠTĚLE</t>
  </si>
  <si>
    <t>07562</t>
  </si>
  <si>
    <t>(DRG) PLÁNOVANÁ OPERACE KVCH</t>
  </si>
  <si>
    <t>07552</t>
  </si>
  <si>
    <t>(DRG) OPERAČNÍ VÝKON BEZ MIMOTĚLNÍHO OBĚHU</t>
  </si>
  <si>
    <t>54325</t>
  </si>
  <si>
    <t>AORTOILICKÁ EMBOLEKTOMIE NEBO TROMBEKTOMIE BIFURKA</t>
  </si>
  <si>
    <t>54340</t>
  </si>
  <si>
    <t>TEPENNÁ EMBOLEKTOMIE, TROMBEKTOMIE</t>
  </si>
  <si>
    <t>54170</t>
  </si>
  <si>
    <t>PROFUNDOPLASTIKA</t>
  </si>
  <si>
    <t>31</t>
  </si>
  <si>
    <t>32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</si>
  <si>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</si>
  <si>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</si>
  <si>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</si>
  <si>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</si>
  <si>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</si>
  <si>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00123</t>
  </si>
  <si>
    <t xml:space="preserve">DLOUHODOBÁ MECHANICKÁ VENTILACE &gt; 240 HODIN (11-21 DNÍ) S EKONOMICKY NÁROČNÝM VÝKONEM S MCC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</si>
  <si>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</si>
  <si>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</si>
  <si>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</si>
  <si>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</si>
  <si>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</si>
  <si>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</si>
  <si>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01063</t>
  </si>
  <si>
    <t xml:space="preserve">JINÉ VÝKONY PŘI ONEMOCNĚNÍCH A PORUCHÁCH NERVOVÉHO SYSTÉMU S MCC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</si>
  <si>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</si>
  <si>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</si>
  <si>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</si>
  <si>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ONEMOCNĚNÍ. NĚKTERÉ INFEKCE A DEGENERATIVNÍ PORUCHY NERVOVÉHO SYSTÉMU BEZ CC                </t>
  </si>
  <si>
    <t>01312</t>
  </si>
  <si>
    <t xml:space="preserve">MALIGNÍ ONEMOCNĚNÍ. NĚKTERÉ INFEKCE A DEGENERATIVNÍ PORUCHY NERVOVÉHO SYSTÉMU S CC                  </t>
  </si>
  <si>
    <t>01313</t>
  </si>
  <si>
    <t xml:space="preserve">MALIGNÍ ONEMOCNĚNÍ. NĚKTERÉ INFEKCE A DEGENERATIVNÍ PORUCHY NERVOVÉHO SYSTÉMU S MCC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</si>
  <si>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</si>
  <si>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</si>
  <si>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</si>
  <si>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</si>
  <si>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</si>
  <si>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</si>
  <si>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</si>
  <si>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</si>
  <si>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</si>
  <si>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</si>
  <si>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</si>
  <si>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</si>
  <si>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01352</t>
  </si>
  <si>
    <t xml:space="preserve">NESPECIFICKÁ CÉVNÍ MOZKOVÁ PŘÍHODA A PRECEREBRÁLNÍ OKLUZE BEZ INFARKTU S CC                         </t>
  </si>
  <si>
    <t>01353</t>
  </si>
  <si>
    <t xml:space="preserve">NESPECIFICKÁ CÉVNÍ MOZKOVÁ PŘÍHODA A PRECEREBRÁLNÍ OKLUZE BEZ INFARKTU S MCC                        </t>
  </si>
  <si>
    <t>01372</t>
  </si>
  <si>
    <t xml:space="preserve">PORUCHY KRANIÁLNÍCH A PERIFERNÍCH NERVŮ S CC                                                        </t>
  </si>
  <si>
    <t>01392</t>
  </si>
  <si>
    <t xml:space="preserve">NEBAKTERIÁLNÍ INFEKCE NERVOVÉHO SYSTÉMU. KROMĚ VIROVÉ MENINGITIDY S CC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</si>
  <si>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</si>
  <si>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</si>
  <si>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</si>
  <si>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</si>
  <si>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</si>
  <si>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</si>
  <si>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</si>
  <si>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</si>
  <si>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</si>
  <si>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</si>
  <si>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</si>
  <si>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</si>
  <si>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03312</t>
  </si>
  <si>
    <t xml:space="preserve">PORUCHY ROVNOVÁHY S CC  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</si>
  <si>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</si>
  <si>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</si>
  <si>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03352</t>
  </si>
  <si>
    <t xml:space="preserve">JINÉ PORUCHY UŠÍ. NOSU. ÚST A HRDLA S CC                                                            </t>
  </si>
  <si>
    <t>04321</t>
  </si>
  <si>
    <t xml:space="preserve">PLICNÍ EMBOLIE BEZ CC                                                                               </t>
  </si>
  <si>
    <t>04322</t>
  </si>
  <si>
    <t xml:space="preserve">PLICNÍ EMBOLIE S CC                                                                                 </t>
  </si>
  <si>
    <t>04323</t>
  </si>
  <si>
    <t xml:space="preserve">PLICNÍ EMBOLIE S MCC                                                                                </t>
  </si>
  <si>
    <t>04352</t>
  </si>
  <si>
    <t xml:space="preserve">INFEKCE A ZÁNĚTY DÝCHACÍHO SYSTÉMU S CC                                                             </t>
  </si>
  <si>
    <t>04361</t>
  </si>
  <si>
    <t xml:space="preserve">PROSTÁ PNEUMONIE A DÁVIVÝ KAŠEL BEZ CC                                                              </t>
  </si>
  <si>
    <t>04362</t>
  </si>
  <si>
    <t xml:space="preserve">PROSTÁ PNEUMONIE A DÁVIVÝ KAŠEL S CC                                                                </t>
  </si>
  <si>
    <t>04363</t>
  </si>
  <si>
    <t xml:space="preserve">PROSTÁ PNEUMONIE A DÁVIVÝ KAŠEL S MCC                                                               </t>
  </si>
  <si>
    <t>04373</t>
  </si>
  <si>
    <t xml:space="preserve">CHRONICKÁ OBSTRUKTIVNÍ PLICNÍ NEMOC S MCC                                                           </t>
  </si>
  <si>
    <t>04411</t>
  </si>
  <si>
    <t xml:space="preserve">PŘÍZNAKY. SYMPTOMY A JINÉ DIAGNÓZY DÝCHACÍHO SYSTÉMU BEZ CC                                         </t>
  </si>
  <si>
    <t>04412</t>
  </si>
  <si>
    <t xml:space="preserve">PŘÍZNAKY. SYMPTOMY A JINÉ DIAGNÓZY DÝCHACÍHO SYSTÉMU S CC                                           </t>
  </si>
  <si>
    <t>04413</t>
  </si>
  <si>
    <t xml:space="preserve">PŘÍZNAKY. SYMPTOMY A JINÉ DIAGNÓZY DÝCHACÍHO SYSTÉMU S MCC                                          </t>
  </si>
  <si>
    <t>05012</t>
  </si>
  <si>
    <t xml:space="preserve">SRDEČNÍ DEFIBRILÁTOR A IMPLANTÁT PRO PODPORU FUNKCE SRDCE S CC                                      </t>
  </si>
  <si>
    <t>05101</t>
  </si>
  <si>
    <t xml:space="preserve">JINÉ PERKUTÁNNÍ KARDIOVASKULÁRNÍ VÝKONY PŘI AKUTNÍM INFARKTU MYOKARDU BEZ CC                        </t>
  </si>
  <si>
    <t>05103</t>
  </si>
  <si>
    <t xml:space="preserve">JINÉ PERKUTÁNNÍ KARDIOVASKULÁRNÍ VÝKONY PŘI AKUTNÍM INFARKTU MYOKARDU S MCC                         </t>
  </si>
  <si>
    <t>05111</t>
  </si>
  <si>
    <t>IMPLANTACE TRVALÉHO KARDIOSTIMULÁTORU BEZ AKUTNÍHO INFARKTU MYOKARDU. SELHÁNÍ SRDCE NEBO ŠOKU BEZ CC</t>
  </si>
  <si>
    <t>05142</t>
  </si>
  <si>
    <t xml:space="preserve">JINÉ VASKULÁRNÍ VÝKONY S CC                                                                         </t>
  </si>
  <si>
    <t>05322</t>
  </si>
  <si>
    <t xml:space="preserve">SRDEČNÍ KATETRIZACE PŘI JINÝCH PORUCHÁCH OBĚHOVÉHO SYSTÉMU S CC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</si>
  <si>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</si>
  <si>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</si>
  <si>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</si>
  <si>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</si>
  <si>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05353</t>
  </si>
  <si>
    <t xml:space="preserve">SRDEČNÍ SELHÁNÍ S MCC                                                                               </t>
  </si>
  <si>
    <t>05362</t>
  </si>
  <si>
    <t xml:space="preserve">HLUBOKÁ ŽILNÍ TROMBÓZA S CC                                                                         </t>
  </si>
  <si>
    <t>05363</t>
  </si>
  <si>
    <t xml:space="preserve">HLUBOKÁ ŽILNÍ TROMBÓZA S MCC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</si>
  <si>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</si>
  <si>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</si>
  <si>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</si>
  <si>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</si>
  <si>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05392</t>
  </si>
  <si>
    <t xml:space="preserve">ATEROSKLERÓZA S CC                                                                                  </t>
  </si>
  <si>
    <t>05393</t>
  </si>
  <si>
    <t xml:space="preserve">ATEROSKLERÓZA S MCC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</si>
  <si>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</si>
  <si>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</si>
  <si>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</si>
  <si>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</si>
  <si>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</si>
  <si>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</si>
  <si>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05423</t>
  </si>
  <si>
    <t xml:space="preserve">SRDEČNÍ ARYTMIE A PORUCHY VEDENÍ S MCC                                                              </t>
  </si>
  <si>
    <t>05431</t>
  </si>
  <si>
    <t xml:space="preserve">ANGINA PECTORIS A BOLEST NA HRUDNÍKU BEZ CC                                                         </t>
  </si>
  <si>
    <t>05441</t>
  </si>
  <si>
    <t xml:space="preserve">SYNKOPA A KOLAPS BEZ CC                                                                             </t>
  </si>
  <si>
    <t>05443</t>
  </si>
  <si>
    <t xml:space="preserve">SYNKOPA A KOLAPS S MCC                                                                              </t>
  </si>
  <si>
    <t>05452</t>
  </si>
  <si>
    <t xml:space="preserve">KARDIOMYOPATIE S CC                                                                                 </t>
  </si>
  <si>
    <t>05481</t>
  </si>
  <si>
    <t xml:space="preserve">ZAVEDENÍ STENTU DO PERIFERNÍHO CÉVNÍHO ŘEČIŠTĚ BEZ CC                                               </t>
  </si>
  <si>
    <t>05482</t>
  </si>
  <si>
    <t xml:space="preserve">ZAVEDENÍ STENTU DO PERIFERNÍHO CÉVNÍHO ŘEČIŠTĚ S CC                                                 </t>
  </si>
  <si>
    <t>06013</t>
  </si>
  <si>
    <t xml:space="preserve">VELKÉ VÝKONY NA TLUSTÉM A TENKÉM STŘEVU S MCC                                                       </t>
  </si>
  <si>
    <t>06323</t>
  </si>
  <si>
    <t xml:space="preserve">PORUCHY JÍCNU S MCC                                                                                 </t>
  </si>
  <si>
    <t>06332</t>
  </si>
  <si>
    <t xml:space="preserve">DIVERTIKULITIDA. DIVERTIKULÓZA A ZÁNĚTLIVÉ ONEMOCNĚNÍ STŘEVA S CC                                   </t>
  </si>
  <si>
    <t>06333</t>
  </si>
  <si>
    <t xml:space="preserve">DIVERTIKULITIDA. DIVERTIKULÓZA A ZÁNĚTLIVÉ ONEMOCNĚNÍ STŘEVA S MCC                                  </t>
  </si>
  <si>
    <t>06362</t>
  </si>
  <si>
    <t xml:space="preserve">ZÁVAŽNÉ INFEKCE GASTROINTESTINÁLNÍHO SYSTÉMU S CC                                                   </t>
  </si>
  <si>
    <t>06363</t>
  </si>
  <si>
    <t xml:space="preserve">ZÁVAŽNÉ INFEKCE GASTROINTESTINÁLNÍHO SYSTÉMU S MCC                                                  </t>
  </si>
  <si>
    <t>06371</t>
  </si>
  <si>
    <t xml:space="preserve">JINÁ GASTROENTERITIDA A BOLEST BŘICHA BEZ CC                                                        </t>
  </si>
  <si>
    <t>06372</t>
  </si>
  <si>
    <t xml:space="preserve">JINÁ GASTROENTERITIDA A BOLEST BŘICHA S CC                                                          </t>
  </si>
  <si>
    <t>06381</t>
  </si>
  <si>
    <t xml:space="preserve">JINÉ PORUCHY TRÁVICÍHO SYSTÉMU BEZ CC                                                               </t>
  </si>
  <si>
    <t>06382</t>
  </si>
  <si>
    <t xml:space="preserve">JINÉ PORUCHY TRÁVICÍHO SYSTÉMU S CC                                                                 </t>
  </si>
  <si>
    <t>06383</t>
  </si>
  <si>
    <t xml:space="preserve">JINÉ PORUCHY TRÁVICÍHO SYSTÉMU S MCC                                                                </t>
  </si>
  <si>
    <t>07023</t>
  </si>
  <si>
    <t xml:space="preserve">VELKÉ VÝKONY NA ŽLUČOVÝCH CESTÁCH S MCC                                                             </t>
  </si>
  <si>
    <t>07321</t>
  </si>
  <si>
    <t xml:space="preserve">PORUCHY PANKREATU. KROMĚ MALIGNÍHO ONEMOCNĚNÍ BEZ CC                                                </t>
  </si>
  <si>
    <t>07322</t>
  </si>
  <si>
    <t xml:space="preserve">PORUCHY PANKREATU. KROMĚ MALIGNÍHO ONEMOCNĚNÍ S CC                                                  </t>
  </si>
  <si>
    <t>07323</t>
  </si>
  <si>
    <t xml:space="preserve">PORUCHY PANKREATU. KROMĚ MALIGNÍHO ONEMOCNĚNÍ S MCC                                                 </t>
  </si>
  <si>
    <t>07333</t>
  </si>
  <si>
    <t xml:space="preserve">PORUCHY JATER. KROMĚ MALIGNÍ CIRHÓZY A ALKOHOLICKÉ HEPATITIDY S MCC                                 </t>
  </si>
  <si>
    <t>07342</t>
  </si>
  <si>
    <t xml:space="preserve">JINÉ PORUCHY ŽLUČOVÝCH CEST S CC                                                                    </t>
  </si>
  <si>
    <t>07343</t>
  </si>
  <si>
    <t xml:space="preserve">JINÉ PORUCHY ŽLUČOVÝCH CEST S MCC                                                                   </t>
  </si>
  <si>
    <t>08031</t>
  </si>
  <si>
    <t xml:space="preserve">FÚZE PÁTEŘE. NE PRO DEFORMITY BEZ CC                                                                </t>
  </si>
  <si>
    <t>08032</t>
  </si>
  <si>
    <t xml:space="preserve">FÚZE PÁTEŘE. NE PRO DEFORMITY S CC                                                                  </t>
  </si>
  <si>
    <t>08041</t>
  </si>
  <si>
    <t xml:space="preserve">VELKÉ VÝKONY REPLANTACE DOLNÍCH KONČETIN A JEJICH KLOUBŮ BEZ CC                                     </t>
  </si>
  <si>
    <t>08042</t>
  </si>
  <si>
    <t xml:space="preserve">VELKÉ VÝKONY REPLANTACE DOLNÍCH KONČETIN A JEJICH KLOUBŮ S CC                                       </t>
  </si>
  <si>
    <t>08043</t>
  </si>
  <si>
    <t xml:space="preserve">VELKÉ VÝKONY REPLANTACE DOLNÍCH KONČETIN A JEJICH KLOUBŮ S MCC                                      </t>
  </si>
  <si>
    <t>08081</t>
  </si>
  <si>
    <t xml:space="preserve">VÝKONY NA KYČLÍCH A STEHENNÍ KOSTI. KROMĚ REPLANTACE VELKÝCH KLOUBŮ BEZ CC                          </t>
  </si>
  <si>
    <t>08082</t>
  </si>
  <si>
    <t xml:space="preserve">VÝKONY NA KYČLÍCH A STEHENNÍ KOSTI. KROMĚ REPLANTACE VELKÝCH KLOUBŮ S CC                            </t>
  </si>
  <si>
    <t>08083</t>
  </si>
  <si>
    <t xml:space="preserve">VÝKONY NA KYČLÍCH A STEHENNÍ KOSTI. KROMĚ REPLANTACE VELKÝCH KLOUBŮ S MCC                           </t>
  </si>
  <si>
    <t>08102</t>
  </si>
  <si>
    <t xml:space="preserve">VÝKONY NA ZÁDECH A KRKU. KROMĚ FÚZE PÁTEŘE S CC                                                     </t>
  </si>
  <si>
    <t>08111</t>
  </si>
  <si>
    <t xml:space="preserve">VÝKONY NA KOLENU. BÉRCI A HLEZNU. KROMĚ CHODIDLA BEZ CC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</si>
  <si>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</si>
  <si>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</si>
  <si>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</si>
  <si>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</si>
  <si>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</si>
  <si>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</si>
  <si>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</si>
  <si>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</si>
  <si>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08303</t>
  </si>
  <si>
    <t xml:space="preserve">ZLOMENINY KOSTI STEHENNÍ S MCC                                                                      </t>
  </si>
  <si>
    <t>08311</t>
  </si>
  <si>
    <t xml:space="preserve">ZLOMENINA PÁNVE. NEBO DISLOKACE KYČLE BEZ CC                                                        </t>
  </si>
  <si>
    <t>08312</t>
  </si>
  <si>
    <t xml:space="preserve">ZLOMENINA PÁNVE. NEBO DISLOKACE KYČLE S CC                                                          </t>
  </si>
  <si>
    <t>08321</t>
  </si>
  <si>
    <t xml:space="preserve">ZLOMENINA NEBO DISLOKACE. KROMĚ STEHENNÍ KOSTI A PÁNVE BEZ CC                                       </t>
  </si>
  <si>
    <t>08323</t>
  </si>
  <si>
    <t xml:space="preserve">ZLOMENINA NEBO DISLOKACE. KROMĚ STEHENNÍ KOSTI A PÁNVE S MCC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</si>
  <si>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</si>
  <si>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</si>
  <si>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</si>
  <si>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</si>
  <si>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</si>
  <si>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</si>
  <si>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</si>
  <si>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</si>
  <si>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</si>
  <si>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</si>
  <si>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08392</t>
  </si>
  <si>
    <t xml:space="preserve">SELHÁNÍ. REAKCE A KOMPLIKACE ORTOPEDICKÉHO PŘÍSTROJE NEBO VÝKONU S CC                               </t>
  </si>
  <si>
    <t>09012</t>
  </si>
  <si>
    <t xml:space="preserve">KOŽNÍ ŠTĚP A/NEBO DEBRIDEMENT S CC                                                                  </t>
  </si>
  <si>
    <t>09322</t>
  </si>
  <si>
    <t xml:space="preserve">FLEGMÓNA S CC                                                                                       </t>
  </si>
  <si>
    <t>09323</t>
  </si>
  <si>
    <t xml:space="preserve">FLEGMÓNA S MCC                                                                                      </t>
  </si>
  <si>
    <t>09333</t>
  </si>
  <si>
    <t xml:space="preserve">PORANĚNÍ KŮŽE. PODKOŽNÍ TKÁNĚ A PRSU S MCC                                                          </t>
  </si>
  <si>
    <t>10302</t>
  </si>
  <si>
    <t xml:space="preserve">DIABETES. NUTRIČNÍ A JINÉ METABOLICKÉ PORUCHY S CC                                                  </t>
  </si>
  <si>
    <t>10303</t>
  </si>
  <si>
    <t xml:space="preserve">DIABETES. NUTRIČNÍ A JINÉ METABOLICKÉ PORUCHY S MCC                                                 </t>
  </si>
  <si>
    <t>10311</t>
  </si>
  <si>
    <t xml:space="preserve">HYPOVOLÉMIE A PORUCHY ELEKTROLYTŮ BEZ CC                                                            </t>
  </si>
  <si>
    <t>10312</t>
  </si>
  <si>
    <t xml:space="preserve">HYPOVOLÉMIE A PORUCHY ELEKTROLYTŮ S CC                 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</si>
  <si>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</si>
  <si>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</si>
  <si>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</si>
  <si>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</si>
  <si>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11041</t>
  </si>
  <si>
    <t xml:space="preserve">DIALÝZA A ELIMINAČNÍ METODY BEZ CC                                                                  </t>
  </si>
  <si>
    <t>11043</t>
  </si>
  <si>
    <t xml:space="preserve">DIALÝZA A ELIMINAČNÍ METODY S MCC                                                                   </t>
  </si>
  <si>
    <t>11081</t>
  </si>
  <si>
    <t xml:space="preserve">JINÉ VÝKONY PŘI PORUCHÁCH A ONEMOCNĚNÍCH LEDVIN A MOČOVÝCH CEST BEZ CC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</si>
  <si>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</si>
  <si>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</si>
  <si>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</si>
  <si>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</si>
  <si>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</si>
  <si>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</si>
  <si>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</si>
  <si>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</si>
  <si>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</si>
  <si>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</si>
  <si>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</si>
  <si>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</si>
  <si>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16332</t>
  </si>
  <si>
    <t xml:space="preserve">PORUCHY ČERVENÝCH KRVINEK. KROMĚ SRPKOVITÉ CHUDOKREVNOSTI S CC                                      </t>
  </si>
  <si>
    <t>16333</t>
  </si>
  <si>
    <t xml:space="preserve">PORUCHY ČERVENÝCH KRVINEK. KROMĚ SRPKOVITÉ CHUDOKREVNOSTI S MCC                                     </t>
  </si>
  <si>
    <t>17342</t>
  </si>
  <si>
    <t xml:space="preserve">JINÉ MYELOPROLIFERATIVNÍ PORUCHY A DIAGNÓZA NEDIFERENCOVANÝCH NÁDORŮ S CC                           </t>
  </si>
  <si>
    <t>18303</t>
  </si>
  <si>
    <t xml:space="preserve">SEPTIKÉMIE S MCC                                                                                    </t>
  </si>
  <si>
    <t>19311</t>
  </si>
  <si>
    <t xml:space="preserve">PSYCHÓZY BEZ CC                                                                                     </t>
  </si>
  <si>
    <t>19362</t>
  </si>
  <si>
    <t xml:space="preserve">ORGANICKÉ DUŠEVNÍ PORUCHY A MENTÁLNÍ RETARDACE S CC                                                 </t>
  </si>
  <si>
    <t>19363</t>
  </si>
  <si>
    <t xml:space="preserve">ORGANICKÉ DUŠEVNÍ PORUCHY A MENTÁLNÍ RETARDACE S MCC                                                </t>
  </si>
  <si>
    <t>21322</t>
  </si>
  <si>
    <t xml:space="preserve">OTRAVA A TOXICKÉ ÚČINKY LÉKŮ (DROG) S CC                                                            </t>
  </si>
  <si>
    <t>25012</t>
  </si>
  <si>
    <t xml:space="preserve">KRANIOTOMIE. VELKÝ VÝKON NA PÁTEŘI. KYČLI A KONČ. PŘI MNOHOČETNÉM ZÁVAŽNÉM TRAUMATU S CC            </t>
  </si>
  <si>
    <t>25303</t>
  </si>
  <si>
    <t xml:space="preserve">DIAGNÓZY TÝKAJÍCÍ SE HLAVY. HRUDNÍKU A DOLNÍCH KONČETIN PŘI MNOHOČETNÉM ZÁVAŽNÉM TRAUMATU S MCC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</si>
  <si>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</si>
  <si>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</si>
  <si>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</si>
  <si>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</si>
  <si>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</si>
  <si>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</si>
  <si>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88892</t>
  </si>
  <si>
    <t xml:space="preserve">VÝKONY OMEZENÉHO ROZSAHU. KTERÉ SE NETÝKAJÍ HLAVNÍ DIAGNÓZY S CC                                    </t>
  </si>
  <si>
    <t>Porovnání jednotlivých IR DRG skupin</t>
  </si>
  <si>
    <t>22 - KLINIKA NUKLEÁRNÍ MEDICÍNY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</si>
  <si>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</si>
  <si>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</si>
  <si>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</si>
  <si>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</si>
  <si>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</si>
  <si>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</si>
  <si>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 xml:space="preserve">44 -  </t>
  </si>
  <si>
    <t>87427</t>
  </si>
  <si>
    <t>CYTOLOGICKÉ NÁTĚRY  NECENTRIFUGOVANÉ TEKUTINY - 4-</t>
  </si>
  <si>
    <t>205</t>
  </si>
  <si>
    <t>87421</t>
  </si>
  <si>
    <t>CYTOLOGICKÉ NÁTĚRY SEDIMENTU CENTRIFUGOVANÉ TEKUTI</t>
  </si>
  <si>
    <t>87447</t>
  </si>
  <si>
    <t>CYTOLOGICKÉ PREPARÁTY ZHOTOVENÉ CYTOCENTRIFUGOU</t>
  </si>
  <si>
    <t>89313</t>
  </si>
  <si>
    <t xml:space="preserve">PERKUTÁNNÍ PUNKCE NEBO BIOPSIE ŘÍZENÁ RDG METODOU </t>
  </si>
  <si>
    <t>87525</t>
  </si>
  <si>
    <t>STANOVENÍ CYTOLOGICKÉ DIAGNÓZY III. STUPNĚ OBTÍŽNO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</si>
  <si>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</si>
  <si>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</si>
  <si>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</si>
  <si>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</si>
  <si>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</si>
  <si>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</si>
  <si>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22</t>
  </si>
  <si>
    <t>407</t>
  </si>
  <si>
    <t>0002015</t>
  </si>
  <si>
    <t>99mTc-technecistan sodný inj.</t>
  </si>
  <si>
    <t>0002018</t>
  </si>
  <si>
    <t>99mTc-makrosalb inj.</t>
  </si>
  <si>
    <t>0002027</t>
  </si>
  <si>
    <t>99mTc-MIBI inj.</t>
  </si>
  <si>
    <t>0002067</t>
  </si>
  <si>
    <t>81m-krypton plyn k inhal.</t>
  </si>
  <si>
    <t>0002073</t>
  </si>
  <si>
    <t>99mTc-oxidronát disodný inj.</t>
  </si>
  <si>
    <t>47153</t>
  </si>
  <si>
    <t>SCINTIGRAFIE PŘÍŠTÍTNÝCH TĚLÍSEK</t>
  </si>
  <si>
    <t>47259</t>
  </si>
  <si>
    <t>SCINTIGRAFIE PLIC VENTILAČNÍ STATICKÁ</t>
  </si>
  <si>
    <t>47269</t>
  </si>
  <si>
    <t>TOMOGRAFICKÁ SCINTIGRAFIE - SPECT</t>
  </si>
  <si>
    <t>47241</t>
  </si>
  <si>
    <t>SCINTIGRAFIE SKELETU</t>
  </si>
  <si>
    <t>47257</t>
  </si>
  <si>
    <t>SCINTIGRAFIE PLIC PERFÚZNÍ</t>
  </si>
  <si>
    <t>816</t>
  </si>
  <si>
    <t>94115</t>
  </si>
  <si>
    <t>IN SITU HYBRIDIZACE LIDSKÉ DNA SE ZNAČENOU SONDOU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</si>
  <si>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</si>
  <si>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</si>
  <si>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</si>
  <si>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</si>
  <si>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</si>
  <si>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</si>
  <si>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</si>
  <si>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</si>
  <si>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</si>
  <si>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</si>
  <si>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</si>
  <si>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</si>
  <si>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</si>
  <si>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</si>
  <si>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</si>
  <si>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</si>
  <si>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</si>
  <si>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</si>
  <si>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</si>
  <si>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</si>
  <si>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</si>
  <si>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</si>
  <si>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</si>
  <si>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</si>
  <si>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</si>
  <si>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</si>
  <si>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</si>
  <si>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96889</t>
  </si>
  <si>
    <t>TROMBIN GENERAČNÍ ČAS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</si>
  <si>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</si>
  <si>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</si>
  <si>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</si>
  <si>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</si>
  <si>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</si>
  <si>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</si>
  <si>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</si>
  <si>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</si>
  <si>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</si>
  <si>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</si>
  <si>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</si>
  <si>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</si>
  <si>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</si>
  <si>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</si>
  <si>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</si>
  <si>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</si>
  <si>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</si>
  <si>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</si>
  <si>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</si>
  <si>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</si>
  <si>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</si>
  <si>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</si>
  <si>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</si>
  <si>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</si>
  <si>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81331</t>
  </si>
  <si>
    <t>ALBUMIN V MOZKOMÍŠNÍM MOKU</t>
  </si>
  <si>
    <t>81341</t>
  </si>
  <si>
    <t>AMONIAK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</si>
  <si>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</si>
  <si>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</si>
  <si>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</si>
  <si>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</si>
  <si>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</si>
  <si>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</si>
  <si>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</si>
  <si>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</si>
  <si>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</si>
  <si>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</si>
  <si>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</si>
  <si>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</si>
  <si>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</si>
  <si>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</si>
  <si>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</si>
  <si>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</si>
  <si>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</si>
  <si>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</si>
  <si>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91131</t>
  </si>
  <si>
    <t>STANOVENÍ IgA</t>
  </si>
  <si>
    <t>91137</t>
  </si>
  <si>
    <t>STANOVENÍ TRANSFERINU</t>
  </si>
  <si>
    <t>93151</t>
  </si>
  <si>
    <t>FERRITIN</t>
  </si>
  <si>
    <t>93171</t>
  </si>
  <si>
    <t>PARATHORMON</t>
  </si>
  <si>
    <t>93187</t>
  </si>
  <si>
    <t>TYROXIN CELKOVÝ (TT4)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</si>
  <si>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</si>
  <si>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</si>
  <si>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</si>
  <si>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</si>
  <si>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</si>
  <si>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</si>
  <si>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</si>
  <si>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</si>
  <si>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</si>
  <si>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</si>
  <si>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</si>
  <si>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</si>
  <si>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</si>
  <si>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</si>
  <si>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</si>
  <si>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</si>
  <si>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</si>
  <si>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</si>
  <si>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</si>
  <si>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</si>
  <si>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</si>
  <si>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</si>
  <si>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</si>
  <si>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</si>
  <si>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</si>
  <si>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</si>
  <si>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</si>
  <si>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</si>
  <si>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</si>
  <si>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</si>
  <si>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</si>
  <si>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</si>
  <si>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</si>
  <si>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</si>
  <si>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</si>
  <si>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</si>
  <si>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</si>
  <si>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</si>
  <si>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</si>
  <si>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</si>
  <si>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</si>
  <si>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</si>
  <si>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</si>
  <si>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</si>
  <si>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</si>
  <si>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</si>
  <si>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</si>
  <si>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</si>
  <si>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</si>
  <si>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</si>
  <si>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</si>
  <si>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</si>
  <si>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</si>
  <si>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</si>
  <si>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</si>
  <si>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</si>
  <si>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</si>
  <si>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</si>
  <si>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</si>
  <si>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</si>
  <si>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</si>
  <si>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</si>
  <si>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93215</t>
  </si>
  <si>
    <t>ALFA - 1 - FETOPROTEIN (AFP)</t>
  </si>
  <si>
    <t>91133</t>
  </si>
  <si>
    <t>STANOVENÍ IgM</t>
  </si>
  <si>
    <t>81533</t>
  </si>
  <si>
    <t>LIPÁZA</t>
  </si>
  <si>
    <t>81629</t>
  </si>
  <si>
    <t>VAZEBNÁ KAPACITA ŽELEZA</t>
  </si>
  <si>
    <t>81125</t>
  </si>
  <si>
    <t>BÍLKOVINY CELKOVÉ (SÉRUM) STATIM</t>
  </si>
  <si>
    <t>81235</t>
  </si>
  <si>
    <t>TUMORMARKERY CA 19-9, CA 15-3, CA 72-4, CA 125</t>
  </si>
  <si>
    <t>81665</t>
  </si>
  <si>
    <t>VYŠ. DPM - AKTIVITA LYZOSOMÁLNÍCH ENZYMŮ S NERADIO</t>
  </si>
  <si>
    <t>81423</t>
  </si>
  <si>
    <t>FOSFATÁZA ALKALICKÁ IZOENZYMY</t>
  </si>
  <si>
    <t>93185</t>
  </si>
  <si>
    <t>TRIJODTYRONIN CELKOVÝ (TT3)</t>
  </si>
  <si>
    <t>93135</t>
  </si>
  <si>
    <t>MYOGLOBIN V SÉRII</t>
  </si>
  <si>
    <t>81443</t>
  </si>
  <si>
    <t>GLUKOZOVÝ TOLERANČNÍ TEST (WHO)</t>
  </si>
  <si>
    <t>81129</t>
  </si>
  <si>
    <t>BÍLKOVINA KVANTITATIVNĚ (MOČ, VÝPOTEK, CSF) STATIM</t>
  </si>
  <si>
    <t>34</t>
  </si>
  <si>
    <t>809</t>
  </si>
  <si>
    <t>0003132</t>
  </si>
  <si>
    <t>GADOVIST 1,0 MMOL/ML</t>
  </si>
  <si>
    <t>0022075</t>
  </si>
  <si>
    <t>IOMERON 400</t>
  </si>
  <si>
    <t>0077018</t>
  </si>
  <si>
    <t>ULTRAVIST 370</t>
  </si>
  <si>
    <t>0077019</t>
  </si>
  <si>
    <t>0077024</t>
  </si>
  <si>
    <t>ULTRAVIST 300</t>
  </si>
  <si>
    <t>0095609</t>
  </si>
  <si>
    <t>MICROPAQUE CT</t>
  </si>
  <si>
    <t>0092932</t>
  </si>
  <si>
    <t>SADA DRENÁŽNÍ</t>
  </si>
  <si>
    <t>0151449</t>
  </si>
  <si>
    <t>JEHLA BIOPTICKÁ DO DĚLA (BARD MAGNUM)  UNIVERSAL P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</si>
  <si>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</si>
  <si>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</si>
  <si>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</si>
  <si>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</si>
  <si>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</si>
  <si>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</si>
  <si>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</si>
  <si>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</si>
  <si>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</si>
  <si>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</si>
  <si>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</si>
  <si>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</si>
  <si>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</si>
  <si>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</si>
  <si>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</si>
  <si>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</si>
  <si>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</si>
  <si>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</si>
  <si>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</si>
  <si>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</si>
  <si>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</si>
  <si>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</si>
  <si>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</si>
  <si>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</si>
  <si>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</si>
  <si>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</si>
  <si>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</si>
  <si>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</si>
  <si>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</si>
  <si>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</si>
  <si>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</si>
  <si>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</si>
  <si>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89115</t>
  </si>
  <si>
    <t>RTG LEBKY, PŘEHLEDNÉ SNÍMKY</t>
  </si>
  <si>
    <t>89179</t>
  </si>
  <si>
    <t>DIAGNOSTICKÁ MAMOGRAFIE NEBO  DUKTOGRAFIE</t>
  </si>
  <si>
    <t>89161</t>
  </si>
  <si>
    <t>CHOLANGIOGRAFIE PEROPERAČNÍ NEBO T-DRÉNEM</t>
  </si>
  <si>
    <t>89611</t>
  </si>
  <si>
    <t>CT VYŠETŘENÍ HLAVY NEBO TĚLA NATIVNÍ A KONTRASTNÍ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</si>
  <si>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</si>
  <si>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</si>
  <si>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</si>
  <si>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</si>
  <si>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</si>
  <si>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</si>
  <si>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22214</t>
  </si>
  <si>
    <t>SCREENING ANTIERYTROCYTÁRNÍCH PROTILÁTEK - V SÉRII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</si>
  <si>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</si>
  <si>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</si>
  <si>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</si>
  <si>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</si>
  <si>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</si>
  <si>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</si>
  <si>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</si>
  <si>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</si>
  <si>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</si>
  <si>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</si>
  <si>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</si>
  <si>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</si>
  <si>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</si>
  <si>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</si>
  <si>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</si>
  <si>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</si>
  <si>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</si>
  <si>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</si>
  <si>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</si>
  <si>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</si>
  <si>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</si>
  <si>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</si>
  <si>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</si>
  <si>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</si>
  <si>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</si>
  <si>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</si>
  <si>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</si>
  <si>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</si>
  <si>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</si>
  <si>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</si>
  <si>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</si>
  <si>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</si>
  <si>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</si>
  <si>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</si>
  <si>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</si>
  <si>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</si>
  <si>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</si>
  <si>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</si>
  <si>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</si>
  <si>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</si>
  <si>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</si>
  <si>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</si>
  <si>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</si>
  <si>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</si>
  <si>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87519</t>
  </si>
  <si>
    <t>STANOVENÍ CYTOLOGICKÉ DIAGNÓZY II. STUPNĚ OBTÍŽNOS</t>
  </si>
  <si>
    <t>87135</t>
  </si>
  <si>
    <t>VYŠETŘENÍ MORFOMETRICKÉ - ZA KAŽDÝ PARAMETR</t>
  </si>
  <si>
    <t>87611</t>
  </si>
  <si>
    <t>TECHNICKÁ KOMPONENTA MIKROSKOPICKÉHO VYŠETŘENÍ PIT</t>
  </si>
  <si>
    <t>87011</t>
  </si>
  <si>
    <t>KONZULTACE NÁLEZU PATOLOGEM CÍLENÁ NA ŽÁDOST OŠETŘ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</si>
  <si>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</si>
  <si>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</si>
  <si>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</si>
  <si>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</si>
  <si>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</si>
  <si>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</si>
  <si>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</si>
  <si>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</si>
  <si>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</si>
  <si>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</si>
  <si>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</si>
  <si>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</si>
  <si>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</si>
  <si>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</si>
  <si>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</si>
  <si>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</si>
  <si>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</si>
  <si>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</si>
  <si>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</si>
  <si>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</si>
  <si>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</si>
  <si>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</si>
  <si>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</si>
  <si>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</si>
  <si>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</si>
  <si>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</si>
  <si>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</si>
  <si>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91483</t>
  </si>
  <si>
    <t>STANOVENÍ ANTIGENU HELICOBACTER PYLORI VE STOLICI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</si>
  <si>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</si>
  <si>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</si>
  <si>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</si>
  <si>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</si>
  <si>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</si>
  <si>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813</t>
  </si>
  <si>
    <t>82241</t>
  </si>
  <si>
    <t>IN VITRO STIMULACE T LYMFOCYTŮ SPECIFICKÝMI ANTIGE</t>
  </si>
  <si>
    <t>91161</t>
  </si>
  <si>
    <t>STANOVENÍ C4 SLOŽKY KOMPLEMENTU</t>
  </si>
  <si>
    <t>91261</t>
  </si>
  <si>
    <t>STANOVENÍ ANTI ENA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</si>
  <si>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</si>
  <si>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</si>
  <si>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</si>
  <si>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</si>
  <si>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</si>
  <si>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</si>
  <si>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</si>
  <si>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</si>
  <si>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</si>
  <si>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</si>
  <si>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</si>
  <si>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</si>
  <si>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</si>
  <si>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</si>
  <si>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</si>
  <si>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</si>
  <si>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</si>
  <si>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</si>
  <si>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</si>
  <si>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</si>
  <si>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</si>
  <si>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</si>
  <si>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</si>
  <si>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</si>
  <si>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44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</si>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</sst>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62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0" fontId="3" fillId="2" borderId="29" xfId="79" applyFont="1" applyFill="1" applyBorder="1"/>
    <xf numFmtId="0" fontId="3" fillId="2" borderId="29" xfId="53" applyFont="1" applyFill="1" applyBorder="1" applyAlignment="1">
      <alignment horizontal="left"/>
    </xf>
    <xf numFmtId="3" fontId="3" fillId="2" borderId="22" xfId="53" applyNumberFormat="1" applyFont="1" applyFill="1" applyBorder="1" applyAlignment="1">
      <alignment horizontal="lef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4" borderId="89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35" fillId="0" borderId="92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2" borderId="89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4" fontId="35" fillId="0" borderId="89" xfId="0" applyNumberFormat="1" applyFont="1" applyBorder="1"/>
    <xf numFmtId="174" fontId="35" fillId="0" borderId="97" xfId="0" applyNumberFormat="1" applyFont="1" applyBorder="1"/>
    <xf numFmtId="174" fontId="35" fillId="0" borderId="90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35" fillId="2" borderId="89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99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175" fontId="35" fillId="0" borderId="105" xfId="0" applyNumberFormat="1" applyFont="1" applyBorder="1"/>
    <xf numFmtId="0" fontId="28" fillId="2" borderId="19" xfId="1" applyFill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174" fontId="35" fillId="0" borderId="91" xfId="0" applyNumberFormat="1" applyFont="1" applyBorder="1" applyAlignment="1"/>
    <xf numFmtId="0" fontId="2" fillId="0" borderId="2" xfId="26" applyFont="1" applyFill="1" applyBorder="1" applyAlignment="1"/>
    <xf numFmtId="0" fontId="0" fillId="0" borderId="2" xfId="0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74" fontId="35" fillId="0" borderId="98" xfId="0" applyNumberFormat="1" applyFont="1" applyBorder="1" applyAlignment="1"/>
    <xf numFmtId="174" fontId="42" fillId="4" borderId="88" xfId="0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6" xfId="0" applyNumberFormat="1" applyFont="1" applyFill="1" applyBorder="1" applyAlignment="1">
      <alignment horizontal="right" vertical="top"/>
    </xf>
    <xf numFmtId="3" fontId="36" fillId="10" borderId="117" xfId="0" applyNumberFormat="1" applyFont="1" applyFill="1" applyBorder="1" applyAlignment="1">
      <alignment horizontal="right" vertical="top"/>
    </xf>
    <xf numFmtId="176" fontId="36" fillId="10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6" fontId="36" fillId="10" borderId="119" xfId="0" applyNumberFormat="1" applyFont="1" applyFill="1" applyBorder="1" applyAlignment="1">
      <alignment horizontal="right" vertical="top"/>
    </xf>
    <xf numFmtId="3" fontId="38" fillId="10" borderId="121" xfId="0" applyNumberFormat="1" applyFont="1" applyFill="1" applyBorder="1" applyAlignment="1">
      <alignment horizontal="right" vertical="top"/>
    </xf>
    <xf numFmtId="3" fontId="38" fillId="10" borderId="122" xfId="0" applyNumberFormat="1" applyFont="1" applyFill="1" applyBorder="1" applyAlignment="1">
      <alignment horizontal="right" vertical="top"/>
    </xf>
    <xf numFmtId="0" fontId="38" fillId="10" borderId="123" xfId="0" applyFont="1" applyFill="1" applyBorder="1" applyAlignment="1">
      <alignment horizontal="right" vertical="top"/>
    </xf>
    <xf numFmtId="3" fontId="38" fillId="0" borderId="121" xfId="0" applyNumberFormat="1" applyFont="1" applyBorder="1" applyAlignment="1">
      <alignment horizontal="right" vertical="top"/>
    </xf>
    <xf numFmtId="0" fontId="38" fillId="10" borderId="124" xfId="0" applyFont="1" applyFill="1" applyBorder="1" applyAlignment="1">
      <alignment horizontal="right" vertical="top"/>
    </xf>
    <xf numFmtId="0" fontId="36" fillId="10" borderId="118" xfId="0" applyFont="1" applyFill="1" applyBorder="1" applyAlignment="1">
      <alignment horizontal="right" vertical="top"/>
    </xf>
    <xf numFmtId="0" fontId="36" fillId="10" borderId="119" xfId="0" applyFont="1" applyFill="1" applyBorder="1" applyAlignment="1">
      <alignment horizontal="right" vertical="top"/>
    </xf>
    <xf numFmtId="176" fontId="38" fillId="10" borderId="123" xfId="0" applyNumberFormat="1" applyFont="1" applyFill="1" applyBorder="1" applyAlignment="1">
      <alignment horizontal="right" vertical="top"/>
    </xf>
    <xf numFmtId="176" fontId="38" fillId="10" borderId="124" xfId="0" applyNumberFormat="1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3" fontId="38" fillId="0" borderId="126" xfId="0" applyNumberFormat="1" applyFont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176" fontId="38" fillId="10" borderId="128" xfId="0" applyNumberFormat="1" applyFont="1" applyFill="1" applyBorder="1" applyAlignment="1">
      <alignment horizontal="right" vertical="top"/>
    </xf>
    <xf numFmtId="0" fontId="40" fillId="11" borderId="115" xfId="0" applyFont="1" applyFill="1" applyBorder="1" applyAlignment="1">
      <alignment vertical="top"/>
    </xf>
    <xf numFmtId="0" fontId="40" fillId="11" borderId="115" xfId="0" applyFont="1" applyFill="1" applyBorder="1" applyAlignment="1">
      <alignment vertical="top" indent="2"/>
    </xf>
    <xf numFmtId="0" fontId="40" fillId="11" borderId="115" xfId="0" applyFont="1" applyFill="1" applyBorder="1" applyAlignment="1">
      <alignment vertical="top" indent="4"/>
    </xf>
    <xf numFmtId="0" fontId="41" fillId="11" borderId="120" xfId="0" applyFont="1" applyFill="1" applyBorder="1" applyAlignment="1">
      <alignment vertical="top" indent="6"/>
    </xf>
    <xf numFmtId="0" fontId="40" fillId="11" borderId="115" xfId="0" applyFont="1" applyFill="1" applyBorder="1" applyAlignment="1">
      <alignment vertical="top" indent="8"/>
    </xf>
    <xf numFmtId="0" fontId="41" fillId="11" borderId="120" xfId="0" applyFont="1" applyFill="1" applyBorder="1" applyAlignment="1">
      <alignment vertical="top" indent="2"/>
    </xf>
    <xf numFmtId="0" fontId="40" fillId="11" borderId="115" xfId="0" applyFont="1" applyFill="1" applyBorder="1" applyAlignment="1">
      <alignment vertical="top" indent="6"/>
    </xf>
    <xf numFmtId="0" fontId="41" fillId="11" borderId="120" xfId="0" applyFont="1" applyFill="1" applyBorder="1" applyAlignment="1">
      <alignment vertical="top" indent="4"/>
    </xf>
    <xf numFmtId="0" fontId="35" fillId="11" borderId="115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4" fillId="2" borderId="129" xfId="53" applyNumberFormat="1" applyFont="1" applyFill="1" applyBorder="1" applyAlignment="1">
      <alignment horizontal="left"/>
    </xf>
    <xf numFmtId="165" fontId="34" fillId="2" borderId="130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3" fontId="35" fillId="0" borderId="130" xfId="0" applyNumberFormat="1" applyFont="1" applyFill="1" applyBorder="1"/>
    <xf numFmtId="3" fontId="35" fillId="0" borderId="132" xfId="0" applyNumberFormat="1" applyFont="1" applyFill="1" applyBorder="1"/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29" xfId="0" applyFont="1" applyFill="1" applyBorder="1"/>
    <xf numFmtId="3" fontId="42" fillId="2" borderId="131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130" xfId="0" applyNumberFormat="1" applyFont="1" applyFill="1" applyBorder="1"/>
    <xf numFmtId="9" fontId="35" fillId="0" borderId="88" xfId="0" applyNumberFormat="1" applyFont="1" applyFill="1" applyBorder="1"/>
    <xf numFmtId="9" fontId="35" fillId="0" borderId="91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129" xfId="0" applyFont="1" applyFill="1" applyBorder="1"/>
    <xf numFmtId="0" fontId="35" fillId="5" borderId="12" xfId="0" applyFont="1" applyFill="1" applyBorder="1" applyAlignment="1">
      <alignment wrapText="1"/>
    </xf>
    <xf numFmtId="9" fontId="35" fillId="0" borderId="98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0" borderId="87" xfId="0" applyFont="1" applyFill="1" applyBorder="1"/>
    <xf numFmtId="0" fontId="42" fillId="0" borderId="97" xfId="0" applyFont="1" applyFill="1" applyBorder="1"/>
    <xf numFmtId="0" fontId="42" fillId="0" borderId="134" xfId="0" applyFont="1" applyFill="1" applyBorder="1"/>
    <xf numFmtId="0" fontId="42" fillId="2" borderId="130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42" fillId="11" borderId="135" xfId="0" applyFont="1" applyFill="1" applyBorder="1"/>
    <xf numFmtId="0" fontId="42" fillId="11" borderId="136" xfId="0" applyFont="1" applyFill="1" applyBorder="1"/>
    <xf numFmtId="0" fontId="42" fillId="11" borderId="13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35" xfId="0" applyFont="1" applyFill="1" applyBorder="1"/>
    <xf numFmtId="0" fontId="35" fillId="0" borderId="136" xfId="0" applyFont="1" applyFill="1" applyBorder="1"/>
    <xf numFmtId="0" fontId="35" fillId="0" borderId="13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5" fontId="35" fillId="0" borderId="31" xfId="0" applyNumberFormat="1" applyFont="1" applyFill="1" applyBorder="1"/>
    <xf numFmtId="166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0" fontId="42" fillId="0" borderId="26" xfId="0" applyFont="1" applyFill="1" applyBorder="1"/>
    <xf numFmtId="0" fontId="42" fillId="0" borderId="145" xfId="0" applyFont="1" applyFill="1" applyBorder="1"/>
    <xf numFmtId="0" fontId="42" fillId="2" borderId="57" xfId="0" applyFont="1" applyFill="1" applyBorder="1"/>
    <xf numFmtId="165" fontId="34" fillId="2" borderId="55" xfId="53" applyNumberFormat="1" applyFont="1" applyFill="1" applyBorder="1" applyAlignment="1">
      <alignment horizontal="left"/>
    </xf>
    <xf numFmtId="165" fontId="34" fillId="2" borderId="57" xfId="53" applyNumberFormat="1" applyFont="1" applyFill="1" applyBorder="1" applyAlignment="1">
      <alignment horizontal="left"/>
    </xf>
    <xf numFmtId="165" fontId="35" fillId="0" borderId="31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65" fontId="35" fillId="0" borderId="143" xfId="0" applyNumberFormat="1" applyFont="1" applyFill="1" applyBorder="1" applyAlignment="1">
      <alignment horizontal="right"/>
    </xf>
    <xf numFmtId="174" fontId="42" fillId="4" borderId="31" xfId="0" applyNumberFormat="1" applyFont="1" applyFill="1" applyBorder="1" applyAlignment="1">
      <alignment horizontal="center"/>
    </xf>
    <xf numFmtId="174" fontId="35" fillId="0" borderId="146" xfId="0" applyNumberFormat="1" applyFont="1" applyBorder="1" applyAlignment="1"/>
    <xf numFmtId="174" fontId="35" fillId="0" borderId="143" xfId="0" applyNumberFormat="1" applyFont="1" applyBorder="1" applyAlignment="1"/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31" xfId="0" applyNumberFormat="1" applyFont="1" applyFill="1" applyBorder="1"/>
    <xf numFmtId="170" fontId="35" fillId="0" borderId="143" xfId="0" applyNumberFormat="1" applyFont="1" applyFill="1" applyBorder="1"/>
    <xf numFmtId="0" fontId="42" fillId="0" borderId="142" xfId="0" applyFont="1" applyFill="1" applyBorder="1"/>
    <xf numFmtId="0" fontId="64" fillId="0" borderId="0" xfId="0" applyFont="1" applyFill="1"/>
    <xf numFmtId="0" fontId="65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170" fontId="35" fillId="0" borderId="146" xfId="0" applyNumberFormat="1" applyFont="1" applyFill="1" applyBorder="1"/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3" xfId="0" applyNumberFormat="1" applyFont="1" applyBorder="1" applyAlignment="1">
      <alignment horizontal="right"/>
    </xf>
    <xf numFmtId="167" fontId="12" fillId="0" borderId="133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3" fontId="5" fillId="0" borderId="133" xfId="0" applyNumberFormat="1" applyFont="1" applyBorder="1" applyAlignment="1">
      <alignment horizontal="right"/>
    </xf>
    <xf numFmtId="167" fontId="5" fillId="0" borderId="133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177" fontId="5" fillId="0" borderId="133" xfId="0" applyNumberFormat="1" applyFont="1" applyBorder="1" applyAlignment="1">
      <alignment horizontal="right"/>
    </xf>
    <xf numFmtId="4" fontId="5" fillId="0" borderId="133" xfId="0" applyNumberFormat="1" applyFont="1" applyBorder="1" applyAlignment="1">
      <alignment horizontal="right"/>
    </xf>
    <xf numFmtId="3" fontId="5" fillId="0" borderId="133" xfId="0" applyNumberFormat="1" applyFont="1" applyBorder="1"/>
    <xf numFmtId="3" fontId="11" fillId="0" borderId="101" xfId="0" applyNumberFormat="1" applyFont="1" applyBorder="1" applyAlignment="1">
      <alignment horizontal="center"/>
    </xf>
    <xf numFmtId="167" fontId="11" fillId="0" borderId="102" xfId="0" applyNumberFormat="1" applyFont="1" applyBorder="1" applyAlignment="1">
      <alignment horizontal="right"/>
    </xf>
    <xf numFmtId="3" fontId="12" fillId="0" borderId="133" xfId="0" applyNumberFormat="1" applyFont="1" applyBorder="1"/>
    <xf numFmtId="167" fontId="12" fillId="0" borderId="133" xfId="0" applyNumberFormat="1" applyFont="1" applyBorder="1"/>
    <xf numFmtId="167" fontId="12" fillId="0" borderId="102" xfId="0" applyNumberFormat="1" applyFont="1" applyBorder="1"/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3" fontId="35" fillId="0" borderId="133" xfId="0" applyNumberFormat="1" applyFont="1" applyBorder="1"/>
    <xf numFmtId="167" fontId="35" fillId="0" borderId="133" xfId="0" applyNumberFormat="1" applyFont="1" applyBorder="1"/>
    <xf numFmtId="167" fontId="35" fillId="0" borderId="102" xfId="0" applyNumberFormat="1" applyFont="1" applyBorder="1"/>
    <xf numFmtId="0" fontId="5" fillId="0" borderId="133" xfId="0" applyFont="1" applyBorder="1"/>
    <xf numFmtId="9" fontId="35" fillId="0" borderId="133" xfId="0" applyNumberFormat="1" applyFont="1" applyBorder="1"/>
    <xf numFmtId="3" fontId="35" fillId="0" borderId="133" xfId="0" applyNumberFormat="1" applyFont="1" applyBorder="1" applyAlignment="1">
      <alignment horizontal="right"/>
    </xf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7" fontId="35" fillId="0" borderId="52" xfId="0" applyNumberFormat="1" applyFont="1" applyBorder="1"/>
    <xf numFmtId="167" fontId="35" fillId="0" borderId="53" xfId="0" applyNumberFormat="1" applyFont="1" applyBorder="1"/>
    <xf numFmtId="3" fontId="12" fillId="0" borderId="52" xfId="0" applyNumberFormat="1" applyFont="1" applyBorder="1" applyAlignment="1">
      <alignment horizontal="right"/>
    </xf>
    <xf numFmtId="167" fontId="12" fillId="0" borderId="52" xfId="0" applyNumberFormat="1" applyFont="1" applyBorder="1" applyAlignment="1">
      <alignment horizontal="right"/>
    </xf>
    <xf numFmtId="167" fontId="12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7" fontId="5" fillId="0" borderId="52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48" xfId="0" applyNumberFormat="1" applyFont="1" applyBorder="1" applyAlignment="1">
      <alignment horizontal="center"/>
    </xf>
    <xf numFmtId="3" fontId="12" fillId="0" borderId="149" xfId="0" applyNumberFormat="1" applyFont="1" applyBorder="1"/>
    <xf numFmtId="167" fontId="12" fillId="0" borderId="149" xfId="0" applyNumberFormat="1" applyFont="1" applyBorder="1"/>
    <xf numFmtId="167" fontId="12" fillId="0" borderId="150" xfId="0" applyNumberFormat="1" applyFont="1" applyBorder="1"/>
    <xf numFmtId="3" fontId="35" fillId="0" borderId="149" xfId="0" applyNumberFormat="1" applyFont="1" applyBorder="1" applyAlignment="1">
      <alignment horizontal="right"/>
    </xf>
    <xf numFmtId="167" fontId="5" fillId="0" borderId="149" xfId="0" applyNumberFormat="1" applyFont="1" applyBorder="1" applyAlignment="1">
      <alignment horizontal="right"/>
    </xf>
    <xf numFmtId="167" fontId="5" fillId="0" borderId="150" xfId="0" applyNumberFormat="1" applyFont="1" applyBorder="1" applyAlignment="1">
      <alignment horizontal="right"/>
    </xf>
    <xf numFmtId="3" fontId="5" fillId="0" borderId="149" xfId="0" applyNumberFormat="1" applyFont="1" applyBorder="1" applyAlignment="1">
      <alignment horizontal="right"/>
    </xf>
    <xf numFmtId="177" fontId="5" fillId="0" borderId="149" xfId="0" applyNumberFormat="1" applyFont="1" applyBorder="1" applyAlignment="1">
      <alignment horizontal="right"/>
    </xf>
    <xf numFmtId="4" fontId="5" fillId="0" borderId="149" xfId="0" applyNumberFormat="1" applyFont="1" applyBorder="1" applyAlignment="1">
      <alignment horizontal="right"/>
    </xf>
    <xf numFmtId="0" fontId="5" fillId="0" borderId="149" xfId="0" applyFont="1" applyBorder="1"/>
    <xf numFmtId="3" fontId="5" fillId="0" borderId="149" xfId="0" applyNumberFormat="1" applyFont="1" applyBorder="1"/>
    <xf numFmtId="3" fontId="35" fillId="0" borderId="149" xfId="0" applyNumberFormat="1" applyFont="1" applyBorder="1"/>
    <xf numFmtId="9" fontId="35" fillId="0" borderId="149" xfId="0" applyNumberFormat="1" applyFont="1" applyBorder="1"/>
    <xf numFmtId="3" fontId="11" fillId="0" borderId="148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51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21" xfId="76" applyNumberFormat="1" applyFont="1" applyFill="1" applyBorder="1"/>
    <xf numFmtId="170" fontId="32" fillId="0" borderId="29" xfId="76" applyNumberFormat="1" applyFont="1" applyFill="1" applyBorder="1"/>
    <xf numFmtId="0" fontId="34" fillId="2" borderId="105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1.096122081238619</c:v>
                </c:pt>
                <c:pt idx="1">
                  <c:v>1.851659173212282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587904"/>
        <c:axId val="9645902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1.5323423640749678</c:v>
                </c:pt>
                <c:pt idx="1">
                  <c:v>1.5323423640749678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028032"/>
        <c:axId val="976029952"/>
      </c:scatterChart>
      <c:catAx>
        <c:axId val="96458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459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590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4587904"/>
        <c:crosses val="autoZero"/>
        <c:crossBetween val="between"/>
      </c:valAx>
      <c:valAx>
        <c:axId val="9760280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6029952"/>
        <c:crosses val="max"/>
        <c:crossBetween val="midCat"/>
      </c:valAx>
      <c:valAx>
        <c:axId val="976029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60280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2.6907611744903686</c:v>
                </c:pt>
                <c:pt idx="1">
                  <c:v>2.7156769880171785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84768"/>
        <c:axId val="100558707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493632"/>
        <c:axId val="1043495168"/>
      </c:scatterChart>
      <c:catAx>
        <c:axId val="100558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558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870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05584768"/>
        <c:crosses val="autoZero"/>
        <c:crossBetween val="between"/>
      </c:valAx>
      <c:valAx>
        <c:axId val="10434936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43495168"/>
        <c:crosses val="max"/>
        <c:crossBetween val="midCat"/>
      </c:valAx>
      <c:valAx>
        <c:axId val="104349516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434936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60" bestFit="1" customWidth="1"/>
    <col min="2" max="2" width="98.6640625" style="260" customWidth="1"/>
    <col min="3" max="3" width="16.109375" style="51" hidden="1" customWidth="1"/>
    <col min="4" max="16384" width="8.88671875" style="260"/>
  </cols>
  <sheetData>
    <row r="1" spans="1:3" ht="18.600000000000001" customHeight="1" thickBot="1" x14ac:dyDescent="0.4">
      <c r="A1" s="462" t="s">
        <v>136</v>
      </c>
      <c r="B1" s="462"/>
    </row>
    <row r="2" spans="1:3" ht="14.4" customHeight="1" thickBot="1" x14ac:dyDescent="0.35">
      <c r="A2" s="389" t="s">
        <v>298</v>
      </c>
      <c r="B2" s="50"/>
    </row>
    <row r="3" spans="1:3" ht="14.4" customHeight="1" thickBot="1" x14ac:dyDescent="0.35">
      <c r="A3" s="458" t="s">
        <v>186</v>
      </c>
      <c r="B3" s="459"/>
    </row>
    <row r="4" spans="1:3" ht="14.4" customHeight="1" x14ac:dyDescent="0.3">
      <c r="A4" s="277" t="str">
        <f t="shared" ref="A4:A8" si="0">HYPERLINK("#'"&amp;C4&amp;"'!A1",C4)</f>
        <v>Motivace</v>
      </c>
      <c r="B4" s="182" t="s">
        <v>155</v>
      </c>
      <c r="C4" s="51" t="s">
        <v>156</v>
      </c>
    </row>
    <row r="5" spans="1:3" ht="14.4" customHeight="1" x14ac:dyDescent="0.3">
      <c r="A5" s="278" t="str">
        <f t="shared" si="0"/>
        <v>HI</v>
      </c>
      <c r="B5" s="183" t="s">
        <v>179</v>
      </c>
      <c r="C5" s="51" t="s">
        <v>140</v>
      </c>
    </row>
    <row r="6" spans="1:3" ht="14.4" customHeight="1" x14ac:dyDescent="0.3">
      <c r="A6" s="279" t="str">
        <f t="shared" si="0"/>
        <v>HI Graf</v>
      </c>
      <c r="B6" s="184" t="s">
        <v>132</v>
      </c>
      <c r="C6" s="51" t="s">
        <v>141</v>
      </c>
    </row>
    <row r="7" spans="1:3" ht="14.4" customHeight="1" x14ac:dyDescent="0.3">
      <c r="A7" s="279" t="str">
        <f t="shared" si="0"/>
        <v>Man Tab</v>
      </c>
      <c r="B7" s="184" t="s">
        <v>300</v>
      </c>
      <c r="C7" s="51" t="s">
        <v>142</v>
      </c>
    </row>
    <row r="8" spans="1:3" ht="14.4" customHeight="1" thickBot="1" x14ac:dyDescent="0.35">
      <c r="A8" s="280" t="str">
        <f t="shared" si="0"/>
        <v>HV</v>
      </c>
      <c r="B8" s="185" t="s">
        <v>64</v>
      </c>
      <c r="C8" s="51" t="s">
        <v>69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0" t="s">
        <v>137</v>
      </c>
      <c r="B10" s="459"/>
    </row>
    <row r="11" spans="1:3" ht="14.4" customHeight="1" x14ac:dyDescent="0.3">
      <c r="A11" s="281" t="str">
        <f t="shared" ref="A11:A22" si="1">HYPERLINK("#'"&amp;C11&amp;"'!A1",C11)</f>
        <v>Léky Žádanky</v>
      </c>
      <c r="B11" s="183" t="s">
        <v>180</v>
      </c>
      <c r="C11" s="51" t="s">
        <v>143</v>
      </c>
    </row>
    <row r="12" spans="1:3" ht="14.4" customHeight="1" x14ac:dyDescent="0.3">
      <c r="A12" s="279" t="str">
        <f t="shared" si="1"/>
        <v>LŽ Detail</v>
      </c>
      <c r="B12" s="184" t="s">
        <v>212</v>
      </c>
      <c r="C12" s="51" t="s">
        <v>144</v>
      </c>
    </row>
    <row r="13" spans="1:3" ht="28.8" customHeight="1" x14ac:dyDescent="0.3">
      <c r="A13" s="279" t="str">
        <f t="shared" si="1"/>
        <v>LŽ PL</v>
      </c>
      <c r="B13" s="656" t="s">
        <v>214</v>
      </c>
      <c r="C13" s="51" t="s">
        <v>191</v>
      </c>
    </row>
    <row r="14" spans="1:3" ht="14.4" customHeight="1" x14ac:dyDescent="0.3">
      <c r="A14" s="279" t="str">
        <f t="shared" si="1"/>
        <v>LŽ PL Detail</v>
      </c>
      <c r="B14" s="184" t="s">
        <v>2084</v>
      </c>
      <c r="C14" s="51" t="s">
        <v>193</v>
      </c>
    </row>
    <row r="15" spans="1:3" ht="14.4" customHeight="1" x14ac:dyDescent="0.3">
      <c r="A15" s="279" t="str">
        <f t="shared" si="1"/>
        <v>Léky Recepty</v>
      </c>
      <c r="B15" s="184" t="s">
        <v>181</v>
      </c>
      <c r="C15" s="51" t="s">
        <v>145</v>
      </c>
    </row>
    <row r="16" spans="1:3" ht="14.4" customHeight="1" x14ac:dyDescent="0.3">
      <c r="A16" s="279" t="str">
        <f t="shared" si="1"/>
        <v>LRp Lékaři</v>
      </c>
      <c r="B16" s="184" t="s">
        <v>196</v>
      </c>
      <c r="C16" s="51" t="s">
        <v>197</v>
      </c>
    </row>
    <row r="17" spans="1:3" ht="14.4" customHeight="1" x14ac:dyDescent="0.3">
      <c r="A17" s="279" t="str">
        <f t="shared" si="1"/>
        <v>LRp Detail</v>
      </c>
      <c r="B17" s="184" t="s">
        <v>2661</v>
      </c>
      <c r="C17" s="51" t="s">
        <v>146</v>
      </c>
    </row>
    <row r="18" spans="1:3" ht="28.8" customHeight="1" x14ac:dyDescent="0.3">
      <c r="A18" s="279" t="str">
        <f t="shared" si="1"/>
        <v>LRp PL</v>
      </c>
      <c r="B18" s="656" t="s">
        <v>2662</v>
      </c>
      <c r="C18" s="51" t="s">
        <v>192</v>
      </c>
    </row>
    <row r="19" spans="1:3" ht="14.4" customHeight="1" x14ac:dyDescent="0.3">
      <c r="A19" s="279" t="str">
        <f>HYPERLINK("#'"&amp;C19&amp;"'!A1",C19)</f>
        <v>LRp PL Detail</v>
      </c>
      <c r="B19" s="184" t="s">
        <v>2693</v>
      </c>
      <c r="C19" s="51" t="s">
        <v>194</v>
      </c>
    </row>
    <row r="20" spans="1:3" ht="14.4" customHeight="1" x14ac:dyDescent="0.3">
      <c r="A20" s="281" t="str">
        <f t="shared" si="1"/>
        <v>Materiál Žádanky</v>
      </c>
      <c r="B20" s="184" t="s">
        <v>182</v>
      </c>
      <c r="C20" s="51" t="s">
        <v>147</v>
      </c>
    </row>
    <row r="21" spans="1:3" ht="14.4" customHeight="1" x14ac:dyDescent="0.3">
      <c r="A21" s="279" t="str">
        <f t="shared" si="1"/>
        <v>MŽ Detail</v>
      </c>
      <c r="B21" s="184" t="s">
        <v>2894</v>
      </c>
      <c r="C21" s="51" t="s">
        <v>148</v>
      </c>
    </row>
    <row r="22" spans="1:3" ht="14.4" customHeight="1" thickBot="1" x14ac:dyDescent="0.35">
      <c r="A22" s="281" t="str">
        <f t="shared" si="1"/>
        <v>Osobní náklady</v>
      </c>
      <c r="B22" s="184" t="s">
        <v>134</v>
      </c>
      <c r="C22" s="51" t="s">
        <v>149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61" t="s">
        <v>138</v>
      </c>
      <c r="B24" s="459"/>
    </row>
    <row r="25" spans="1:3" ht="14.4" customHeight="1" x14ac:dyDescent="0.3">
      <c r="A25" s="282" t="str">
        <f t="shared" ref="A25:A34" si="2">HYPERLINK("#'"&amp;C25&amp;"'!A1",C25)</f>
        <v>ZV Vykáz.-A</v>
      </c>
      <c r="B25" s="183" t="s">
        <v>2900</v>
      </c>
      <c r="C25" s="51" t="s">
        <v>157</v>
      </c>
    </row>
    <row r="26" spans="1:3" ht="14.4" customHeight="1" x14ac:dyDescent="0.3">
      <c r="A26" s="279" t="str">
        <f t="shared" si="2"/>
        <v>ZV Vykáz.-A Detail</v>
      </c>
      <c r="B26" s="184" t="s">
        <v>2941</v>
      </c>
      <c r="C26" s="51" t="s">
        <v>158</v>
      </c>
    </row>
    <row r="27" spans="1:3" ht="14.4" customHeight="1" x14ac:dyDescent="0.3">
      <c r="A27" s="279" t="str">
        <f t="shared" si="2"/>
        <v>ZV Vykáz.-H</v>
      </c>
      <c r="B27" s="184" t="s">
        <v>161</v>
      </c>
      <c r="C27" s="51" t="s">
        <v>159</v>
      </c>
    </row>
    <row r="28" spans="1:3" ht="14.4" customHeight="1" x14ac:dyDescent="0.3">
      <c r="A28" s="279" t="str">
        <f t="shared" si="2"/>
        <v>ZV Vykáz.-H Detail</v>
      </c>
      <c r="B28" s="184" t="s">
        <v>3065</v>
      </c>
      <c r="C28" s="51" t="s">
        <v>160</v>
      </c>
    </row>
    <row r="29" spans="1:3" ht="14.4" customHeight="1" x14ac:dyDescent="0.3">
      <c r="A29" s="282" t="str">
        <f t="shared" si="2"/>
        <v>CaseMix</v>
      </c>
      <c r="B29" s="184" t="s">
        <v>139</v>
      </c>
      <c r="C29" s="51" t="s">
        <v>150</v>
      </c>
    </row>
    <row r="30" spans="1:3" ht="14.4" customHeight="1" x14ac:dyDescent="0.3">
      <c r="A30" s="279" t="str">
        <f t="shared" si="2"/>
        <v>ALOS</v>
      </c>
      <c r="B30" s="184" t="s">
        <v>118</v>
      </c>
      <c r="C30" s="51" t="s">
        <v>89</v>
      </c>
    </row>
    <row r="31" spans="1:3" ht="14.4" customHeight="1" x14ac:dyDescent="0.3">
      <c r="A31" s="279" t="str">
        <f t="shared" si="2"/>
        <v>Total</v>
      </c>
      <c r="B31" s="184" t="s">
        <v>3349</v>
      </c>
      <c r="C31" s="51" t="s">
        <v>151</v>
      </c>
    </row>
    <row r="32" spans="1:3" ht="14.4" customHeight="1" x14ac:dyDescent="0.3">
      <c r="A32" s="279" t="str">
        <f t="shared" si="2"/>
        <v>ZV Vyžád.</v>
      </c>
      <c r="B32" s="184" t="s">
        <v>162</v>
      </c>
      <c r="C32" s="51" t="s">
        <v>154</v>
      </c>
    </row>
    <row r="33" spans="1:3" ht="14.4" customHeight="1" x14ac:dyDescent="0.3">
      <c r="A33" s="279" t="str">
        <f t="shared" si="2"/>
        <v>ZV Vyžád. Detail</v>
      </c>
      <c r="B33" s="184" t="s">
        <v>3754</v>
      </c>
      <c r="C33" s="51" t="s">
        <v>153</v>
      </c>
    </row>
    <row r="34" spans="1:3" ht="14.4" customHeight="1" thickBot="1" x14ac:dyDescent="0.35">
      <c r="A34" s="280" t="str">
        <f t="shared" si="2"/>
        <v>OD TISS</v>
      </c>
      <c r="B34" s="185" t="s">
        <v>185</v>
      </c>
      <c r="C34" s="51" t="s">
        <v>152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60" bestFit="1" customWidth="1"/>
    <col min="2" max="2" width="8.88671875" style="260" bestFit="1" customWidth="1"/>
    <col min="3" max="3" width="7" style="260" bestFit="1" customWidth="1"/>
    <col min="4" max="4" width="53.44140625" style="260" bestFit="1" customWidth="1"/>
    <col min="5" max="5" width="28.44140625" style="260" bestFit="1" customWidth="1"/>
    <col min="6" max="6" width="6.6640625" style="343" customWidth="1"/>
    <col min="7" max="7" width="10" style="343" customWidth="1"/>
    <col min="8" max="8" width="6.77734375" style="346" bestFit="1" customWidth="1"/>
    <col min="9" max="9" width="6.6640625" style="343" customWidth="1"/>
    <col min="10" max="10" width="10" style="343" customWidth="1"/>
    <col min="11" max="11" width="6.77734375" style="346" bestFit="1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2084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11</v>
      </c>
      <c r="G3" s="47">
        <f>SUBTOTAL(9,G6:G1048576)</f>
        <v>4998.37</v>
      </c>
      <c r="H3" s="48">
        <f>IF(M3=0,0,G3/M3)</f>
        <v>2.9612463502964086E-2</v>
      </c>
      <c r="I3" s="47">
        <f>SUBTOTAL(9,I6:I1048576)</f>
        <v>739</v>
      </c>
      <c r="J3" s="47">
        <f>SUBTOTAL(9,J6:J1048576)</f>
        <v>163794.40873992766</v>
      </c>
      <c r="K3" s="48">
        <f>IF(M3=0,0,J3/M3)</f>
        <v>0.97038753649703591</v>
      </c>
      <c r="L3" s="47">
        <f>SUBTOTAL(9,L6:L1048576)</f>
        <v>750</v>
      </c>
      <c r="M3" s="49">
        <f>SUBTOTAL(9,M6:M1048576)</f>
        <v>168792.77873992766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644" t="s">
        <v>166</v>
      </c>
      <c r="B5" s="664" t="s">
        <v>167</v>
      </c>
      <c r="C5" s="664" t="s">
        <v>93</v>
      </c>
      <c r="D5" s="664" t="s">
        <v>168</v>
      </c>
      <c r="E5" s="664" t="s">
        <v>169</v>
      </c>
      <c r="F5" s="665" t="s">
        <v>31</v>
      </c>
      <c r="G5" s="665" t="s">
        <v>17</v>
      </c>
      <c r="H5" s="646" t="s">
        <v>170</v>
      </c>
      <c r="I5" s="645" t="s">
        <v>31</v>
      </c>
      <c r="J5" s="665" t="s">
        <v>17</v>
      </c>
      <c r="K5" s="646" t="s">
        <v>170</v>
      </c>
      <c r="L5" s="645" t="s">
        <v>31</v>
      </c>
      <c r="M5" s="666" t="s">
        <v>17</v>
      </c>
    </row>
    <row r="6" spans="1:13" ht="14.4" customHeight="1" x14ac:dyDescent="0.3">
      <c r="A6" s="626" t="s">
        <v>511</v>
      </c>
      <c r="B6" s="627" t="s">
        <v>1972</v>
      </c>
      <c r="C6" s="627" t="s">
        <v>1273</v>
      </c>
      <c r="D6" s="627" t="s">
        <v>1274</v>
      </c>
      <c r="E6" s="627" t="s">
        <v>1275</v>
      </c>
      <c r="F6" s="630"/>
      <c r="G6" s="630"/>
      <c r="H6" s="649">
        <v>0</v>
      </c>
      <c r="I6" s="630">
        <v>1</v>
      </c>
      <c r="J6" s="630">
        <v>131.77000000000001</v>
      </c>
      <c r="K6" s="649">
        <v>1</v>
      </c>
      <c r="L6" s="630">
        <v>1</v>
      </c>
      <c r="M6" s="631">
        <v>131.77000000000001</v>
      </c>
    </row>
    <row r="7" spans="1:13" ht="14.4" customHeight="1" x14ac:dyDescent="0.3">
      <c r="A7" s="632" t="s">
        <v>511</v>
      </c>
      <c r="B7" s="633" t="s">
        <v>1973</v>
      </c>
      <c r="C7" s="633" t="s">
        <v>1543</v>
      </c>
      <c r="D7" s="633" t="s">
        <v>1482</v>
      </c>
      <c r="E7" s="633" t="s">
        <v>1974</v>
      </c>
      <c r="F7" s="636"/>
      <c r="G7" s="636"/>
      <c r="H7" s="657">
        <v>0</v>
      </c>
      <c r="I7" s="636">
        <v>15</v>
      </c>
      <c r="J7" s="636">
        <v>550.99999999999989</v>
      </c>
      <c r="K7" s="657">
        <v>1</v>
      </c>
      <c r="L7" s="636">
        <v>15</v>
      </c>
      <c r="M7" s="637">
        <v>550.99999999999989</v>
      </c>
    </row>
    <row r="8" spans="1:13" ht="14.4" customHeight="1" x14ac:dyDescent="0.3">
      <c r="A8" s="632" t="s">
        <v>511</v>
      </c>
      <c r="B8" s="633" t="s">
        <v>1973</v>
      </c>
      <c r="C8" s="633" t="s">
        <v>1481</v>
      </c>
      <c r="D8" s="633" t="s">
        <v>1482</v>
      </c>
      <c r="E8" s="633" t="s">
        <v>1483</v>
      </c>
      <c r="F8" s="636"/>
      <c r="G8" s="636"/>
      <c r="H8" s="657">
        <v>0</v>
      </c>
      <c r="I8" s="636">
        <v>3</v>
      </c>
      <c r="J8" s="636">
        <v>384.03</v>
      </c>
      <c r="K8" s="657">
        <v>1</v>
      </c>
      <c r="L8" s="636">
        <v>3</v>
      </c>
      <c r="M8" s="637">
        <v>384.03</v>
      </c>
    </row>
    <row r="9" spans="1:13" ht="14.4" customHeight="1" x14ac:dyDescent="0.3">
      <c r="A9" s="632" t="s">
        <v>511</v>
      </c>
      <c r="B9" s="633" t="s">
        <v>1973</v>
      </c>
      <c r="C9" s="633" t="s">
        <v>1546</v>
      </c>
      <c r="D9" s="633" t="s">
        <v>1547</v>
      </c>
      <c r="E9" s="633" t="s">
        <v>1975</v>
      </c>
      <c r="F9" s="636"/>
      <c r="G9" s="636"/>
      <c r="H9" s="657">
        <v>0</v>
      </c>
      <c r="I9" s="636">
        <v>3</v>
      </c>
      <c r="J9" s="636">
        <v>220.3195294470047</v>
      </c>
      <c r="K9" s="657">
        <v>1</v>
      </c>
      <c r="L9" s="636">
        <v>3</v>
      </c>
      <c r="M9" s="637">
        <v>220.3195294470047</v>
      </c>
    </row>
    <row r="10" spans="1:13" ht="14.4" customHeight="1" x14ac:dyDescent="0.3">
      <c r="A10" s="632" t="s">
        <v>511</v>
      </c>
      <c r="B10" s="633" t="s">
        <v>1973</v>
      </c>
      <c r="C10" s="633" t="s">
        <v>1662</v>
      </c>
      <c r="D10" s="633" t="s">
        <v>1663</v>
      </c>
      <c r="E10" s="633" t="s">
        <v>1664</v>
      </c>
      <c r="F10" s="636"/>
      <c r="G10" s="636"/>
      <c r="H10" s="657">
        <v>0</v>
      </c>
      <c r="I10" s="636">
        <v>50</v>
      </c>
      <c r="J10" s="636">
        <v>3545.4999999999991</v>
      </c>
      <c r="K10" s="657">
        <v>1</v>
      </c>
      <c r="L10" s="636">
        <v>50</v>
      </c>
      <c r="M10" s="637">
        <v>3545.4999999999991</v>
      </c>
    </row>
    <row r="11" spans="1:13" ht="14.4" customHeight="1" x14ac:dyDescent="0.3">
      <c r="A11" s="632" t="s">
        <v>511</v>
      </c>
      <c r="B11" s="633" t="s">
        <v>1976</v>
      </c>
      <c r="C11" s="633" t="s">
        <v>1550</v>
      </c>
      <c r="D11" s="633" t="s">
        <v>1977</v>
      </c>
      <c r="E11" s="633" t="s">
        <v>1978</v>
      </c>
      <c r="F11" s="636"/>
      <c r="G11" s="636"/>
      <c r="H11" s="657">
        <v>0</v>
      </c>
      <c r="I11" s="636">
        <v>2</v>
      </c>
      <c r="J11" s="636">
        <v>131.19999999999999</v>
      </c>
      <c r="K11" s="657">
        <v>1</v>
      </c>
      <c r="L11" s="636">
        <v>2</v>
      </c>
      <c r="M11" s="637">
        <v>131.19999999999999</v>
      </c>
    </row>
    <row r="12" spans="1:13" ht="14.4" customHeight="1" x14ac:dyDescent="0.3">
      <c r="A12" s="632" t="s">
        <v>511</v>
      </c>
      <c r="B12" s="633" t="s">
        <v>1979</v>
      </c>
      <c r="C12" s="633" t="s">
        <v>1576</v>
      </c>
      <c r="D12" s="633" t="s">
        <v>1577</v>
      </c>
      <c r="E12" s="633" t="s">
        <v>1578</v>
      </c>
      <c r="F12" s="636"/>
      <c r="G12" s="636"/>
      <c r="H12" s="657">
        <v>0</v>
      </c>
      <c r="I12" s="636">
        <v>2</v>
      </c>
      <c r="J12" s="636">
        <v>130.69999999999999</v>
      </c>
      <c r="K12" s="657">
        <v>1</v>
      </c>
      <c r="L12" s="636">
        <v>2</v>
      </c>
      <c r="M12" s="637">
        <v>130.69999999999999</v>
      </c>
    </row>
    <row r="13" spans="1:13" ht="14.4" customHeight="1" x14ac:dyDescent="0.3">
      <c r="A13" s="632" t="s">
        <v>511</v>
      </c>
      <c r="B13" s="633" t="s">
        <v>1979</v>
      </c>
      <c r="C13" s="633" t="s">
        <v>1728</v>
      </c>
      <c r="D13" s="633" t="s">
        <v>1577</v>
      </c>
      <c r="E13" s="633" t="s">
        <v>1729</v>
      </c>
      <c r="F13" s="636"/>
      <c r="G13" s="636"/>
      <c r="H13" s="657">
        <v>0</v>
      </c>
      <c r="I13" s="636">
        <v>2</v>
      </c>
      <c r="J13" s="636">
        <v>256.68052891159027</v>
      </c>
      <c r="K13" s="657">
        <v>1</v>
      </c>
      <c r="L13" s="636">
        <v>2</v>
      </c>
      <c r="M13" s="637">
        <v>256.68052891159027</v>
      </c>
    </row>
    <row r="14" spans="1:13" ht="14.4" customHeight="1" x14ac:dyDescent="0.3">
      <c r="A14" s="632" t="s">
        <v>511</v>
      </c>
      <c r="B14" s="633" t="s">
        <v>1980</v>
      </c>
      <c r="C14" s="633" t="s">
        <v>1532</v>
      </c>
      <c r="D14" s="633" t="s">
        <v>1533</v>
      </c>
      <c r="E14" s="633" t="s">
        <v>1534</v>
      </c>
      <c r="F14" s="636"/>
      <c r="G14" s="636"/>
      <c r="H14" s="657">
        <v>0</v>
      </c>
      <c r="I14" s="636">
        <v>4</v>
      </c>
      <c r="J14" s="636">
        <v>462.64730681310232</v>
      </c>
      <c r="K14" s="657">
        <v>1</v>
      </c>
      <c r="L14" s="636">
        <v>4</v>
      </c>
      <c r="M14" s="637">
        <v>462.64730681310232</v>
      </c>
    </row>
    <row r="15" spans="1:13" ht="14.4" customHeight="1" x14ac:dyDescent="0.3">
      <c r="A15" s="632" t="s">
        <v>511</v>
      </c>
      <c r="B15" s="633" t="s">
        <v>1981</v>
      </c>
      <c r="C15" s="633" t="s">
        <v>522</v>
      </c>
      <c r="D15" s="633" t="s">
        <v>523</v>
      </c>
      <c r="E15" s="633" t="s">
        <v>1356</v>
      </c>
      <c r="F15" s="636">
        <v>2</v>
      </c>
      <c r="G15" s="636">
        <v>1100.9099999999999</v>
      </c>
      <c r="H15" s="657">
        <v>1</v>
      </c>
      <c r="I15" s="636"/>
      <c r="J15" s="636"/>
      <c r="K15" s="657">
        <v>0</v>
      </c>
      <c r="L15" s="636">
        <v>2</v>
      </c>
      <c r="M15" s="637">
        <v>1100.9099999999999</v>
      </c>
    </row>
    <row r="16" spans="1:13" ht="14.4" customHeight="1" x14ac:dyDescent="0.3">
      <c r="A16" s="632" t="s">
        <v>511</v>
      </c>
      <c r="B16" s="633" t="s">
        <v>1982</v>
      </c>
      <c r="C16" s="633" t="s">
        <v>1696</v>
      </c>
      <c r="D16" s="633" t="s">
        <v>1697</v>
      </c>
      <c r="E16" s="633" t="s">
        <v>1698</v>
      </c>
      <c r="F16" s="636"/>
      <c r="G16" s="636"/>
      <c r="H16" s="657">
        <v>0</v>
      </c>
      <c r="I16" s="636">
        <v>1</v>
      </c>
      <c r="J16" s="636">
        <v>799.86</v>
      </c>
      <c r="K16" s="657">
        <v>1</v>
      </c>
      <c r="L16" s="636">
        <v>1</v>
      </c>
      <c r="M16" s="637">
        <v>799.86</v>
      </c>
    </row>
    <row r="17" spans="1:13" ht="14.4" customHeight="1" x14ac:dyDescent="0.3">
      <c r="A17" s="632" t="s">
        <v>511</v>
      </c>
      <c r="B17" s="633" t="s">
        <v>1983</v>
      </c>
      <c r="C17" s="633" t="s">
        <v>1744</v>
      </c>
      <c r="D17" s="633" t="s">
        <v>1514</v>
      </c>
      <c r="E17" s="633" t="s">
        <v>1745</v>
      </c>
      <c r="F17" s="636">
        <v>1</v>
      </c>
      <c r="G17" s="636">
        <v>103.97</v>
      </c>
      <c r="H17" s="657">
        <v>1</v>
      </c>
      <c r="I17" s="636"/>
      <c r="J17" s="636"/>
      <c r="K17" s="657">
        <v>0</v>
      </c>
      <c r="L17" s="636">
        <v>1</v>
      </c>
      <c r="M17" s="637">
        <v>103.97</v>
      </c>
    </row>
    <row r="18" spans="1:13" ht="14.4" customHeight="1" x14ac:dyDescent="0.3">
      <c r="A18" s="632" t="s">
        <v>511</v>
      </c>
      <c r="B18" s="633" t="s">
        <v>1983</v>
      </c>
      <c r="C18" s="633" t="s">
        <v>1554</v>
      </c>
      <c r="D18" s="633" t="s">
        <v>1555</v>
      </c>
      <c r="E18" s="633" t="s">
        <v>1984</v>
      </c>
      <c r="F18" s="636"/>
      <c r="G18" s="636"/>
      <c r="H18" s="657">
        <v>0</v>
      </c>
      <c r="I18" s="636">
        <v>4</v>
      </c>
      <c r="J18" s="636">
        <v>306.56036554821014</v>
      </c>
      <c r="K18" s="657">
        <v>1</v>
      </c>
      <c r="L18" s="636">
        <v>4</v>
      </c>
      <c r="M18" s="637">
        <v>306.56036554821014</v>
      </c>
    </row>
    <row r="19" spans="1:13" ht="14.4" customHeight="1" x14ac:dyDescent="0.3">
      <c r="A19" s="632" t="s">
        <v>511</v>
      </c>
      <c r="B19" s="633" t="s">
        <v>1985</v>
      </c>
      <c r="C19" s="633" t="s">
        <v>1622</v>
      </c>
      <c r="D19" s="633" t="s">
        <v>1623</v>
      </c>
      <c r="E19" s="633" t="s">
        <v>1624</v>
      </c>
      <c r="F19" s="636"/>
      <c r="G19" s="636"/>
      <c r="H19" s="657">
        <v>0</v>
      </c>
      <c r="I19" s="636">
        <v>2</v>
      </c>
      <c r="J19" s="636">
        <v>47.940487022098999</v>
      </c>
      <c r="K19" s="657">
        <v>1</v>
      </c>
      <c r="L19" s="636">
        <v>2</v>
      </c>
      <c r="M19" s="637">
        <v>47.940487022098999</v>
      </c>
    </row>
    <row r="20" spans="1:13" ht="14.4" customHeight="1" x14ac:dyDescent="0.3">
      <c r="A20" s="632" t="s">
        <v>511</v>
      </c>
      <c r="B20" s="633" t="s">
        <v>1986</v>
      </c>
      <c r="C20" s="633" t="s">
        <v>1586</v>
      </c>
      <c r="D20" s="633" t="s">
        <v>1587</v>
      </c>
      <c r="E20" s="633" t="s">
        <v>1588</v>
      </c>
      <c r="F20" s="636"/>
      <c r="G20" s="636"/>
      <c r="H20" s="657">
        <v>0</v>
      </c>
      <c r="I20" s="636">
        <v>1</v>
      </c>
      <c r="J20" s="636">
        <v>98.969999999999956</v>
      </c>
      <c r="K20" s="657">
        <v>1</v>
      </c>
      <c r="L20" s="636">
        <v>1</v>
      </c>
      <c r="M20" s="637">
        <v>98.969999999999956</v>
      </c>
    </row>
    <row r="21" spans="1:13" ht="14.4" customHeight="1" x14ac:dyDescent="0.3">
      <c r="A21" s="632" t="s">
        <v>511</v>
      </c>
      <c r="B21" s="633" t="s">
        <v>1986</v>
      </c>
      <c r="C21" s="633" t="s">
        <v>1672</v>
      </c>
      <c r="D21" s="633" t="s">
        <v>1987</v>
      </c>
      <c r="E21" s="633" t="s">
        <v>1988</v>
      </c>
      <c r="F21" s="636"/>
      <c r="G21" s="636"/>
      <c r="H21" s="657">
        <v>0</v>
      </c>
      <c r="I21" s="636">
        <v>2</v>
      </c>
      <c r="J21" s="636">
        <v>234.27999999999997</v>
      </c>
      <c r="K21" s="657">
        <v>1</v>
      </c>
      <c r="L21" s="636">
        <v>2</v>
      </c>
      <c r="M21" s="637">
        <v>234.27999999999997</v>
      </c>
    </row>
    <row r="22" spans="1:13" ht="14.4" customHeight="1" x14ac:dyDescent="0.3">
      <c r="A22" s="632" t="s">
        <v>511</v>
      </c>
      <c r="B22" s="633" t="s">
        <v>1986</v>
      </c>
      <c r="C22" s="633" t="s">
        <v>1601</v>
      </c>
      <c r="D22" s="633" t="s">
        <v>1989</v>
      </c>
      <c r="E22" s="633" t="s">
        <v>1990</v>
      </c>
      <c r="F22" s="636"/>
      <c r="G22" s="636"/>
      <c r="H22" s="657">
        <v>0</v>
      </c>
      <c r="I22" s="636">
        <v>1</v>
      </c>
      <c r="J22" s="636">
        <v>145.07</v>
      </c>
      <c r="K22" s="657">
        <v>1</v>
      </c>
      <c r="L22" s="636">
        <v>1</v>
      </c>
      <c r="M22" s="637">
        <v>145.07</v>
      </c>
    </row>
    <row r="23" spans="1:13" ht="14.4" customHeight="1" x14ac:dyDescent="0.3">
      <c r="A23" s="632" t="s">
        <v>511</v>
      </c>
      <c r="B23" s="633" t="s">
        <v>1991</v>
      </c>
      <c r="C23" s="633" t="s">
        <v>1700</v>
      </c>
      <c r="D23" s="633" t="s">
        <v>1518</v>
      </c>
      <c r="E23" s="633" t="s">
        <v>1701</v>
      </c>
      <c r="F23" s="636"/>
      <c r="G23" s="636"/>
      <c r="H23" s="657">
        <v>0</v>
      </c>
      <c r="I23" s="636">
        <v>43</v>
      </c>
      <c r="J23" s="636">
        <v>15329.477765355561</v>
      </c>
      <c r="K23" s="657">
        <v>1</v>
      </c>
      <c r="L23" s="636">
        <v>43</v>
      </c>
      <c r="M23" s="637">
        <v>15329.477765355561</v>
      </c>
    </row>
    <row r="24" spans="1:13" ht="14.4" customHeight="1" x14ac:dyDescent="0.3">
      <c r="A24" s="632" t="s">
        <v>511</v>
      </c>
      <c r="B24" s="633" t="s">
        <v>1991</v>
      </c>
      <c r="C24" s="633" t="s">
        <v>1703</v>
      </c>
      <c r="D24" s="633" t="s">
        <v>1518</v>
      </c>
      <c r="E24" s="633" t="s">
        <v>1704</v>
      </c>
      <c r="F24" s="636"/>
      <c r="G24" s="636"/>
      <c r="H24" s="657">
        <v>0</v>
      </c>
      <c r="I24" s="636">
        <v>91</v>
      </c>
      <c r="J24" s="636">
        <v>37673.893925389217</v>
      </c>
      <c r="K24" s="657">
        <v>1</v>
      </c>
      <c r="L24" s="636">
        <v>91</v>
      </c>
      <c r="M24" s="637">
        <v>37673.893925389217</v>
      </c>
    </row>
    <row r="25" spans="1:13" ht="14.4" customHeight="1" x14ac:dyDescent="0.3">
      <c r="A25" s="632" t="s">
        <v>511</v>
      </c>
      <c r="B25" s="633" t="s">
        <v>1991</v>
      </c>
      <c r="C25" s="633" t="s">
        <v>1517</v>
      </c>
      <c r="D25" s="633" t="s">
        <v>1518</v>
      </c>
      <c r="E25" s="633" t="s">
        <v>1519</v>
      </c>
      <c r="F25" s="636"/>
      <c r="G25" s="636"/>
      <c r="H25" s="657">
        <v>0</v>
      </c>
      <c r="I25" s="636">
        <v>54</v>
      </c>
      <c r="J25" s="636">
        <v>26578.758352571931</v>
      </c>
      <c r="K25" s="657">
        <v>1</v>
      </c>
      <c r="L25" s="636">
        <v>54</v>
      </c>
      <c r="M25" s="637">
        <v>26578.758352571931</v>
      </c>
    </row>
    <row r="26" spans="1:13" ht="14.4" customHeight="1" x14ac:dyDescent="0.3">
      <c r="A26" s="632" t="s">
        <v>511</v>
      </c>
      <c r="B26" s="633" t="s">
        <v>1991</v>
      </c>
      <c r="C26" s="633" t="s">
        <v>1521</v>
      </c>
      <c r="D26" s="633" t="s">
        <v>1518</v>
      </c>
      <c r="E26" s="633" t="s">
        <v>1522</v>
      </c>
      <c r="F26" s="636"/>
      <c r="G26" s="636"/>
      <c r="H26" s="657">
        <v>0</v>
      </c>
      <c r="I26" s="636">
        <v>5</v>
      </c>
      <c r="J26" s="636">
        <v>4714.9939531355985</v>
      </c>
      <c r="K26" s="657">
        <v>1</v>
      </c>
      <c r="L26" s="636">
        <v>5</v>
      </c>
      <c r="M26" s="637">
        <v>4714.9939531355985</v>
      </c>
    </row>
    <row r="27" spans="1:13" ht="14.4" customHeight="1" x14ac:dyDescent="0.3">
      <c r="A27" s="632" t="s">
        <v>511</v>
      </c>
      <c r="B27" s="633" t="s">
        <v>1991</v>
      </c>
      <c r="C27" s="633" t="s">
        <v>1570</v>
      </c>
      <c r="D27" s="633" t="s">
        <v>1571</v>
      </c>
      <c r="E27" s="633" t="s">
        <v>1519</v>
      </c>
      <c r="F27" s="636"/>
      <c r="G27" s="636"/>
      <c r="H27" s="657">
        <v>0</v>
      </c>
      <c r="I27" s="636">
        <v>3</v>
      </c>
      <c r="J27" s="636">
        <v>4356.18</v>
      </c>
      <c r="K27" s="657">
        <v>1</v>
      </c>
      <c r="L27" s="636">
        <v>3</v>
      </c>
      <c r="M27" s="637">
        <v>4356.18</v>
      </c>
    </row>
    <row r="28" spans="1:13" ht="14.4" customHeight="1" x14ac:dyDescent="0.3">
      <c r="A28" s="632" t="s">
        <v>511</v>
      </c>
      <c r="B28" s="633" t="s">
        <v>1992</v>
      </c>
      <c r="C28" s="633" t="s">
        <v>982</v>
      </c>
      <c r="D28" s="633" t="s">
        <v>983</v>
      </c>
      <c r="E28" s="633" t="s">
        <v>984</v>
      </c>
      <c r="F28" s="636"/>
      <c r="G28" s="636"/>
      <c r="H28" s="657">
        <v>0</v>
      </c>
      <c r="I28" s="636">
        <v>6</v>
      </c>
      <c r="J28" s="636">
        <v>605.27978437338982</v>
      </c>
      <c r="K28" s="657">
        <v>1</v>
      </c>
      <c r="L28" s="636">
        <v>6</v>
      </c>
      <c r="M28" s="637">
        <v>605.27978437338982</v>
      </c>
    </row>
    <row r="29" spans="1:13" ht="14.4" customHeight="1" x14ac:dyDescent="0.3">
      <c r="A29" s="632" t="s">
        <v>511</v>
      </c>
      <c r="B29" s="633" t="s">
        <v>1993</v>
      </c>
      <c r="C29" s="633" t="s">
        <v>1642</v>
      </c>
      <c r="D29" s="633" t="s">
        <v>1643</v>
      </c>
      <c r="E29" s="633" t="s">
        <v>1644</v>
      </c>
      <c r="F29" s="636"/>
      <c r="G29" s="636"/>
      <c r="H29" s="657">
        <v>0</v>
      </c>
      <c r="I29" s="636">
        <v>1</v>
      </c>
      <c r="J29" s="636">
        <v>1200.1100000000001</v>
      </c>
      <c r="K29" s="657">
        <v>1</v>
      </c>
      <c r="L29" s="636">
        <v>1</v>
      </c>
      <c r="M29" s="637">
        <v>1200.1100000000001</v>
      </c>
    </row>
    <row r="30" spans="1:13" ht="14.4" customHeight="1" x14ac:dyDescent="0.3">
      <c r="A30" s="632" t="s">
        <v>511</v>
      </c>
      <c r="B30" s="633" t="s">
        <v>1994</v>
      </c>
      <c r="C30" s="633" t="s">
        <v>1616</v>
      </c>
      <c r="D30" s="633" t="s">
        <v>1500</v>
      </c>
      <c r="E30" s="633" t="s">
        <v>1617</v>
      </c>
      <c r="F30" s="636"/>
      <c r="G30" s="636"/>
      <c r="H30" s="657">
        <v>0</v>
      </c>
      <c r="I30" s="636">
        <v>1</v>
      </c>
      <c r="J30" s="636">
        <v>135.21027216562226</v>
      </c>
      <c r="K30" s="657">
        <v>1</v>
      </c>
      <c r="L30" s="636">
        <v>1</v>
      </c>
      <c r="M30" s="637">
        <v>135.21027216562226</v>
      </c>
    </row>
    <row r="31" spans="1:13" ht="14.4" customHeight="1" x14ac:dyDescent="0.3">
      <c r="A31" s="632" t="s">
        <v>511</v>
      </c>
      <c r="B31" s="633" t="s">
        <v>1994</v>
      </c>
      <c r="C31" s="633" t="s">
        <v>1499</v>
      </c>
      <c r="D31" s="633" t="s">
        <v>1500</v>
      </c>
      <c r="E31" s="633" t="s">
        <v>1995</v>
      </c>
      <c r="F31" s="636"/>
      <c r="G31" s="636"/>
      <c r="H31" s="657">
        <v>0</v>
      </c>
      <c r="I31" s="636">
        <v>4</v>
      </c>
      <c r="J31" s="636">
        <v>188.95970795323507</v>
      </c>
      <c r="K31" s="657">
        <v>1</v>
      </c>
      <c r="L31" s="636">
        <v>4</v>
      </c>
      <c r="M31" s="637">
        <v>188.95970795323507</v>
      </c>
    </row>
    <row r="32" spans="1:13" ht="14.4" customHeight="1" x14ac:dyDescent="0.3">
      <c r="A32" s="632" t="s">
        <v>511</v>
      </c>
      <c r="B32" s="633" t="s">
        <v>1994</v>
      </c>
      <c r="C32" s="633" t="s">
        <v>1503</v>
      </c>
      <c r="D32" s="633" t="s">
        <v>1500</v>
      </c>
      <c r="E32" s="633" t="s">
        <v>1996</v>
      </c>
      <c r="F32" s="636"/>
      <c r="G32" s="636"/>
      <c r="H32" s="657">
        <v>0</v>
      </c>
      <c r="I32" s="636">
        <v>1</v>
      </c>
      <c r="J32" s="636">
        <v>94.479836316639407</v>
      </c>
      <c r="K32" s="657">
        <v>1</v>
      </c>
      <c r="L32" s="636">
        <v>1</v>
      </c>
      <c r="M32" s="637">
        <v>94.479836316639407</v>
      </c>
    </row>
    <row r="33" spans="1:13" ht="14.4" customHeight="1" x14ac:dyDescent="0.3">
      <c r="A33" s="632" t="s">
        <v>511</v>
      </c>
      <c r="B33" s="633" t="s">
        <v>1997</v>
      </c>
      <c r="C33" s="633" t="s">
        <v>518</v>
      </c>
      <c r="D33" s="633" t="s">
        <v>519</v>
      </c>
      <c r="E33" s="633" t="s">
        <v>1641</v>
      </c>
      <c r="F33" s="636">
        <v>1</v>
      </c>
      <c r="G33" s="636">
        <v>197.49</v>
      </c>
      <c r="H33" s="657">
        <v>1</v>
      </c>
      <c r="I33" s="636"/>
      <c r="J33" s="636"/>
      <c r="K33" s="657">
        <v>0</v>
      </c>
      <c r="L33" s="636">
        <v>1</v>
      </c>
      <c r="M33" s="637">
        <v>197.49</v>
      </c>
    </row>
    <row r="34" spans="1:13" ht="14.4" customHeight="1" x14ac:dyDescent="0.3">
      <c r="A34" s="632" t="s">
        <v>511</v>
      </c>
      <c r="B34" s="633" t="s">
        <v>1998</v>
      </c>
      <c r="C34" s="633" t="s">
        <v>971</v>
      </c>
      <c r="D34" s="633" t="s">
        <v>972</v>
      </c>
      <c r="E34" s="633" t="s">
        <v>973</v>
      </c>
      <c r="F34" s="636"/>
      <c r="G34" s="636"/>
      <c r="H34" s="657">
        <v>0</v>
      </c>
      <c r="I34" s="636">
        <v>1</v>
      </c>
      <c r="J34" s="636">
        <v>115.09</v>
      </c>
      <c r="K34" s="657">
        <v>1</v>
      </c>
      <c r="L34" s="636">
        <v>1</v>
      </c>
      <c r="M34" s="637">
        <v>115.09</v>
      </c>
    </row>
    <row r="35" spans="1:13" ht="14.4" customHeight="1" x14ac:dyDescent="0.3">
      <c r="A35" s="632" t="s">
        <v>511</v>
      </c>
      <c r="B35" s="633" t="s">
        <v>1999</v>
      </c>
      <c r="C35" s="633" t="s">
        <v>1536</v>
      </c>
      <c r="D35" s="633" t="s">
        <v>1537</v>
      </c>
      <c r="E35" s="633" t="s">
        <v>1538</v>
      </c>
      <c r="F35" s="636"/>
      <c r="G35" s="636"/>
      <c r="H35" s="657">
        <v>0</v>
      </c>
      <c r="I35" s="636">
        <v>8</v>
      </c>
      <c r="J35" s="636">
        <v>364.67117674125404</v>
      </c>
      <c r="K35" s="657">
        <v>1</v>
      </c>
      <c r="L35" s="636">
        <v>8</v>
      </c>
      <c r="M35" s="637">
        <v>364.67117674125404</v>
      </c>
    </row>
    <row r="36" spans="1:13" ht="14.4" customHeight="1" x14ac:dyDescent="0.3">
      <c r="A36" s="632" t="s">
        <v>511</v>
      </c>
      <c r="B36" s="633" t="s">
        <v>1999</v>
      </c>
      <c r="C36" s="633" t="s">
        <v>1540</v>
      </c>
      <c r="D36" s="633" t="s">
        <v>1541</v>
      </c>
      <c r="E36" s="633" t="s">
        <v>818</v>
      </c>
      <c r="F36" s="636"/>
      <c r="G36" s="636"/>
      <c r="H36" s="657">
        <v>0</v>
      </c>
      <c r="I36" s="636">
        <v>4</v>
      </c>
      <c r="J36" s="636">
        <v>220.25912786157826</v>
      </c>
      <c r="K36" s="657">
        <v>1</v>
      </c>
      <c r="L36" s="636">
        <v>4</v>
      </c>
      <c r="M36" s="637">
        <v>220.25912786157826</v>
      </c>
    </row>
    <row r="37" spans="1:13" ht="14.4" customHeight="1" x14ac:dyDescent="0.3">
      <c r="A37" s="632" t="s">
        <v>511</v>
      </c>
      <c r="B37" s="633" t="s">
        <v>2000</v>
      </c>
      <c r="C37" s="633" t="s">
        <v>1632</v>
      </c>
      <c r="D37" s="633" t="s">
        <v>1633</v>
      </c>
      <c r="E37" s="633" t="s">
        <v>1634</v>
      </c>
      <c r="F37" s="636"/>
      <c r="G37" s="636"/>
      <c r="H37" s="657">
        <v>0</v>
      </c>
      <c r="I37" s="636">
        <v>6</v>
      </c>
      <c r="J37" s="636">
        <v>156.51</v>
      </c>
      <c r="K37" s="657">
        <v>1</v>
      </c>
      <c r="L37" s="636">
        <v>6</v>
      </c>
      <c r="M37" s="637">
        <v>156.51</v>
      </c>
    </row>
    <row r="38" spans="1:13" ht="14.4" customHeight="1" x14ac:dyDescent="0.3">
      <c r="A38" s="632" t="s">
        <v>511</v>
      </c>
      <c r="B38" s="633" t="s">
        <v>2000</v>
      </c>
      <c r="C38" s="633" t="s">
        <v>1636</v>
      </c>
      <c r="D38" s="633" t="s">
        <v>1637</v>
      </c>
      <c r="E38" s="633" t="s">
        <v>1360</v>
      </c>
      <c r="F38" s="636"/>
      <c r="G38" s="636"/>
      <c r="H38" s="657">
        <v>0</v>
      </c>
      <c r="I38" s="636">
        <v>2</v>
      </c>
      <c r="J38" s="636">
        <v>92.439249297325858</v>
      </c>
      <c r="K38" s="657">
        <v>1</v>
      </c>
      <c r="L38" s="636">
        <v>2</v>
      </c>
      <c r="M38" s="637">
        <v>92.439249297325858</v>
      </c>
    </row>
    <row r="39" spans="1:13" ht="14.4" customHeight="1" x14ac:dyDescent="0.3">
      <c r="A39" s="632" t="s">
        <v>511</v>
      </c>
      <c r="B39" s="633" t="s">
        <v>2001</v>
      </c>
      <c r="C39" s="633" t="s">
        <v>1629</v>
      </c>
      <c r="D39" s="633" t="s">
        <v>1630</v>
      </c>
      <c r="E39" s="633" t="s">
        <v>1497</v>
      </c>
      <c r="F39" s="636"/>
      <c r="G39" s="636"/>
      <c r="H39" s="657">
        <v>0</v>
      </c>
      <c r="I39" s="636">
        <v>5</v>
      </c>
      <c r="J39" s="636">
        <v>323.03000000000009</v>
      </c>
      <c r="K39" s="657">
        <v>1</v>
      </c>
      <c r="L39" s="636">
        <v>5</v>
      </c>
      <c r="M39" s="637">
        <v>323.03000000000009</v>
      </c>
    </row>
    <row r="40" spans="1:13" ht="14.4" customHeight="1" x14ac:dyDescent="0.3">
      <c r="A40" s="632" t="s">
        <v>511</v>
      </c>
      <c r="B40" s="633" t="s">
        <v>2001</v>
      </c>
      <c r="C40" s="633" t="s">
        <v>1626</v>
      </c>
      <c r="D40" s="633" t="s">
        <v>1627</v>
      </c>
      <c r="E40" s="633" t="s">
        <v>1399</v>
      </c>
      <c r="F40" s="636"/>
      <c r="G40" s="636"/>
      <c r="H40" s="657">
        <v>0</v>
      </c>
      <c r="I40" s="636">
        <v>7</v>
      </c>
      <c r="J40" s="636">
        <v>253.88999985055608</v>
      </c>
      <c r="K40" s="657">
        <v>1</v>
      </c>
      <c r="L40" s="636">
        <v>7</v>
      </c>
      <c r="M40" s="637">
        <v>253.88999985055608</v>
      </c>
    </row>
    <row r="41" spans="1:13" ht="14.4" customHeight="1" x14ac:dyDescent="0.3">
      <c r="A41" s="632" t="s">
        <v>511</v>
      </c>
      <c r="B41" s="633" t="s">
        <v>2002</v>
      </c>
      <c r="C41" s="633" t="s">
        <v>1731</v>
      </c>
      <c r="D41" s="633" t="s">
        <v>1732</v>
      </c>
      <c r="E41" s="633" t="s">
        <v>1497</v>
      </c>
      <c r="F41" s="636"/>
      <c r="G41" s="636"/>
      <c r="H41" s="657">
        <v>0</v>
      </c>
      <c r="I41" s="636">
        <v>6</v>
      </c>
      <c r="J41" s="636">
        <v>249.75</v>
      </c>
      <c r="K41" s="657">
        <v>1</v>
      </c>
      <c r="L41" s="636">
        <v>6</v>
      </c>
      <c r="M41" s="637">
        <v>249.75</v>
      </c>
    </row>
    <row r="42" spans="1:13" ht="14.4" customHeight="1" x14ac:dyDescent="0.3">
      <c r="A42" s="632" t="s">
        <v>511</v>
      </c>
      <c r="B42" s="633" t="s">
        <v>2002</v>
      </c>
      <c r="C42" s="633" t="s">
        <v>1685</v>
      </c>
      <c r="D42" s="633" t="s">
        <v>1686</v>
      </c>
      <c r="E42" s="633" t="s">
        <v>1687</v>
      </c>
      <c r="F42" s="636"/>
      <c r="G42" s="636"/>
      <c r="H42" s="657">
        <v>0</v>
      </c>
      <c r="I42" s="636">
        <v>3</v>
      </c>
      <c r="J42" s="636">
        <v>124.7197964516034</v>
      </c>
      <c r="K42" s="657">
        <v>1</v>
      </c>
      <c r="L42" s="636">
        <v>3</v>
      </c>
      <c r="M42" s="637">
        <v>124.7197964516034</v>
      </c>
    </row>
    <row r="43" spans="1:13" ht="14.4" customHeight="1" x14ac:dyDescent="0.3">
      <c r="A43" s="632" t="s">
        <v>511</v>
      </c>
      <c r="B43" s="633" t="s">
        <v>2003</v>
      </c>
      <c r="C43" s="633" t="s">
        <v>1639</v>
      </c>
      <c r="D43" s="633" t="s">
        <v>1640</v>
      </c>
      <c r="E43" s="633" t="s">
        <v>1641</v>
      </c>
      <c r="F43" s="636"/>
      <c r="G43" s="636"/>
      <c r="H43" s="657">
        <v>0</v>
      </c>
      <c r="I43" s="636">
        <v>2</v>
      </c>
      <c r="J43" s="636">
        <v>130.91999999999993</v>
      </c>
      <c r="K43" s="657">
        <v>1</v>
      </c>
      <c r="L43" s="636">
        <v>2</v>
      </c>
      <c r="M43" s="637">
        <v>130.91999999999993</v>
      </c>
    </row>
    <row r="44" spans="1:13" ht="14.4" customHeight="1" x14ac:dyDescent="0.3">
      <c r="A44" s="632" t="s">
        <v>511</v>
      </c>
      <c r="B44" s="633" t="s">
        <v>2004</v>
      </c>
      <c r="C44" s="633" t="s">
        <v>1484</v>
      </c>
      <c r="D44" s="633" t="s">
        <v>1485</v>
      </c>
      <c r="E44" s="633" t="s">
        <v>1486</v>
      </c>
      <c r="F44" s="636"/>
      <c r="G44" s="636"/>
      <c r="H44" s="657">
        <v>0</v>
      </c>
      <c r="I44" s="636">
        <v>16</v>
      </c>
      <c r="J44" s="636">
        <v>295.3498785993919</v>
      </c>
      <c r="K44" s="657">
        <v>1</v>
      </c>
      <c r="L44" s="636">
        <v>16</v>
      </c>
      <c r="M44" s="637">
        <v>295.3498785993919</v>
      </c>
    </row>
    <row r="45" spans="1:13" ht="14.4" customHeight="1" x14ac:dyDescent="0.3">
      <c r="A45" s="632" t="s">
        <v>511</v>
      </c>
      <c r="B45" s="633" t="s">
        <v>2004</v>
      </c>
      <c r="C45" s="633" t="s">
        <v>1487</v>
      </c>
      <c r="D45" s="633" t="s">
        <v>1488</v>
      </c>
      <c r="E45" s="633" t="s">
        <v>1489</v>
      </c>
      <c r="F45" s="636"/>
      <c r="G45" s="636"/>
      <c r="H45" s="657">
        <v>0</v>
      </c>
      <c r="I45" s="636">
        <v>3</v>
      </c>
      <c r="J45" s="636">
        <v>73.17</v>
      </c>
      <c r="K45" s="657">
        <v>1</v>
      </c>
      <c r="L45" s="636">
        <v>3</v>
      </c>
      <c r="M45" s="637">
        <v>73.17</v>
      </c>
    </row>
    <row r="46" spans="1:13" ht="14.4" customHeight="1" x14ac:dyDescent="0.3">
      <c r="A46" s="632" t="s">
        <v>511</v>
      </c>
      <c r="B46" s="633" t="s">
        <v>2004</v>
      </c>
      <c r="C46" s="633" t="s">
        <v>1562</v>
      </c>
      <c r="D46" s="633" t="s">
        <v>2005</v>
      </c>
      <c r="E46" s="633" t="s">
        <v>1399</v>
      </c>
      <c r="F46" s="636"/>
      <c r="G46" s="636"/>
      <c r="H46" s="657">
        <v>0</v>
      </c>
      <c r="I46" s="636">
        <v>6</v>
      </c>
      <c r="J46" s="636">
        <v>303.78000000000003</v>
      </c>
      <c r="K46" s="657">
        <v>1</v>
      </c>
      <c r="L46" s="636">
        <v>6</v>
      </c>
      <c r="M46" s="637">
        <v>303.78000000000003</v>
      </c>
    </row>
    <row r="47" spans="1:13" ht="14.4" customHeight="1" x14ac:dyDescent="0.3">
      <c r="A47" s="632" t="s">
        <v>511</v>
      </c>
      <c r="B47" s="633" t="s">
        <v>2006</v>
      </c>
      <c r="C47" s="633" t="s">
        <v>1223</v>
      </c>
      <c r="D47" s="633" t="s">
        <v>2007</v>
      </c>
      <c r="E47" s="633" t="s">
        <v>2008</v>
      </c>
      <c r="F47" s="636"/>
      <c r="G47" s="636"/>
      <c r="H47" s="657">
        <v>0</v>
      </c>
      <c r="I47" s="636">
        <v>1</v>
      </c>
      <c r="J47" s="636">
        <v>96.92</v>
      </c>
      <c r="K47" s="657">
        <v>1</v>
      </c>
      <c r="L47" s="636">
        <v>1</v>
      </c>
      <c r="M47" s="637">
        <v>96.92</v>
      </c>
    </row>
    <row r="48" spans="1:13" ht="14.4" customHeight="1" x14ac:dyDescent="0.3">
      <c r="A48" s="632" t="s">
        <v>511</v>
      </c>
      <c r="B48" s="633" t="s">
        <v>2009</v>
      </c>
      <c r="C48" s="633" t="s">
        <v>1609</v>
      </c>
      <c r="D48" s="633" t="s">
        <v>1610</v>
      </c>
      <c r="E48" s="633" t="s">
        <v>837</v>
      </c>
      <c r="F48" s="636"/>
      <c r="G48" s="636"/>
      <c r="H48" s="657">
        <v>0</v>
      </c>
      <c r="I48" s="636">
        <v>5</v>
      </c>
      <c r="J48" s="636">
        <v>490.86097816082429</v>
      </c>
      <c r="K48" s="657">
        <v>1</v>
      </c>
      <c r="L48" s="636">
        <v>5</v>
      </c>
      <c r="M48" s="637">
        <v>490.86097816082429</v>
      </c>
    </row>
    <row r="49" spans="1:13" ht="14.4" customHeight="1" x14ac:dyDescent="0.3">
      <c r="A49" s="632" t="s">
        <v>511</v>
      </c>
      <c r="B49" s="633" t="s">
        <v>2010</v>
      </c>
      <c r="C49" s="633" t="s">
        <v>1605</v>
      </c>
      <c r="D49" s="633" t="s">
        <v>1606</v>
      </c>
      <c r="E49" s="633" t="s">
        <v>1607</v>
      </c>
      <c r="F49" s="636"/>
      <c r="G49" s="636"/>
      <c r="H49" s="657">
        <v>0</v>
      </c>
      <c r="I49" s="636">
        <v>5</v>
      </c>
      <c r="J49" s="636">
        <v>513.34936601617824</v>
      </c>
      <c r="K49" s="657">
        <v>1</v>
      </c>
      <c r="L49" s="636">
        <v>5</v>
      </c>
      <c r="M49" s="637">
        <v>513.34936601617824</v>
      </c>
    </row>
    <row r="50" spans="1:13" ht="14.4" customHeight="1" x14ac:dyDescent="0.3">
      <c r="A50" s="632" t="s">
        <v>511</v>
      </c>
      <c r="B50" s="633" t="s">
        <v>2011</v>
      </c>
      <c r="C50" s="633" t="s">
        <v>1665</v>
      </c>
      <c r="D50" s="633" t="s">
        <v>1666</v>
      </c>
      <c r="E50" s="633" t="s">
        <v>1667</v>
      </c>
      <c r="F50" s="636"/>
      <c r="G50" s="636"/>
      <c r="H50" s="657">
        <v>0</v>
      </c>
      <c r="I50" s="636">
        <v>3</v>
      </c>
      <c r="J50" s="636">
        <v>323.59981337879299</v>
      </c>
      <c r="K50" s="657">
        <v>1</v>
      </c>
      <c r="L50" s="636">
        <v>3</v>
      </c>
      <c r="M50" s="637">
        <v>323.59981337879299</v>
      </c>
    </row>
    <row r="51" spans="1:13" ht="14.4" customHeight="1" x14ac:dyDescent="0.3">
      <c r="A51" s="632" t="s">
        <v>511</v>
      </c>
      <c r="B51" s="633" t="s">
        <v>2012</v>
      </c>
      <c r="C51" s="633" t="s">
        <v>1510</v>
      </c>
      <c r="D51" s="633" t="s">
        <v>1511</v>
      </c>
      <c r="E51" s="633" t="s">
        <v>958</v>
      </c>
      <c r="F51" s="636"/>
      <c r="G51" s="636"/>
      <c r="H51" s="657">
        <v>0</v>
      </c>
      <c r="I51" s="636">
        <v>2</v>
      </c>
      <c r="J51" s="636">
        <v>168.7001990350449</v>
      </c>
      <c r="K51" s="657">
        <v>1</v>
      </c>
      <c r="L51" s="636">
        <v>2</v>
      </c>
      <c r="M51" s="637">
        <v>168.7001990350449</v>
      </c>
    </row>
    <row r="52" spans="1:13" ht="14.4" customHeight="1" x14ac:dyDescent="0.3">
      <c r="A52" s="632" t="s">
        <v>511</v>
      </c>
      <c r="B52" s="633" t="s">
        <v>2013</v>
      </c>
      <c r="C52" s="633" t="s">
        <v>1678</v>
      </c>
      <c r="D52" s="633" t="s">
        <v>1679</v>
      </c>
      <c r="E52" s="633" t="s">
        <v>1680</v>
      </c>
      <c r="F52" s="636"/>
      <c r="G52" s="636"/>
      <c r="H52" s="657">
        <v>0</v>
      </c>
      <c r="I52" s="636">
        <v>1</v>
      </c>
      <c r="J52" s="636">
        <v>236.47215736631074</v>
      </c>
      <c r="K52" s="657">
        <v>1</v>
      </c>
      <c r="L52" s="636">
        <v>1</v>
      </c>
      <c r="M52" s="637">
        <v>236.47215736631074</v>
      </c>
    </row>
    <row r="53" spans="1:13" ht="14.4" customHeight="1" x14ac:dyDescent="0.3">
      <c r="A53" s="632" t="s">
        <v>511</v>
      </c>
      <c r="B53" s="633" t="s">
        <v>2013</v>
      </c>
      <c r="C53" s="633" t="s">
        <v>1590</v>
      </c>
      <c r="D53" s="633" t="s">
        <v>1690</v>
      </c>
      <c r="E53" s="633" t="s">
        <v>818</v>
      </c>
      <c r="F53" s="636"/>
      <c r="G53" s="636"/>
      <c r="H53" s="657">
        <v>0</v>
      </c>
      <c r="I53" s="636">
        <v>3</v>
      </c>
      <c r="J53" s="636">
        <v>146.88000000000005</v>
      </c>
      <c r="K53" s="657">
        <v>1</v>
      </c>
      <c r="L53" s="636">
        <v>3</v>
      </c>
      <c r="M53" s="637">
        <v>146.88000000000005</v>
      </c>
    </row>
    <row r="54" spans="1:13" ht="14.4" customHeight="1" x14ac:dyDescent="0.3">
      <c r="A54" s="632" t="s">
        <v>511</v>
      </c>
      <c r="B54" s="633" t="s">
        <v>2013</v>
      </c>
      <c r="C54" s="633" t="s">
        <v>1689</v>
      </c>
      <c r="D54" s="633" t="s">
        <v>1690</v>
      </c>
      <c r="E54" s="633" t="s">
        <v>2014</v>
      </c>
      <c r="F54" s="636"/>
      <c r="G54" s="636"/>
      <c r="H54" s="657">
        <v>0</v>
      </c>
      <c r="I54" s="636">
        <v>2</v>
      </c>
      <c r="J54" s="636">
        <v>326.62</v>
      </c>
      <c r="K54" s="657">
        <v>1</v>
      </c>
      <c r="L54" s="636">
        <v>2</v>
      </c>
      <c r="M54" s="637">
        <v>326.62</v>
      </c>
    </row>
    <row r="55" spans="1:13" ht="14.4" customHeight="1" x14ac:dyDescent="0.3">
      <c r="A55" s="632" t="s">
        <v>511</v>
      </c>
      <c r="B55" s="633" t="s">
        <v>2013</v>
      </c>
      <c r="C55" s="633" t="s">
        <v>1593</v>
      </c>
      <c r="D55" s="633" t="s">
        <v>1598</v>
      </c>
      <c r="E55" s="633" t="s">
        <v>942</v>
      </c>
      <c r="F55" s="636"/>
      <c r="G55" s="636"/>
      <c r="H55" s="657">
        <v>0</v>
      </c>
      <c r="I55" s="636">
        <v>4</v>
      </c>
      <c r="J55" s="636">
        <v>392.09999999999991</v>
      </c>
      <c r="K55" s="657">
        <v>1</v>
      </c>
      <c r="L55" s="636">
        <v>4</v>
      </c>
      <c r="M55" s="637">
        <v>392.09999999999991</v>
      </c>
    </row>
    <row r="56" spans="1:13" ht="14.4" customHeight="1" x14ac:dyDescent="0.3">
      <c r="A56" s="632" t="s">
        <v>511</v>
      </c>
      <c r="B56" s="633" t="s">
        <v>2013</v>
      </c>
      <c r="C56" s="633" t="s">
        <v>1597</v>
      </c>
      <c r="D56" s="633" t="s">
        <v>1598</v>
      </c>
      <c r="E56" s="633" t="s">
        <v>1275</v>
      </c>
      <c r="F56" s="636"/>
      <c r="G56" s="636"/>
      <c r="H56" s="657">
        <v>0</v>
      </c>
      <c r="I56" s="636">
        <v>4</v>
      </c>
      <c r="J56" s="636">
        <v>1325.12</v>
      </c>
      <c r="K56" s="657">
        <v>1</v>
      </c>
      <c r="L56" s="636">
        <v>4</v>
      </c>
      <c r="M56" s="637">
        <v>1325.12</v>
      </c>
    </row>
    <row r="57" spans="1:13" ht="14.4" customHeight="1" x14ac:dyDescent="0.3">
      <c r="A57" s="632" t="s">
        <v>511</v>
      </c>
      <c r="B57" s="633" t="s">
        <v>2013</v>
      </c>
      <c r="C57" s="633" t="s">
        <v>1669</v>
      </c>
      <c r="D57" s="633" t="s">
        <v>2015</v>
      </c>
      <c r="E57" s="633" t="s">
        <v>2016</v>
      </c>
      <c r="F57" s="636"/>
      <c r="G57" s="636"/>
      <c r="H57" s="657">
        <v>0</v>
      </c>
      <c r="I57" s="636">
        <v>1</v>
      </c>
      <c r="J57" s="636">
        <v>151.63999999999996</v>
      </c>
      <c r="K57" s="657">
        <v>1</v>
      </c>
      <c r="L57" s="636">
        <v>1</v>
      </c>
      <c r="M57" s="637">
        <v>151.63999999999996</v>
      </c>
    </row>
    <row r="58" spans="1:13" ht="14.4" customHeight="1" x14ac:dyDescent="0.3">
      <c r="A58" s="632" t="s">
        <v>511</v>
      </c>
      <c r="B58" s="633" t="s">
        <v>2017</v>
      </c>
      <c r="C58" s="633" t="s">
        <v>1619</v>
      </c>
      <c r="D58" s="633" t="s">
        <v>1620</v>
      </c>
      <c r="E58" s="633" t="s">
        <v>942</v>
      </c>
      <c r="F58" s="636"/>
      <c r="G58" s="636"/>
      <c r="H58" s="657">
        <v>0</v>
      </c>
      <c r="I58" s="636">
        <v>5</v>
      </c>
      <c r="J58" s="636">
        <v>757.29517081620065</v>
      </c>
      <c r="K58" s="657">
        <v>1</v>
      </c>
      <c r="L58" s="636">
        <v>5</v>
      </c>
      <c r="M58" s="637">
        <v>757.29517081620065</v>
      </c>
    </row>
    <row r="59" spans="1:13" ht="14.4" customHeight="1" x14ac:dyDescent="0.3">
      <c r="A59" s="632" t="s">
        <v>511</v>
      </c>
      <c r="B59" s="633" t="s">
        <v>2018</v>
      </c>
      <c r="C59" s="633" t="s">
        <v>1710</v>
      </c>
      <c r="D59" s="633" t="s">
        <v>1711</v>
      </c>
      <c r="E59" s="633" t="s">
        <v>1068</v>
      </c>
      <c r="F59" s="636"/>
      <c r="G59" s="636"/>
      <c r="H59" s="657">
        <v>0</v>
      </c>
      <c r="I59" s="636">
        <v>1</v>
      </c>
      <c r="J59" s="636">
        <v>609.32999999999993</v>
      </c>
      <c r="K59" s="657">
        <v>1</v>
      </c>
      <c r="L59" s="636">
        <v>1</v>
      </c>
      <c r="M59" s="637">
        <v>609.32999999999993</v>
      </c>
    </row>
    <row r="60" spans="1:13" ht="14.4" customHeight="1" x14ac:dyDescent="0.3">
      <c r="A60" s="632" t="s">
        <v>511</v>
      </c>
      <c r="B60" s="633" t="s">
        <v>2019</v>
      </c>
      <c r="C60" s="633" t="s">
        <v>1506</v>
      </c>
      <c r="D60" s="633" t="s">
        <v>1507</v>
      </c>
      <c r="E60" s="633" t="s">
        <v>2020</v>
      </c>
      <c r="F60" s="636"/>
      <c r="G60" s="636"/>
      <c r="H60" s="657">
        <v>0</v>
      </c>
      <c r="I60" s="636">
        <v>1</v>
      </c>
      <c r="J60" s="636">
        <v>123.05</v>
      </c>
      <c r="K60" s="657">
        <v>1</v>
      </c>
      <c r="L60" s="636">
        <v>1</v>
      </c>
      <c r="M60" s="637">
        <v>123.05</v>
      </c>
    </row>
    <row r="61" spans="1:13" ht="14.4" customHeight="1" x14ac:dyDescent="0.3">
      <c r="A61" s="632" t="s">
        <v>511</v>
      </c>
      <c r="B61" s="633" t="s">
        <v>2021</v>
      </c>
      <c r="C61" s="633" t="s">
        <v>529</v>
      </c>
      <c r="D61" s="633" t="s">
        <v>530</v>
      </c>
      <c r="E61" s="633" t="s">
        <v>531</v>
      </c>
      <c r="F61" s="636">
        <v>1</v>
      </c>
      <c r="G61" s="636">
        <v>49.8</v>
      </c>
      <c r="H61" s="657">
        <v>1</v>
      </c>
      <c r="I61" s="636"/>
      <c r="J61" s="636"/>
      <c r="K61" s="657">
        <v>0</v>
      </c>
      <c r="L61" s="636">
        <v>1</v>
      </c>
      <c r="M61" s="637">
        <v>49.8</v>
      </c>
    </row>
    <row r="62" spans="1:13" ht="14.4" customHeight="1" x14ac:dyDescent="0.3">
      <c r="A62" s="632" t="s">
        <v>511</v>
      </c>
      <c r="B62" s="633" t="s">
        <v>2022</v>
      </c>
      <c r="C62" s="633" t="s">
        <v>1840</v>
      </c>
      <c r="D62" s="633" t="s">
        <v>2023</v>
      </c>
      <c r="E62" s="633" t="s">
        <v>2024</v>
      </c>
      <c r="F62" s="636"/>
      <c r="G62" s="636"/>
      <c r="H62" s="657">
        <v>0</v>
      </c>
      <c r="I62" s="636">
        <v>24</v>
      </c>
      <c r="J62" s="636">
        <v>4071.1027311510061</v>
      </c>
      <c r="K62" s="657">
        <v>1</v>
      </c>
      <c r="L62" s="636">
        <v>24</v>
      </c>
      <c r="M62" s="637">
        <v>4071.1027311510061</v>
      </c>
    </row>
    <row r="63" spans="1:13" ht="14.4" customHeight="1" x14ac:dyDescent="0.3">
      <c r="A63" s="632" t="s">
        <v>511</v>
      </c>
      <c r="B63" s="633" t="s">
        <v>2022</v>
      </c>
      <c r="C63" s="633" t="s">
        <v>1863</v>
      </c>
      <c r="D63" s="633" t="s">
        <v>2025</v>
      </c>
      <c r="E63" s="633" t="s">
        <v>2026</v>
      </c>
      <c r="F63" s="636"/>
      <c r="G63" s="636"/>
      <c r="H63" s="657">
        <v>0</v>
      </c>
      <c r="I63" s="636">
        <v>14.999999999999993</v>
      </c>
      <c r="J63" s="636">
        <v>1868.1239999999987</v>
      </c>
      <c r="K63" s="657">
        <v>1</v>
      </c>
      <c r="L63" s="636">
        <v>14.999999999999993</v>
      </c>
      <c r="M63" s="637">
        <v>1868.1239999999987</v>
      </c>
    </row>
    <row r="64" spans="1:13" ht="14.4" customHeight="1" x14ac:dyDescent="0.3">
      <c r="A64" s="632" t="s">
        <v>511</v>
      </c>
      <c r="B64" s="633" t="s">
        <v>2022</v>
      </c>
      <c r="C64" s="633" t="s">
        <v>1871</v>
      </c>
      <c r="D64" s="633" t="s">
        <v>2027</v>
      </c>
      <c r="E64" s="633" t="s">
        <v>2028</v>
      </c>
      <c r="F64" s="636"/>
      <c r="G64" s="636"/>
      <c r="H64" s="657">
        <v>0</v>
      </c>
      <c r="I64" s="636">
        <v>2</v>
      </c>
      <c r="J64" s="636">
        <v>240.86000000000004</v>
      </c>
      <c r="K64" s="657">
        <v>1</v>
      </c>
      <c r="L64" s="636">
        <v>2</v>
      </c>
      <c r="M64" s="637">
        <v>240.86000000000004</v>
      </c>
    </row>
    <row r="65" spans="1:13" ht="14.4" customHeight="1" x14ac:dyDescent="0.3">
      <c r="A65" s="632" t="s">
        <v>511</v>
      </c>
      <c r="B65" s="633" t="s">
        <v>2029</v>
      </c>
      <c r="C65" s="633" t="s">
        <v>1879</v>
      </c>
      <c r="D65" s="633" t="s">
        <v>1880</v>
      </c>
      <c r="E65" s="633" t="s">
        <v>2030</v>
      </c>
      <c r="F65" s="636"/>
      <c r="G65" s="636"/>
      <c r="H65" s="657">
        <v>0</v>
      </c>
      <c r="I65" s="636">
        <v>4</v>
      </c>
      <c r="J65" s="636">
        <v>334.91979019255706</v>
      </c>
      <c r="K65" s="657">
        <v>1</v>
      </c>
      <c r="L65" s="636">
        <v>4</v>
      </c>
      <c r="M65" s="637">
        <v>334.91979019255706</v>
      </c>
    </row>
    <row r="66" spans="1:13" ht="14.4" customHeight="1" x14ac:dyDescent="0.3">
      <c r="A66" s="632" t="s">
        <v>511</v>
      </c>
      <c r="B66" s="633" t="s">
        <v>2029</v>
      </c>
      <c r="C66" s="633" t="s">
        <v>1848</v>
      </c>
      <c r="D66" s="633" t="s">
        <v>1849</v>
      </c>
      <c r="E66" s="633" t="s">
        <v>2031</v>
      </c>
      <c r="F66" s="636"/>
      <c r="G66" s="636"/>
      <c r="H66" s="657">
        <v>0</v>
      </c>
      <c r="I66" s="636">
        <v>19</v>
      </c>
      <c r="J66" s="636">
        <v>2624.5193947074008</v>
      </c>
      <c r="K66" s="657">
        <v>1</v>
      </c>
      <c r="L66" s="636">
        <v>19</v>
      </c>
      <c r="M66" s="637">
        <v>2624.5193947074008</v>
      </c>
    </row>
    <row r="67" spans="1:13" ht="14.4" customHeight="1" x14ac:dyDescent="0.3">
      <c r="A67" s="632" t="s">
        <v>511</v>
      </c>
      <c r="B67" s="633" t="s">
        <v>2029</v>
      </c>
      <c r="C67" s="633" t="s">
        <v>1867</v>
      </c>
      <c r="D67" s="633" t="s">
        <v>2032</v>
      </c>
      <c r="E67" s="633" t="s">
        <v>2033</v>
      </c>
      <c r="F67" s="636"/>
      <c r="G67" s="636"/>
      <c r="H67" s="657">
        <v>0</v>
      </c>
      <c r="I67" s="636">
        <v>30</v>
      </c>
      <c r="J67" s="636">
        <v>2256.6</v>
      </c>
      <c r="K67" s="657">
        <v>1</v>
      </c>
      <c r="L67" s="636">
        <v>30</v>
      </c>
      <c r="M67" s="637">
        <v>2256.6</v>
      </c>
    </row>
    <row r="68" spans="1:13" ht="14.4" customHeight="1" x14ac:dyDescent="0.3">
      <c r="A68" s="632" t="s">
        <v>511</v>
      </c>
      <c r="B68" s="633" t="s">
        <v>2034</v>
      </c>
      <c r="C68" s="633" t="s">
        <v>1875</v>
      </c>
      <c r="D68" s="633" t="s">
        <v>1876</v>
      </c>
      <c r="E68" s="633" t="s">
        <v>2035</v>
      </c>
      <c r="F68" s="636"/>
      <c r="G68" s="636"/>
      <c r="H68" s="657">
        <v>0</v>
      </c>
      <c r="I68" s="636">
        <v>2</v>
      </c>
      <c r="J68" s="636">
        <v>380.31999999999988</v>
      </c>
      <c r="K68" s="657">
        <v>1</v>
      </c>
      <c r="L68" s="636">
        <v>2</v>
      </c>
      <c r="M68" s="637">
        <v>380.31999999999988</v>
      </c>
    </row>
    <row r="69" spans="1:13" ht="14.4" customHeight="1" x14ac:dyDescent="0.3">
      <c r="A69" s="632" t="s">
        <v>511</v>
      </c>
      <c r="B69" s="633" t="s">
        <v>2034</v>
      </c>
      <c r="C69" s="633" t="s">
        <v>1855</v>
      </c>
      <c r="D69" s="633" t="s">
        <v>1856</v>
      </c>
      <c r="E69" s="633" t="s">
        <v>2036</v>
      </c>
      <c r="F69" s="636"/>
      <c r="G69" s="636"/>
      <c r="H69" s="657">
        <v>0</v>
      </c>
      <c r="I69" s="636">
        <v>15</v>
      </c>
      <c r="J69" s="636">
        <v>2303.8503628914596</v>
      </c>
      <c r="K69" s="657">
        <v>1</v>
      </c>
      <c r="L69" s="636">
        <v>15</v>
      </c>
      <c r="M69" s="637">
        <v>2303.8503628914596</v>
      </c>
    </row>
    <row r="70" spans="1:13" ht="14.4" customHeight="1" x14ac:dyDescent="0.3">
      <c r="A70" s="632" t="s">
        <v>511</v>
      </c>
      <c r="B70" s="633" t="s">
        <v>2037</v>
      </c>
      <c r="C70" s="633" t="s">
        <v>1844</v>
      </c>
      <c r="D70" s="633" t="s">
        <v>2038</v>
      </c>
      <c r="E70" s="633" t="s">
        <v>2039</v>
      </c>
      <c r="F70" s="636"/>
      <c r="G70" s="636"/>
      <c r="H70" s="657">
        <v>0</v>
      </c>
      <c r="I70" s="636">
        <v>12</v>
      </c>
      <c r="J70" s="636">
        <v>1063.1999999999998</v>
      </c>
      <c r="K70" s="657">
        <v>1</v>
      </c>
      <c r="L70" s="636">
        <v>12</v>
      </c>
      <c r="M70" s="637">
        <v>1063.1999999999998</v>
      </c>
    </row>
    <row r="71" spans="1:13" ht="14.4" customHeight="1" x14ac:dyDescent="0.3">
      <c r="A71" s="632" t="s">
        <v>511</v>
      </c>
      <c r="B71" s="633" t="s">
        <v>2040</v>
      </c>
      <c r="C71" s="633" t="s">
        <v>1859</v>
      </c>
      <c r="D71" s="633" t="s">
        <v>1860</v>
      </c>
      <c r="E71" s="633" t="s">
        <v>2041</v>
      </c>
      <c r="F71" s="636"/>
      <c r="G71" s="636"/>
      <c r="H71" s="657">
        <v>0</v>
      </c>
      <c r="I71" s="636">
        <v>5</v>
      </c>
      <c r="J71" s="636">
        <v>277.75060569213286</v>
      </c>
      <c r="K71" s="657">
        <v>1</v>
      </c>
      <c r="L71" s="636">
        <v>5</v>
      </c>
      <c r="M71" s="637">
        <v>277.75060569213286</v>
      </c>
    </row>
    <row r="72" spans="1:13" ht="14.4" customHeight="1" x14ac:dyDescent="0.3">
      <c r="A72" s="632" t="s">
        <v>511</v>
      </c>
      <c r="B72" s="633" t="s">
        <v>2042</v>
      </c>
      <c r="C72" s="633" t="s">
        <v>1852</v>
      </c>
      <c r="D72" s="633" t="s">
        <v>1853</v>
      </c>
      <c r="E72" s="633" t="s">
        <v>2031</v>
      </c>
      <c r="F72" s="636"/>
      <c r="G72" s="636"/>
      <c r="H72" s="657">
        <v>0</v>
      </c>
      <c r="I72" s="636">
        <v>4</v>
      </c>
      <c r="J72" s="636">
        <v>229.48</v>
      </c>
      <c r="K72" s="657">
        <v>1</v>
      </c>
      <c r="L72" s="636">
        <v>4</v>
      </c>
      <c r="M72" s="637">
        <v>229.48</v>
      </c>
    </row>
    <row r="73" spans="1:13" ht="14.4" customHeight="1" x14ac:dyDescent="0.3">
      <c r="A73" s="632" t="s">
        <v>511</v>
      </c>
      <c r="B73" s="633" t="s">
        <v>2043</v>
      </c>
      <c r="C73" s="633" t="s">
        <v>1802</v>
      </c>
      <c r="D73" s="633" t="s">
        <v>2044</v>
      </c>
      <c r="E73" s="633" t="s">
        <v>2045</v>
      </c>
      <c r="F73" s="636"/>
      <c r="G73" s="636"/>
      <c r="H73" s="657">
        <v>0</v>
      </c>
      <c r="I73" s="636">
        <v>15</v>
      </c>
      <c r="J73" s="636">
        <v>2428.7985064616551</v>
      </c>
      <c r="K73" s="657">
        <v>1</v>
      </c>
      <c r="L73" s="636">
        <v>15</v>
      </c>
      <c r="M73" s="637">
        <v>2428.7985064616551</v>
      </c>
    </row>
    <row r="74" spans="1:13" ht="14.4" customHeight="1" x14ac:dyDescent="0.3">
      <c r="A74" s="632" t="s">
        <v>511</v>
      </c>
      <c r="B74" s="633" t="s">
        <v>2046</v>
      </c>
      <c r="C74" s="633" t="s">
        <v>1907</v>
      </c>
      <c r="D74" s="633" t="s">
        <v>2047</v>
      </c>
      <c r="E74" s="633" t="s">
        <v>2048</v>
      </c>
      <c r="F74" s="636"/>
      <c r="G74" s="636"/>
      <c r="H74" s="657">
        <v>0</v>
      </c>
      <c r="I74" s="636">
        <v>20</v>
      </c>
      <c r="J74" s="636">
        <v>1834.1999999999998</v>
      </c>
      <c r="K74" s="657">
        <v>1</v>
      </c>
      <c r="L74" s="636">
        <v>20</v>
      </c>
      <c r="M74" s="637">
        <v>1834.1999999999998</v>
      </c>
    </row>
    <row r="75" spans="1:13" ht="14.4" customHeight="1" x14ac:dyDescent="0.3">
      <c r="A75" s="632" t="s">
        <v>511</v>
      </c>
      <c r="B75" s="633" t="s">
        <v>2046</v>
      </c>
      <c r="C75" s="633" t="s">
        <v>1910</v>
      </c>
      <c r="D75" s="633" t="s">
        <v>1911</v>
      </c>
      <c r="E75" s="633" t="s">
        <v>2049</v>
      </c>
      <c r="F75" s="636"/>
      <c r="G75" s="636"/>
      <c r="H75" s="657">
        <v>0</v>
      </c>
      <c r="I75" s="636">
        <v>2</v>
      </c>
      <c r="J75" s="636">
        <v>3662.6736545324802</v>
      </c>
      <c r="K75" s="657">
        <v>1</v>
      </c>
      <c r="L75" s="636">
        <v>2</v>
      </c>
      <c r="M75" s="637">
        <v>3662.6736545324802</v>
      </c>
    </row>
    <row r="76" spans="1:13" ht="14.4" customHeight="1" x14ac:dyDescent="0.3">
      <c r="A76" s="632" t="s">
        <v>511</v>
      </c>
      <c r="B76" s="633" t="s">
        <v>2050</v>
      </c>
      <c r="C76" s="633" t="s">
        <v>1612</v>
      </c>
      <c r="D76" s="633" t="s">
        <v>1613</v>
      </c>
      <c r="E76" s="633" t="s">
        <v>1614</v>
      </c>
      <c r="F76" s="636"/>
      <c r="G76" s="636"/>
      <c r="H76" s="657">
        <v>0</v>
      </c>
      <c r="I76" s="636">
        <v>3</v>
      </c>
      <c r="J76" s="636">
        <v>215.42999999999995</v>
      </c>
      <c r="K76" s="657">
        <v>1</v>
      </c>
      <c r="L76" s="636">
        <v>3</v>
      </c>
      <c r="M76" s="637">
        <v>215.42999999999995</v>
      </c>
    </row>
    <row r="77" spans="1:13" ht="14.4" customHeight="1" x14ac:dyDescent="0.3">
      <c r="A77" s="632" t="s">
        <v>511</v>
      </c>
      <c r="B77" s="633" t="s">
        <v>2051</v>
      </c>
      <c r="C77" s="633" t="s">
        <v>1654</v>
      </c>
      <c r="D77" s="633" t="s">
        <v>1655</v>
      </c>
      <c r="E77" s="633" t="s">
        <v>1656</v>
      </c>
      <c r="F77" s="636"/>
      <c r="G77" s="636"/>
      <c r="H77" s="657">
        <v>0</v>
      </c>
      <c r="I77" s="636">
        <v>10</v>
      </c>
      <c r="J77" s="636">
        <v>7144.5</v>
      </c>
      <c r="K77" s="657">
        <v>1</v>
      </c>
      <c r="L77" s="636">
        <v>10</v>
      </c>
      <c r="M77" s="637">
        <v>7144.5</v>
      </c>
    </row>
    <row r="78" spans="1:13" ht="14.4" customHeight="1" x14ac:dyDescent="0.3">
      <c r="A78" s="632" t="s">
        <v>511</v>
      </c>
      <c r="B78" s="633" t="s">
        <v>2052</v>
      </c>
      <c r="C78" s="633" t="s">
        <v>1524</v>
      </c>
      <c r="D78" s="633" t="s">
        <v>1525</v>
      </c>
      <c r="E78" s="633" t="s">
        <v>1526</v>
      </c>
      <c r="F78" s="636"/>
      <c r="G78" s="636"/>
      <c r="H78" s="657">
        <v>0</v>
      </c>
      <c r="I78" s="636">
        <v>6</v>
      </c>
      <c r="J78" s="636">
        <v>242.10000000000002</v>
      </c>
      <c r="K78" s="657">
        <v>1</v>
      </c>
      <c r="L78" s="636">
        <v>6</v>
      </c>
      <c r="M78" s="637">
        <v>242.10000000000002</v>
      </c>
    </row>
    <row r="79" spans="1:13" ht="14.4" customHeight="1" x14ac:dyDescent="0.3">
      <c r="A79" s="632" t="s">
        <v>511</v>
      </c>
      <c r="B79" s="633" t="s">
        <v>2052</v>
      </c>
      <c r="C79" s="633" t="s">
        <v>1528</v>
      </c>
      <c r="D79" s="633" t="s">
        <v>1529</v>
      </c>
      <c r="E79" s="633" t="s">
        <v>1530</v>
      </c>
      <c r="F79" s="636"/>
      <c r="G79" s="636"/>
      <c r="H79" s="657">
        <v>0</v>
      </c>
      <c r="I79" s="636">
        <v>3</v>
      </c>
      <c r="J79" s="636">
        <v>184.01999999999998</v>
      </c>
      <c r="K79" s="657">
        <v>1</v>
      </c>
      <c r="L79" s="636">
        <v>3</v>
      </c>
      <c r="M79" s="637">
        <v>184.01999999999998</v>
      </c>
    </row>
    <row r="80" spans="1:13" ht="14.4" customHeight="1" x14ac:dyDescent="0.3">
      <c r="A80" s="632" t="s">
        <v>511</v>
      </c>
      <c r="B80" s="633" t="s">
        <v>2052</v>
      </c>
      <c r="C80" s="633" t="s">
        <v>1566</v>
      </c>
      <c r="D80" s="633" t="s">
        <v>1567</v>
      </c>
      <c r="E80" s="633" t="s">
        <v>2053</v>
      </c>
      <c r="F80" s="636"/>
      <c r="G80" s="636"/>
      <c r="H80" s="657">
        <v>0</v>
      </c>
      <c r="I80" s="636">
        <v>4</v>
      </c>
      <c r="J80" s="636">
        <v>393.2</v>
      </c>
      <c r="K80" s="657">
        <v>1</v>
      </c>
      <c r="L80" s="636">
        <v>4</v>
      </c>
      <c r="M80" s="637">
        <v>393.2</v>
      </c>
    </row>
    <row r="81" spans="1:13" ht="14.4" customHeight="1" x14ac:dyDescent="0.3">
      <c r="A81" s="632" t="s">
        <v>511</v>
      </c>
      <c r="B81" s="633" t="s">
        <v>2054</v>
      </c>
      <c r="C81" s="633" t="s">
        <v>1717</v>
      </c>
      <c r="D81" s="633" t="s">
        <v>1718</v>
      </c>
      <c r="E81" s="633" t="s">
        <v>1719</v>
      </c>
      <c r="F81" s="636"/>
      <c r="G81" s="636"/>
      <c r="H81" s="657">
        <v>0</v>
      </c>
      <c r="I81" s="636">
        <v>1</v>
      </c>
      <c r="J81" s="636">
        <v>182.55</v>
      </c>
      <c r="K81" s="657">
        <v>1</v>
      </c>
      <c r="L81" s="636">
        <v>1</v>
      </c>
      <c r="M81" s="637">
        <v>182.55</v>
      </c>
    </row>
    <row r="82" spans="1:13" ht="14.4" customHeight="1" x14ac:dyDescent="0.3">
      <c r="A82" s="632" t="s">
        <v>511</v>
      </c>
      <c r="B82" s="633" t="s">
        <v>2055</v>
      </c>
      <c r="C82" s="633" t="s">
        <v>1725</v>
      </c>
      <c r="D82" s="633" t="s">
        <v>2056</v>
      </c>
      <c r="E82" s="633" t="s">
        <v>2057</v>
      </c>
      <c r="F82" s="636"/>
      <c r="G82" s="636"/>
      <c r="H82" s="657">
        <v>0</v>
      </c>
      <c r="I82" s="636">
        <v>2</v>
      </c>
      <c r="J82" s="636">
        <v>168.36</v>
      </c>
      <c r="K82" s="657">
        <v>1</v>
      </c>
      <c r="L82" s="636">
        <v>2</v>
      </c>
      <c r="M82" s="637">
        <v>168.36</v>
      </c>
    </row>
    <row r="83" spans="1:13" ht="14.4" customHeight="1" x14ac:dyDescent="0.3">
      <c r="A83" s="632" t="s">
        <v>511</v>
      </c>
      <c r="B83" s="633" t="s">
        <v>2055</v>
      </c>
      <c r="C83" s="633" t="s">
        <v>1580</v>
      </c>
      <c r="D83" s="633" t="s">
        <v>2058</v>
      </c>
      <c r="E83" s="633" t="s">
        <v>2059</v>
      </c>
      <c r="F83" s="636"/>
      <c r="G83" s="636"/>
      <c r="H83" s="657">
        <v>0</v>
      </c>
      <c r="I83" s="636">
        <v>9</v>
      </c>
      <c r="J83" s="636">
        <v>3036.9528416082494</v>
      </c>
      <c r="K83" s="657">
        <v>1</v>
      </c>
      <c r="L83" s="636">
        <v>9</v>
      </c>
      <c r="M83" s="637">
        <v>3036.9528416082494</v>
      </c>
    </row>
    <row r="84" spans="1:13" ht="14.4" customHeight="1" x14ac:dyDescent="0.3">
      <c r="A84" s="632" t="s">
        <v>511</v>
      </c>
      <c r="B84" s="633" t="s">
        <v>2060</v>
      </c>
      <c r="C84" s="633" t="s">
        <v>1737</v>
      </c>
      <c r="D84" s="633" t="s">
        <v>1738</v>
      </c>
      <c r="E84" s="633" t="s">
        <v>1739</v>
      </c>
      <c r="F84" s="636"/>
      <c r="G84" s="636"/>
      <c r="H84" s="657">
        <v>0</v>
      </c>
      <c r="I84" s="636">
        <v>1</v>
      </c>
      <c r="J84" s="636">
        <v>230.9899999999999</v>
      </c>
      <c r="K84" s="657">
        <v>1</v>
      </c>
      <c r="L84" s="636">
        <v>1</v>
      </c>
      <c r="M84" s="637">
        <v>230.9899999999999</v>
      </c>
    </row>
    <row r="85" spans="1:13" ht="14.4" customHeight="1" x14ac:dyDescent="0.3">
      <c r="A85" s="632" t="s">
        <v>511</v>
      </c>
      <c r="B85" s="633" t="s">
        <v>2061</v>
      </c>
      <c r="C85" s="633" t="s">
        <v>526</v>
      </c>
      <c r="D85" s="633" t="s">
        <v>527</v>
      </c>
      <c r="E85" s="633" t="s">
        <v>528</v>
      </c>
      <c r="F85" s="636">
        <v>2</v>
      </c>
      <c r="G85" s="636">
        <v>132.80000000000001</v>
      </c>
      <c r="H85" s="657">
        <v>1</v>
      </c>
      <c r="I85" s="636"/>
      <c r="J85" s="636"/>
      <c r="K85" s="657">
        <v>0</v>
      </c>
      <c r="L85" s="636">
        <v>2</v>
      </c>
      <c r="M85" s="637">
        <v>132.80000000000001</v>
      </c>
    </row>
    <row r="86" spans="1:13" ht="14.4" customHeight="1" x14ac:dyDescent="0.3">
      <c r="A86" s="632" t="s">
        <v>511</v>
      </c>
      <c r="B86" s="633" t="s">
        <v>2062</v>
      </c>
      <c r="C86" s="633" t="s">
        <v>1584</v>
      </c>
      <c r="D86" s="633" t="s">
        <v>2063</v>
      </c>
      <c r="E86" s="633" t="s">
        <v>2064</v>
      </c>
      <c r="F86" s="636"/>
      <c r="G86" s="636"/>
      <c r="H86" s="657">
        <v>0</v>
      </c>
      <c r="I86" s="636">
        <v>14</v>
      </c>
      <c r="J86" s="636">
        <v>624.01</v>
      </c>
      <c r="K86" s="657">
        <v>1</v>
      </c>
      <c r="L86" s="636">
        <v>14</v>
      </c>
      <c r="M86" s="637">
        <v>624.01</v>
      </c>
    </row>
    <row r="87" spans="1:13" ht="14.4" customHeight="1" x14ac:dyDescent="0.3">
      <c r="A87" s="632" t="s">
        <v>511</v>
      </c>
      <c r="B87" s="633" t="s">
        <v>2065</v>
      </c>
      <c r="C87" s="633" t="s">
        <v>1646</v>
      </c>
      <c r="D87" s="633" t="s">
        <v>1647</v>
      </c>
      <c r="E87" s="633" t="s">
        <v>2066</v>
      </c>
      <c r="F87" s="636"/>
      <c r="G87" s="636"/>
      <c r="H87" s="657">
        <v>0</v>
      </c>
      <c r="I87" s="636">
        <v>1</v>
      </c>
      <c r="J87" s="636">
        <v>121.53964930926665</v>
      </c>
      <c r="K87" s="657">
        <v>1</v>
      </c>
      <c r="L87" s="636">
        <v>1</v>
      </c>
      <c r="M87" s="637">
        <v>121.53964930926665</v>
      </c>
    </row>
    <row r="88" spans="1:13" ht="14.4" customHeight="1" x14ac:dyDescent="0.3">
      <c r="A88" s="632" t="s">
        <v>511</v>
      </c>
      <c r="B88" s="633" t="s">
        <v>2065</v>
      </c>
      <c r="C88" s="633" t="s">
        <v>1721</v>
      </c>
      <c r="D88" s="633" t="s">
        <v>1722</v>
      </c>
      <c r="E88" s="633" t="s">
        <v>2067</v>
      </c>
      <c r="F88" s="636"/>
      <c r="G88" s="636"/>
      <c r="H88" s="657">
        <v>0</v>
      </c>
      <c r="I88" s="636">
        <v>3</v>
      </c>
      <c r="J88" s="636">
        <v>487.08000000000015</v>
      </c>
      <c r="K88" s="657">
        <v>1</v>
      </c>
      <c r="L88" s="636">
        <v>3</v>
      </c>
      <c r="M88" s="637">
        <v>487.08000000000015</v>
      </c>
    </row>
    <row r="89" spans="1:13" ht="14.4" customHeight="1" x14ac:dyDescent="0.3">
      <c r="A89" s="632" t="s">
        <v>511</v>
      </c>
      <c r="B89" s="633" t="s">
        <v>2068</v>
      </c>
      <c r="C89" s="633" t="s">
        <v>1682</v>
      </c>
      <c r="D89" s="633" t="s">
        <v>1683</v>
      </c>
      <c r="E89" s="633" t="s">
        <v>818</v>
      </c>
      <c r="F89" s="636"/>
      <c r="G89" s="636"/>
      <c r="H89" s="657">
        <v>0</v>
      </c>
      <c r="I89" s="636">
        <v>3</v>
      </c>
      <c r="J89" s="636">
        <v>523.74215624002807</v>
      </c>
      <c r="K89" s="657">
        <v>1</v>
      </c>
      <c r="L89" s="636">
        <v>3</v>
      </c>
      <c r="M89" s="637">
        <v>523.74215624002807</v>
      </c>
    </row>
    <row r="90" spans="1:13" ht="14.4" customHeight="1" x14ac:dyDescent="0.3">
      <c r="A90" s="632" t="s">
        <v>511</v>
      </c>
      <c r="B90" s="633" t="s">
        <v>2069</v>
      </c>
      <c r="C90" s="633" t="s">
        <v>1495</v>
      </c>
      <c r="D90" s="633" t="s">
        <v>1496</v>
      </c>
      <c r="E90" s="633" t="s">
        <v>1497</v>
      </c>
      <c r="F90" s="636"/>
      <c r="G90" s="636"/>
      <c r="H90" s="657">
        <v>0</v>
      </c>
      <c r="I90" s="636">
        <v>2</v>
      </c>
      <c r="J90" s="636">
        <v>189.92</v>
      </c>
      <c r="K90" s="657">
        <v>1</v>
      </c>
      <c r="L90" s="636">
        <v>2</v>
      </c>
      <c r="M90" s="637">
        <v>189.92</v>
      </c>
    </row>
    <row r="91" spans="1:13" ht="14.4" customHeight="1" x14ac:dyDescent="0.3">
      <c r="A91" s="632" t="s">
        <v>511</v>
      </c>
      <c r="B91" s="633" t="s">
        <v>2069</v>
      </c>
      <c r="C91" s="633" t="s">
        <v>1734</v>
      </c>
      <c r="D91" s="633" t="s">
        <v>1735</v>
      </c>
      <c r="E91" s="633" t="s">
        <v>2070</v>
      </c>
      <c r="F91" s="636"/>
      <c r="G91" s="636"/>
      <c r="H91" s="657">
        <v>0</v>
      </c>
      <c r="I91" s="636">
        <v>1</v>
      </c>
      <c r="J91" s="636">
        <v>150.93967737231787</v>
      </c>
      <c r="K91" s="657">
        <v>1</v>
      </c>
      <c r="L91" s="636">
        <v>1</v>
      </c>
      <c r="M91" s="637">
        <v>150.93967737231787</v>
      </c>
    </row>
    <row r="92" spans="1:13" ht="14.4" customHeight="1" x14ac:dyDescent="0.3">
      <c r="A92" s="632" t="s">
        <v>511</v>
      </c>
      <c r="B92" s="633" t="s">
        <v>2071</v>
      </c>
      <c r="C92" s="633" t="s">
        <v>1476</v>
      </c>
      <c r="D92" s="633" t="s">
        <v>1470</v>
      </c>
      <c r="E92" s="633" t="s">
        <v>1477</v>
      </c>
      <c r="F92" s="636">
        <v>2</v>
      </c>
      <c r="G92" s="636">
        <v>1160.2399999999998</v>
      </c>
      <c r="H92" s="657">
        <v>1</v>
      </c>
      <c r="I92" s="636"/>
      <c r="J92" s="636"/>
      <c r="K92" s="657">
        <v>0</v>
      </c>
      <c r="L92" s="636">
        <v>2</v>
      </c>
      <c r="M92" s="637">
        <v>1160.2399999999998</v>
      </c>
    </row>
    <row r="93" spans="1:13" ht="14.4" customHeight="1" x14ac:dyDescent="0.3">
      <c r="A93" s="632" t="s">
        <v>511</v>
      </c>
      <c r="B93" s="633" t="s">
        <v>2071</v>
      </c>
      <c r="C93" s="633" t="s">
        <v>1469</v>
      </c>
      <c r="D93" s="633" t="s">
        <v>1470</v>
      </c>
      <c r="E93" s="633" t="s">
        <v>1471</v>
      </c>
      <c r="F93" s="636">
        <v>1</v>
      </c>
      <c r="G93" s="636">
        <v>1826.29</v>
      </c>
      <c r="H93" s="657">
        <v>1</v>
      </c>
      <c r="I93" s="636"/>
      <c r="J93" s="636"/>
      <c r="K93" s="657">
        <v>0</v>
      </c>
      <c r="L93" s="636">
        <v>1</v>
      </c>
      <c r="M93" s="637">
        <v>1826.29</v>
      </c>
    </row>
    <row r="94" spans="1:13" ht="14.4" customHeight="1" x14ac:dyDescent="0.3">
      <c r="A94" s="632" t="s">
        <v>511</v>
      </c>
      <c r="B94" s="633" t="s">
        <v>2071</v>
      </c>
      <c r="C94" s="633" t="s">
        <v>1463</v>
      </c>
      <c r="D94" s="633" t="s">
        <v>1464</v>
      </c>
      <c r="E94" s="633" t="s">
        <v>1465</v>
      </c>
      <c r="F94" s="636">
        <v>1</v>
      </c>
      <c r="G94" s="636">
        <v>426.87</v>
      </c>
      <c r="H94" s="657">
        <v>1</v>
      </c>
      <c r="I94" s="636"/>
      <c r="J94" s="636"/>
      <c r="K94" s="657">
        <v>0</v>
      </c>
      <c r="L94" s="636">
        <v>1</v>
      </c>
      <c r="M94" s="637">
        <v>426.87</v>
      </c>
    </row>
    <row r="95" spans="1:13" ht="14.4" customHeight="1" x14ac:dyDescent="0.3">
      <c r="A95" s="632" t="s">
        <v>511</v>
      </c>
      <c r="B95" s="633" t="s">
        <v>2072</v>
      </c>
      <c r="C95" s="633" t="s">
        <v>1706</v>
      </c>
      <c r="D95" s="633" t="s">
        <v>1707</v>
      </c>
      <c r="E95" s="633" t="s">
        <v>2073</v>
      </c>
      <c r="F95" s="636"/>
      <c r="G95" s="636"/>
      <c r="H95" s="657">
        <v>0</v>
      </c>
      <c r="I95" s="636">
        <v>2</v>
      </c>
      <c r="J95" s="636">
        <v>257.85897851738093</v>
      </c>
      <c r="K95" s="657">
        <v>1</v>
      </c>
      <c r="L95" s="636">
        <v>2</v>
      </c>
      <c r="M95" s="637">
        <v>257.85897851738093</v>
      </c>
    </row>
    <row r="96" spans="1:13" ht="14.4" customHeight="1" x14ac:dyDescent="0.3">
      <c r="A96" s="632" t="s">
        <v>511</v>
      </c>
      <c r="B96" s="633" t="s">
        <v>2072</v>
      </c>
      <c r="C96" s="633" t="s">
        <v>1123</v>
      </c>
      <c r="D96" s="633" t="s">
        <v>1675</v>
      </c>
      <c r="E96" s="633" t="s">
        <v>1676</v>
      </c>
      <c r="F96" s="636"/>
      <c r="G96" s="636"/>
      <c r="H96" s="657">
        <v>0</v>
      </c>
      <c r="I96" s="636">
        <v>6</v>
      </c>
      <c r="J96" s="636">
        <v>619.72</v>
      </c>
      <c r="K96" s="657">
        <v>1</v>
      </c>
      <c r="L96" s="636">
        <v>6</v>
      </c>
      <c r="M96" s="637">
        <v>619.72</v>
      </c>
    </row>
    <row r="97" spans="1:13" ht="14.4" customHeight="1" x14ac:dyDescent="0.3">
      <c r="A97" s="632" t="s">
        <v>511</v>
      </c>
      <c r="B97" s="633" t="s">
        <v>2074</v>
      </c>
      <c r="C97" s="633" t="s">
        <v>1650</v>
      </c>
      <c r="D97" s="633" t="s">
        <v>1651</v>
      </c>
      <c r="E97" s="633" t="s">
        <v>2075</v>
      </c>
      <c r="F97" s="636"/>
      <c r="G97" s="636"/>
      <c r="H97" s="657">
        <v>0</v>
      </c>
      <c r="I97" s="636">
        <v>3</v>
      </c>
      <c r="J97" s="636">
        <v>158.43</v>
      </c>
      <c r="K97" s="657">
        <v>1</v>
      </c>
      <c r="L97" s="636">
        <v>3</v>
      </c>
      <c r="M97" s="637">
        <v>158.43</v>
      </c>
    </row>
    <row r="98" spans="1:13" ht="14.4" customHeight="1" x14ac:dyDescent="0.3">
      <c r="A98" s="632" t="s">
        <v>511</v>
      </c>
      <c r="B98" s="633" t="s">
        <v>2076</v>
      </c>
      <c r="C98" s="633" t="s">
        <v>1713</v>
      </c>
      <c r="D98" s="633" t="s">
        <v>1714</v>
      </c>
      <c r="E98" s="633" t="s">
        <v>2077</v>
      </c>
      <c r="F98" s="636"/>
      <c r="G98" s="636"/>
      <c r="H98" s="657">
        <v>0</v>
      </c>
      <c r="I98" s="636">
        <v>1</v>
      </c>
      <c r="J98" s="636">
        <v>1172.72</v>
      </c>
      <c r="K98" s="657">
        <v>1</v>
      </c>
      <c r="L98" s="636">
        <v>1</v>
      </c>
      <c r="M98" s="637">
        <v>1172.72</v>
      </c>
    </row>
    <row r="99" spans="1:13" ht="14.4" customHeight="1" x14ac:dyDescent="0.3">
      <c r="A99" s="632" t="s">
        <v>511</v>
      </c>
      <c r="B99" s="633" t="s">
        <v>2076</v>
      </c>
      <c r="C99" s="633" t="s">
        <v>1658</v>
      </c>
      <c r="D99" s="633" t="s">
        <v>1659</v>
      </c>
      <c r="E99" s="633" t="s">
        <v>2078</v>
      </c>
      <c r="F99" s="636"/>
      <c r="G99" s="636"/>
      <c r="H99" s="657">
        <v>0</v>
      </c>
      <c r="I99" s="636">
        <v>1</v>
      </c>
      <c r="J99" s="636">
        <v>869.27000000000044</v>
      </c>
      <c r="K99" s="657">
        <v>1</v>
      </c>
      <c r="L99" s="636">
        <v>1</v>
      </c>
      <c r="M99" s="637">
        <v>869.27000000000044</v>
      </c>
    </row>
    <row r="100" spans="1:13" ht="14.4" customHeight="1" x14ac:dyDescent="0.3">
      <c r="A100" s="632" t="s">
        <v>511</v>
      </c>
      <c r="B100" s="633" t="s">
        <v>2079</v>
      </c>
      <c r="C100" s="633" t="s">
        <v>1491</v>
      </c>
      <c r="D100" s="633" t="s">
        <v>1492</v>
      </c>
      <c r="E100" s="633" t="s">
        <v>2080</v>
      </c>
      <c r="F100" s="636"/>
      <c r="G100" s="636"/>
      <c r="H100" s="657">
        <v>0</v>
      </c>
      <c r="I100" s="636">
        <v>2</v>
      </c>
      <c r="J100" s="636">
        <v>546.25905362328001</v>
      </c>
      <c r="K100" s="657">
        <v>1</v>
      </c>
      <c r="L100" s="636">
        <v>2</v>
      </c>
      <c r="M100" s="637">
        <v>546.25905362328001</v>
      </c>
    </row>
    <row r="101" spans="1:13" ht="14.4" customHeight="1" x14ac:dyDescent="0.3">
      <c r="A101" s="632" t="s">
        <v>511</v>
      </c>
      <c r="B101" s="633" t="s">
        <v>2079</v>
      </c>
      <c r="C101" s="633" t="s">
        <v>1574</v>
      </c>
      <c r="D101" s="633" t="s">
        <v>1492</v>
      </c>
      <c r="E101" s="633" t="s">
        <v>818</v>
      </c>
      <c r="F101" s="636"/>
      <c r="G101" s="636"/>
      <c r="H101" s="657">
        <v>0</v>
      </c>
      <c r="I101" s="636">
        <v>5</v>
      </c>
      <c r="J101" s="636">
        <v>544.59968572293337</v>
      </c>
      <c r="K101" s="657">
        <v>1</v>
      </c>
      <c r="L101" s="636">
        <v>5</v>
      </c>
      <c r="M101" s="637">
        <v>544.59968572293337</v>
      </c>
    </row>
    <row r="102" spans="1:13" ht="14.4" customHeight="1" x14ac:dyDescent="0.3">
      <c r="A102" s="632" t="s">
        <v>511</v>
      </c>
      <c r="B102" s="633" t="s">
        <v>2079</v>
      </c>
      <c r="C102" s="633" t="s">
        <v>1693</v>
      </c>
      <c r="D102" s="633" t="s">
        <v>1492</v>
      </c>
      <c r="E102" s="633" t="s">
        <v>1694</v>
      </c>
      <c r="F102" s="636"/>
      <c r="G102" s="636"/>
      <c r="H102" s="657">
        <v>0</v>
      </c>
      <c r="I102" s="636">
        <v>1</v>
      </c>
      <c r="J102" s="636">
        <v>314.35000000000002</v>
      </c>
      <c r="K102" s="657">
        <v>1</v>
      </c>
      <c r="L102" s="636">
        <v>1</v>
      </c>
      <c r="M102" s="637">
        <v>314.35000000000002</v>
      </c>
    </row>
    <row r="103" spans="1:13" ht="14.4" customHeight="1" x14ac:dyDescent="0.3">
      <c r="A103" s="632" t="s">
        <v>511</v>
      </c>
      <c r="B103" s="633" t="s">
        <v>2081</v>
      </c>
      <c r="C103" s="633" t="s">
        <v>1741</v>
      </c>
      <c r="D103" s="633" t="s">
        <v>1742</v>
      </c>
      <c r="E103" s="633" t="s">
        <v>2082</v>
      </c>
      <c r="F103" s="636"/>
      <c r="G103" s="636"/>
      <c r="H103" s="657">
        <v>0</v>
      </c>
      <c r="I103" s="636">
        <v>1</v>
      </c>
      <c r="J103" s="636">
        <v>230.24</v>
      </c>
      <c r="K103" s="657">
        <v>1</v>
      </c>
      <c r="L103" s="636">
        <v>1</v>
      </c>
      <c r="M103" s="637">
        <v>230.24</v>
      </c>
    </row>
    <row r="104" spans="1:13" ht="14.4" customHeight="1" x14ac:dyDescent="0.3">
      <c r="A104" s="632" t="s">
        <v>511</v>
      </c>
      <c r="B104" s="633" t="s">
        <v>2083</v>
      </c>
      <c r="C104" s="633" t="s">
        <v>1761</v>
      </c>
      <c r="D104" s="633" t="s">
        <v>1762</v>
      </c>
      <c r="E104" s="633" t="s">
        <v>1763</v>
      </c>
      <c r="F104" s="636"/>
      <c r="G104" s="636"/>
      <c r="H104" s="657">
        <v>0</v>
      </c>
      <c r="I104" s="636">
        <v>1</v>
      </c>
      <c r="J104" s="636">
        <v>198.26</v>
      </c>
      <c r="K104" s="657">
        <v>1</v>
      </c>
      <c r="L104" s="636">
        <v>1</v>
      </c>
      <c r="M104" s="637">
        <v>198.26</v>
      </c>
    </row>
    <row r="105" spans="1:13" ht="14.4" customHeight="1" x14ac:dyDescent="0.3">
      <c r="A105" s="632" t="s">
        <v>511</v>
      </c>
      <c r="B105" s="633" t="s">
        <v>2083</v>
      </c>
      <c r="C105" s="633" t="s">
        <v>1764</v>
      </c>
      <c r="D105" s="633" t="s">
        <v>1765</v>
      </c>
      <c r="E105" s="633" t="s">
        <v>1766</v>
      </c>
      <c r="F105" s="636"/>
      <c r="G105" s="636"/>
      <c r="H105" s="657">
        <v>0</v>
      </c>
      <c r="I105" s="636">
        <v>34</v>
      </c>
      <c r="J105" s="636">
        <v>6234.5782572343578</v>
      </c>
      <c r="K105" s="657">
        <v>1</v>
      </c>
      <c r="L105" s="636">
        <v>34</v>
      </c>
      <c r="M105" s="637">
        <v>6234.5782572343578</v>
      </c>
    </row>
    <row r="106" spans="1:13" ht="14.4" customHeight="1" thickBot="1" x14ac:dyDescent="0.35">
      <c r="A106" s="638" t="s">
        <v>511</v>
      </c>
      <c r="B106" s="639" t="s">
        <v>2083</v>
      </c>
      <c r="C106" s="639" t="s">
        <v>1757</v>
      </c>
      <c r="D106" s="639" t="s">
        <v>1758</v>
      </c>
      <c r="E106" s="639" t="s">
        <v>1766</v>
      </c>
      <c r="F106" s="642"/>
      <c r="G106" s="642"/>
      <c r="H106" s="650">
        <v>0</v>
      </c>
      <c r="I106" s="642">
        <v>41</v>
      </c>
      <c r="J106" s="642">
        <v>8487.0006660929685</v>
      </c>
      <c r="K106" s="650">
        <v>1</v>
      </c>
      <c r="L106" s="642">
        <v>41</v>
      </c>
      <c r="M106" s="643">
        <v>8487.0006660929685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60" customWidth="1"/>
    <col min="2" max="2" width="34.21875" style="260" customWidth="1"/>
    <col min="3" max="3" width="11.109375" style="260" bestFit="1" customWidth="1"/>
    <col min="4" max="4" width="7.33203125" style="260" bestFit="1" customWidth="1"/>
    <col min="5" max="5" width="11.109375" style="260" bestFit="1" customWidth="1"/>
    <col min="6" max="6" width="5.33203125" style="260" customWidth="1"/>
    <col min="7" max="7" width="7.33203125" style="260" bestFit="1" customWidth="1"/>
    <col min="8" max="8" width="5.33203125" style="260" customWidth="1"/>
    <col min="9" max="9" width="11.109375" style="260" customWidth="1"/>
    <col min="10" max="10" width="5.33203125" style="260" customWidth="1"/>
    <col min="11" max="11" width="7.33203125" style="260" customWidth="1"/>
    <col min="12" max="12" width="5.33203125" style="260" customWidth="1"/>
    <col min="13" max="13" width="0" style="260" hidden="1" customWidth="1"/>
    <col min="14" max="16384" width="8.88671875" style="260"/>
  </cols>
  <sheetData>
    <row r="1" spans="1:14" ht="18.600000000000001" customHeight="1" thickBot="1" x14ac:dyDescent="0.4">
      <c r="A1" s="494" t="s">
        <v>181</v>
      </c>
      <c r="B1" s="494"/>
      <c r="C1" s="494"/>
      <c r="D1" s="494"/>
      <c r="E1" s="494"/>
      <c r="F1" s="494"/>
      <c r="G1" s="494"/>
      <c r="H1" s="494"/>
      <c r="I1" s="463"/>
      <c r="J1" s="463"/>
      <c r="K1" s="463"/>
      <c r="L1" s="463"/>
    </row>
    <row r="2" spans="1:14" ht="14.4" customHeight="1" thickBot="1" x14ac:dyDescent="0.35">
      <c r="A2" s="389" t="s">
        <v>298</v>
      </c>
      <c r="B2" s="342"/>
      <c r="C2" s="342"/>
      <c r="D2" s="342"/>
      <c r="E2" s="342"/>
      <c r="F2" s="342"/>
      <c r="G2" s="342"/>
      <c r="H2" s="342"/>
    </row>
    <row r="3" spans="1:14" ht="14.4" customHeight="1" thickBot="1" x14ac:dyDescent="0.35">
      <c r="A3" s="275"/>
      <c r="B3" s="275"/>
      <c r="C3" s="505" t="s">
        <v>18</v>
      </c>
      <c r="D3" s="504"/>
      <c r="E3" s="504" t="s">
        <v>19</v>
      </c>
      <c r="F3" s="504"/>
      <c r="G3" s="504"/>
      <c r="H3" s="504"/>
      <c r="I3" s="504" t="s">
        <v>195</v>
      </c>
      <c r="J3" s="504"/>
      <c r="K3" s="504"/>
      <c r="L3" s="506"/>
    </row>
    <row r="4" spans="1:14" ht="14.4" customHeight="1" thickBot="1" x14ac:dyDescent="0.35">
      <c r="A4" s="106" t="s">
        <v>20</v>
      </c>
      <c r="B4" s="107" t="s">
        <v>21</v>
      </c>
      <c r="C4" s="108" t="s">
        <v>22</v>
      </c>
      <c r="D4" s="108" t="s">
        <v>23</v>
      </c>
      <c r="E4" s="108" t="s">
        <v>22</v>
      </c>
      <c r="F4" s="108" t="s">
        <v>5</v>
      </c>
      <c r="G4" s="108" t="s">
        <v>23</v>
      </c>
      <c r="H4" s="108" t="s">
        <v>5</v>
      </c>
      <c r="I4" s="108" t="s">
        <v>22</v>
      </c>
      <c r="J4" s="108" t="s">
        <v>5</v>
      </c>
      <c r="K4" s="108" t="s">
        <v>23</v>
      </c>
      <c r="L4" s="109" t="s">
        <v>5</v>
      </c>
    </row>
    <row r="5" spans="1:14" ht="14.4" customHeight="1" x14ac:dyDescent="0.3">
      <c r="A5" s="615">
        <v>30</v>
      </c>
      <c r="B5" s="616" t="s">
        <v>501</v>
      </c>
      <c r="C5" s="617">
        <v>97275.809999999969</v>
      </c>
      <c r="D5" s="617">
        <v>308</v>
      </c>
      <c r="E5" s="617">
        <v>39645.549999999974</v>
      </c>
      <c r="F5" s="618">
        <v>0.40755815860078665</v>
      </c>
      <c r="G5" s="617">
        <v>109</v>
      </c>
      <c r="H5" s="618">
        <v>0.35389610389610388</v>
      </c>
      <c r="I5" s="617">
        <v>57630.259999999995</v>
      </c>
      <c r="J5" s="618">
        <v>0.59244184139921341</v>
      </c>
      <c r="K5" s="617">
        <v>199</v>
      </c>
      <c r="L5" s="618">
        <v>0.64610389610389607</v>
      </c>
      <c r="M5" s="617" t="s">
        <v>77</v>
      </c>
      <c r="N5" s="283"/>
    </row>
    <row r="6" spans="1:14" ht="14.4" customHeight="1" x14ac:dyDescent="0.3">
      <c r="A6" s="615">
        <v>30</v>
      </c>
      <c r="B6" s="616" t="s">
        <v>2085</v>
      </c>
      <c r="C6" s="617">
        <v>96865.809999999969</v>
      </c>
      <c r="D6" s="617">
        <v>298</v>
      </c>
      <c r="E6" s="617">
        <v>39645.549999999974</v>
      </c>
      <c r="F6" s="618">
        <v>0.40928321355078728</v>
      </c>
      <c r="G6" s="617">
        <v>102</v>
      </c>
      <c r="H6" s="618">
        <v>0.34228187919463088</v>
      </c>
      <c r="I6" s="617">
        <v>57220.259999999995</v>
      </c>
      <c r="J6" s="618">
        <v>0.59071678644921266</v>
      </c>
      <c r="K6" s="617">
        <v>196</v>
      </c>
      <c r="L6" s="618">
        <v>0.65771812080536918</v>
      </c>
      <c r="M6" s="617" t="s">
        <v>2</v>
      </c>
      <c r="N6" s="283"/>
    </row>
    <row r="7" spans="1:14" ht="14.4" customHeight="1" x14ac:dyDescent="0.3">
      <c r="A7" s="615">
        <v>30</v>
      </c>
      <c r="B7" s="616" t="s">
        <v>2086</v>
      </c>
      <c r="C7" s="617">
        <v>0</v>
      </c>
      <c r="D7" s="617">
        <v>9</v>
      </c>
      <c r="E7" s="617">
        <v>0</v>
      </c>
      <c r="F7" s="618" t="s">
        <v>500</v>
      </c>
      <c r="G7" s="617">
        <v>7</v>
      </c>
      <c r="H7" s="618">
        <v>0.77777777777777779</v>
      </c>
      <c r="I7" s="617">
        <v>0</v>
      </c>
      <c r="J7" s="618" t="s">
        <v>500</v>
      </c>
      <c r="K7" s="617">
        <v>2</v>
      </c>
      <c r="L7" s="618">
        <v>0.22222222222222221</v>
      </c>
      <c r="M7" s="617" t="s">
        <v>2</v>
      </c>
      <c r="N7" s="283"/>
    </row>
    <row r="8" spans="1:14" ht="14.4" customHeight="1" x14ac:dyDescent="0.3">
      <c r="A8" s="615">
        <v>30</v>
      </c>
      <c r="B8" s="616" t="s">
        <v>2087</v>
      </c>
      <c r="C8" s="617">
        <v>410</v>
      </c>
      <c r="D8" s="617">
        <v>1</v>
      </c>
      <c r="E8" s="617" t="s">
        <v>500</v>
      </c>
      <c r="F8" s="618">
        <v>0</v>
      </c>
      <c r="G8" s="617" t="s">
        <v>500</v>
      </c>
      <c r="H8" s="618">
        <v>0</v>
      </c>
      <c r="I8" s="617">
        <v>410</v>
      </c>
      <c r="J8" s="618">
        <v>1</v>
      </c>
      <c r="K8" s="617">
        <v>1</v>
      </c>
      <c r="L8" s="618">
        <v>1</v>
      </c>
      <c r="M8" s="617" t="s">
        <v>2</v>
      </c>
      <c r="N8" s="283"/>
    </row>
    <row r="9" spans="1:14" ht="14.4" customHeight="1" x14ac:dyDescent="0.3">
      <c r="A9" s="615" t="s">
        <v>499</v>
      </c>
      <c r="B9" s="616" t="s">
        <v>6</v>
      </c>
      <c r="C9" s="617">
        <v>97275.809999999969</v>
      </c>
      <c r="D9" s="617">
        <v>308</v>
      </c>
      <c r="E9" s="617">
        <v>39645.549999999974</v>
      </c>
      <c r="F9" s="618">
        <v>0.40755815860078665</v>
      </c>
      <c r="G9" s="617">
        <v>109</v>
      </c>
      <c r="H9" s="618">
        <v>0.35389610389610388</v>
      </c>
      <c r="I9" s="617">
        <v>57630.259999999995</v>
      </c>
      <c r="J9" s="618">
        <v>0.59244184139921341</v>
      </c>
      <c r="K9" s="617">
        <v>199</v>
      </c>
      <c r="L9" s="618">
        <v>0.64610389610389607</v>
      </c>
      <c r="M9" s="617" t="s">
        <v>510</v>
      </c>
      <c r="N9" s="283"/>
    </row>
    <row r="11" spans="1:14" ht="14.4" customHeight="1" x14ac:dyDescent="0.3">
      <c r="A11" s="615">
        <v>30</v>
      </c>
      <c r="B11" s="616" t="s">
        <v>501</v>
      </c>
      <c r="C11" s="617" t="s">
        <v>500</v>
      </c>
      <c r="D11" s="617" t="s">
        <v>500</v>
      </c>
      <c r="E11" s="617" t="s">
        <v>500</v>
      </c>
      <c r="F11" s="618" t="s">
        <v>500</v>
      </c>
      <c r="G11" s="617" t="s">
        <v>500</v>
      </c>
      <c r="H11" s="618" t="s">
        <v>500</v>
      </c>
      <c r="I11" s="617" t="s">
        <v>500</v>
      </c>
      <c r="J11" s="618" t="s">
        <v>500</v>
      </c>
      <c r="K11" s="617" t="s">
        <v>500</v>
      </c>
      <c r="L11" s="618" t="s">
        <v>500</v>
      </c>
      <c r="M11" s="617" t="s">
        <v>77</v>
      </c>
      <c r="N11" s="283"/>
    </row>
    <row r="12" spans="1:14" ht="14.4" customHeight="1" x14ac:dyDescent="0.3">
      <c r="A12" s="615">
        <v>89301301</v>
      </c>
      <c r="B12" s="616" t="s">
        <v>2085</v>
      </c>
      <c r="C12" s="617">
        <v>43282.119999999981</v>
      </c>
      <c r="D12" s="617">
        <v>138</v>
      </c>
      <c r="E12" s="617">
        <v>14259.449999999997</v>
      </c>
      <c r="F12" s="618">
        <v>0.32945359423244525</v>
      </c>
      <c r="G12" s="617">
        <v>26</v>
      </c>
      <c r="H12" s="618">
        <v>0.18840579710144928</v>
      </c>
      <c r="I12" s="617">
        <v>29022.66999999998</v>
      </c>
      <c r="J12" s="618">
        <v>0.67054640576755464</v>
      </c>
      <c r="K12" s="617">
        <v>112</v>
      </c>
      <c r="L12" s="618">
        <v>0.81159420289855078</v>
      </c>
      <c r="M12" s="617" t="s">
        <v>2</v>
      </c>
      <c r="N12" s="283"/>
    </row>
    <row r="13" spans="1:14" ht="14.4" customHeight="1" x14ac:dyDescent="0.3">
      <c r="A13" s="615">
        <v>89301301</v>
      </c>
      <c r="B13" s="616" t="s">
        <v>2086</v>
      </c>
      <c r="C13" s="617">
        <v>0</v>
      </c>
      <c r="D13" s="617">
        <v>2</v>
      </c>
      <c r="E13" s="617">
        <v>0</v>
      </c>
      <c r="F13" s="618" t="s">
        <v>500</v>
      </c>
      <c r="G13" s="617">
        <v>1</v>
      </c>
      <c r="H13" s="618">
        <v>0.5</v>
      </c>
      <c r="I13" s="617">
        <v>0</v>
      </c>
      <c r="J13" s="618" t="s">
        <v>500</v>
      </c>
      <c r="K13" s="617">
        <v>1</v>
      </c>
      <c r="L13" s="618">
        <v>0.5</v>
      </c>
      <c r="M13" s="617" t="s">
        <v>2</v>
      </c>
      <c r="N13" s="283"/>
    </row>
    <row r="14" spans="1:14" ht="14.4" customHeight="1" x14ac:dyDescent="0.3">
      <c r="A14" s="615" t="s">
        <v>2088</v>
      </c>
      <c r="B14" s="616" t="s">
        <v>2089</v>
      </c>
      <c r="C14" s="617">
        <v>43282.119999999981</v>
      </c>
      <c r="D14" s="617">
        <v>140</v>
      </c>
      <c r="E14" s="617">
        <v>14259.449999999997</v>
      </c>
      <c r="F14" s="618">
        <v>0.32945359423244525</v>
      </c>
      <c r="G14" s="617">
        <v>27</v>
      </c>
      <c r="H14" s="618">
        <v>0.19285714285714287</v>
      </c>
      <c r="I14" s="617">
        <v>29022.66999999998</v>
      </c>
      <c r="J14" s="618">
        <v>0.67054640576755464</v>
      </c>
      <c r="K14" s="617">
        <v>113</v>
      </c>
      <c r="L14" s="618">
        <v>0.80714285714285716</v>
      </c>
      <c r="M14" s="617" t="s">
        <v>513</v>
      </c>
      <c r="N14" s="283"/>
    </row>
    <row r="15" spans="1:14" ht="14.4" customHeight="1" x14ac:dyDescent="0.3">
      <c r="A15" s="615" t="s">
        <v>500</v>
      </c>
      <c r="B15" s="616" t="s">
        <v>500</v>
      </c>
      <c r="C15" s="617" t="s">
        <v>500</v>
      </c>
      <c r="D15" s="617" t="s">
        <v>500</v>
      </c>
      <c r="E15" s="617" t="s">
        <v>500</v>
      </c>
      <c r="F15" s="618" t="s">
        <v>500</v>
      </c>
      <c r="G15" s="617" t="s">
        <v>500</v>
      </c>
      <c r="H15" s="618" t="s">
        <v>500</v>
      </c>
      <c r="I15" s="617" t="s">
        <v>500</v>
      </c>
      <c r="J15" s="618" t="s">
        <v>500</v>
      </c>
      <c r="K15" s="617" t="s">
        <v>500</v>
      </c>
      <c r="L15" s="618" t="s">
        <v>500</v>
      </c>
      <c r="M15" s="617" t="s">
        <v>514</v>
      </c>
      <c r="N15" s="283"/>
    </row>
    <row r="16" spans="1:14" ht="14.4" customHeight="1" x14ac:dyDescent="0.3">
      <c r="A16" s="615">
        <v>89301303</v>
      </c>
      <c r="B16" s="616" t="s">
        <v>2085</v>
      </c>
      <c r="C16" s="617">
        <v>53583.689999999988</v>
      </c>
      <c r="D16" s="617">
        <v>160</v>
      </c>
      <c r="E16" s="617">
        <v>25386.099999999988</v>
      </c>
      <c r="F16" s="618">
        <v>0.47376543123476555</v>
      </c>
      <c r="G16" s="617">
        <v>76</v>
      </c>
      <c r="H16" s="618">
        <v>0.47499999999999998</v>
      </c>
      <c r="I16" s="617">
        <v>28197.589999999997</v>
      </c>
      <c r="J16" s="618">
        <v>0.52623456876523445</v>
      </c>
      <c r="K16" s="617">
        <v>84</v>
      </c>
      <c r="L16" s="618">
        <v>0.52500000000000002</v>
      </c>
      <c r="M16" s="617" t="s">
        <v>2</v>
      </c>
      <c r="N16" s="283"/>
    </row>
    <row r="17" spans="1:14" ht="14.4" customHeight="1" x14ac:dyDescent="0.3">
      <c r="A17" s="615">
        <v>89301303</v>
      </c>
      <c r="B17" s="616" t="s">
        <v>2086</v>
      </c>
      <c r="C17" s="617">
        <v>0</v>
      </c>
      <c r="D17" s="617">
        <v>7</v>
      </c>
      <c r="E17" s="617">
        <v>0</v>
      </c>
      <c r="F17" s="618" t="s">
        <v>500</v>
      </c>
      <c r="G17" s="617">
        <v>6</v>
      </c>
      <c r="H17" s="618">
        <v>0.8571428571428571</v>
      </c>
      <c r="I17" s="617">
        <v>0</v>
      </c>
      <c r="J17" s="618" t="s">
        <v>500</v>
      </c>
      <c r="K17" s="617">
        <v>1</v>
      </c>
      <c r="L17" s="618">
        <v>0.14285714285714285</v>
      </c>
      <c r="M17" s="617" t="s">
        <v>2</v>
      </c>
      <c r="N17" s="283"/>
    </row>
    <row r="18" spans="1:14" ht="14.4" customHeight="1" x14ac:dyDescent="0.3">
      <c r="A18" s="615">
        <v>89301303</v>
      </c>
      <c r="B18" s="616" t="s">
        <v>2087</v>
      </c>
      <c r="C18" s="617">
        <v>410</v>
      </c>
      <c r="D18" s="617">
        <v>1</v>
      </c>
      <c r="E18" s="617" t="s">
        <v>500</v>
      </c>
      <c r="F18" s="618">
        <v>0</v>
      </c>
      <c r="G18" s="617" t="s">
        <v>500</v>
      </c>
      <c r="H18" s="618">
        <v>0</v>
      </c>
      <c r="I18" s="617">
        <v>410</v>
      </c>
      <c r="J18" s="618">
        <v>1</v>
      </c>
      <c r="K18" s="617">
        <v>1</v>
      </c>
      <c r="L18" s="618">
        <v>1</v>
      </c>
      <c r="M18" s="617" t="s">
        <v>2</v>
      </c>
      <c r="N18" s="283"/>
    </row>
    <row r="19" spans="1:14" ht="14.4" customHeight="1" x14ac:dyDescent="0.3">
      <c r="A19" s="615" t="s">
        <v>2090</v>
      </c>
      <c r="B19" s="616" t="s">
        <v>2091</v>
      </c>
      <c r="C19" s="617">
        <v>53993.689999999988</v>
      </c>
      <c r="D19" s="617">
        <v>168</v>
      </c>
      <c r="E19" s="617">
        <v>25386.099999999988</v>
      </c>
      <c r="F19" s="618">
        <v>0.47016790295310423</v>
      </c>
      <c r="G19" s="617">
        <v>82</v>
      </c>
      <c r="H19" s="618">
        <v>0.48809523809523808</v>
      </c>
      <c r="I19" s="617">
        <v>28607.589999999997</v>
      </c>
      <c r="J19" s="618">
        <v>0.52983209704689571</v>
      </c>
      <c r="K19" s="617">
        <v>86</v>
      </c>
      <c r="L19" s="618">
        <v>0.51190476190476186</v>
      </c>
      <c r="M19" s="617" t="s">
        <v>513</v>
      </c>
      <c r="N19" s="283"/>
    </row>
    <row r="20" spans="1:14" ht="14.4" customHeight="1" x14ac:dyDescent="0.3">
      <c r="A20" s="615" t="s">
        <v>500</v>
      </c>
      <c r="B20" s="616" t="s">
        <v>500</v>
      </c>
      <c r="C20" s="617" t="s">
        <v>500</v>
      </c>
      <c r="D20" s="617" t="s">
        <v>500</v>
      </c>
      <c r="E20" s="617" t="s">
        <v>500</v>
      </c>
      <c r="F20" s="618" t="s">
        <v>500</v>
      </c>
      <c r="G20" s="617" t="s">
        <v>500</v>
      </c>
      <c r="H20" s="618" t="s">
        <v>500</v>
      </c>
      <c r="I20" s="617" t="s">
        <v>500</v>
      </c>
      <c r="J20" s="618" t="s">
        <v>500</v>
      </c>
      <c r="K20" s="617" t="s">
        <v>500</v>
      </c>
      <c r="L20" s="618" t="s">
        <v>500</v>
      </c>
      <c r="M20" s="617" t="s">
        <v>514</v>
      </c>
      <c r="N20" s="283"/>
    </row>
    <row r="21" spans="1:14" ht="14.4" customHeight="1" x14ac:dyDescent="0.3">
      <c r="A21" s="615" t="s">
        <v>499</v>
      </c>
      <c r="B21" s="616" t="s">
        <v>2092</v>
      </c>
      <c r="C21" s="617">
        <v>97275.809999999969</v>
      </c>
      <c r="D21" s="617">
        <v>308</v>
      </c>
      <c r="E21" s="617">
        <v>39645.549999999988</v>
      </c>
      <c r="F21" s="618">
        <v>0.40755815860078681</v>
      </c>
      <c r="G21" s="617">
        <v>109</v>
      </c>
      <c r="H21" s="618">
        <v>0.35389610389610388</v>
      </c>
      <c r="I21" s="617">
        <v>57630.25999999998</v>
      </c>
      <c r="J21" s="618">
        <v>0.59244184139921319</v>
      </c>
      <c r="K21" s="617">
        <v>199</v>
      </c>
      <c r="L21" s="618">
        <v>0.64610389610389607</v>
      </c>
      <c r="M21" s="617" t="s">
        <v>510</v>
      </c>
      <c r="N21" s="283"/>
    </row>
  </sheetData>
  <autoFilter ref="A4:M4"/>
  <mergeCells count="4">
    <mergeCell ref="E3:H3"/>
    <mergeCell ref="C3:D3"/>
    <mergeCell ref="I3:L3"/>
    <mergeCell ref="A1:L1"/>
  </mergeCells>
  <conditionalFormatting sqref="F4 F10 F22:F1048576">
    <cfRule type="cellIs" dxfId="48" priority="15" stopIfTrue="1" operator="lessThan">
      <formula>0.6</formula>
    </cfRule>
  </conditionalFormatting>
  <conditionalFormatting sqref="B5:B9">
    <cfRule type="expression" dxfId="47" priority="10">
      <formula>AND(LEFT(M5,6)&lt;&gt;"mezera",M5&lt;&gt;"")</formula>
    </cfRule>
  </conditionalFormatting>
  <conditionalFormatting sqref="A5:A9">
    <cfRule type="expression" dxfId="46" priority="8">
      <formula>AND(M5&lt;&gt;"",M5&lt;&gt;"mezeraKL")</formula>
    </cfRule>
  </conditionalFormatting>
  <conditionalFormatting sqref="F5:F9">
    <cfRule type="cellIs" dxfId="45" priority="7" operator="lessThan">
      <formula>0.6</formula>
    </cfRule>
  </conditionalFormatting>
  <conditionalFormatting sqref="B5:L9">
    <cfRule type="expression" dxfId="44" priority="9">
      <formula>OR($M5="KL",$M5="SumaKL")</formula>
    </cfRule>
    <cfRule type="expression" dxfId="43" priority="11">
      <formula>$M5="SumaNS"</formula>
    </cfRule>
  </conditionalFormatting>
  <conditionalFormatting sqref="A5:L9">
    <cfRule type="expression" dxfId="42" priority="12">
      <formula>$M5&lt;&gt;""</formula>
    </cfRule>
  </conditionalFormatting>
  <conditionalFormatting sqref="B11:B21">
    <cfRule type="expression" dxfId="41" priority="4">
      <formula>AND(LEFT(M11,6)&lt;&gt;"mezera",M11&lt;&gt;"")</formula>
    </cfRule>
  </conditionalFormatting>
  <conditionalFormatting sqref="A11:A21">
    <cfRule type="expression" dxfId="40" priority="2">
      <formula>AND(M11&lt;&gt;"",M11&lt;&gt;"mezeraKL")</formula>
    </cfRule>
  </conditionalFormatting>
  <conditionalFormatting sqref="F11:F21">
    <cfRule type="cellIs" dxfId="39" priority="1" operator="lessThan">
      <formula>0.6</formula>
    </cfRule>
  </conditionalFormatting>
  <conditionalFormatting sqref="B11:L21">
    <cfRule type="expression" dxfId="38" priority="3">
      <formula>OR($M11="KL",$M11="SumaKL")</formula>
    </cfRule>
    <cfRule type="expression" dxfId="37" priority="5">
      <formula>$M11="SumaNS"</formula>
    </cfRule>
  </conditionalFormatting>
  <conditionalFormatting sqref="A11:L21">
    <cfRule type="expression" dxfId="36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60" customWidth="1"/>
    <col min="2" max="2" width="11.109375" style="343" bestFit="1" customWidth="1"/>
    <col min="3" max="3" width="11.109375" style="260" hidden="1" customWidth="1"/>
    <col min="4" max="4" width="7.33203125" style="343" bestFit="1" customWidth="1"/>
    <col min="5" max="5" width="7.33203125" style="260" hidden="1" customWidth="1"/>
    <col min="6" max="6" width="11.109375" style="343" bestFit="1" customWidth="1"/>
    <col min="7" max="7" width="5.33203125" style="346" customWidth="1"/>
    <col min="8" max="8" width="7.33203125" style="343" bestFit="1" customWidth="1"/>
    <col min="9" max="9" width="5.33203125" style="346" customWidth="1"/>
    <col min="10" max="10" width="11.109375" style="343" customWidth="1"/>
    <col min="11" max="11" width="5.33203125" style="346" customWidth="1"/>
    <col min="12" max="12" width="7.33203125" style="343" customWidth="1"/>
    <col min="13" max="13" width="5.33203125" style="346" customWidth="1"/>
    <col min="14" max="14" width="0" style="260" hidden="1" customWidth="1"/>
    <col min="15" max="16384" width="8.88671875" style="260"/>
  </cols>
  <sheetData>
    <row r="1" spans="1:13" ht="18.600000000000001" customHeight="1" thickBot="1" x14ac:dyDescent="0.4">
      <c r="A1" s="494" t="s">
        <v>196</v>
      </c>
      <c r="B1" s="494"/>
      <c r="C1" s="494"/>
      <c r="D1" s="494"/>
      <c r="E1" s="494"/>
      <c r="F1" s="494"/>
      <c r="G1" s="494"/>
      <c r="H1" s="494"/>
      <c r="I1" s="494"/>
      <c r="J1" s="463"/>
      <c r="K1" s="463"/>
      <c r="L1" s="463"/>
      <c r="M1" s="463"/>
    </row>
    <row r="2" spans="1:13" ht="14.4" customHeight="1" thickBot="1" x14ac:dyDescent="0.35">
      <c r="A2" s="389" t="s">
        <v>298</v>
      </c>
      <c r="B2" s="350"/>
      <c r="C2" s="342"/>
      <c r="D2" s="350"/>
      <c r="E2" s="342"/>
      <c r="F2" s="350"/>
      <c r="G2" s="351"/>
      <c r="H2" s="350"/>
      <c r="I2" s="351"/>
    </row>
    <row r="3" spans="1:13" ht="14.4" customHeight="1" thickBot="1" x14ac:dyDescent="0.35">
      <c r="A3" s="275"/>
      <c r="B3" s="505" t="s">
        <v>18</v>
      </c>
      <c r="C3" s="507"/>
      <c r="D3" s="504"/>
      <c r="E3" s="274"/>
      <c r="F3" s="504" t="s">
        <v>19</v>
      </c>
      <c r="G3" s="504"/>
      <c r="H3" s="504"/>
      <c r="I3" s="504"/>
      <c r="J3" s="504" t="s">
        <v>195</v>
      </c>
      <c r="K3" s="504"/>
      <c r="L3" s="504"/>
      <c r="M3" s="506"/>
    </row>
    <row r="4" spans="1:13" ht="14.4" customHeight="1" thickBot="1" x14ac:dyDescent="0.35">
      <c r="A4" s="667" t="s">
        <v>171</v>
      </c>
      <c r="B4" s="671" t="s">
        <v>22</v>
      </c>
      <c r="C4" s="672"/>
      <c r="D4" s="671" t="s">
        <v>23</v>
      </c>
      <c r="E4" s="672"/>
      <c r="F4" s="671" t="s">
        <v>22</v>
      </c>
      <c r="G4" s="679" t="s">
        <v>5</v>
      </c>
      <c r="H4" s="671" t="s">
        <v>23</v>
      </c>
      <c r="I4" s="679" t="s">
        <v>5</v>
      </c>
      <c r="J4" s="671" t="s">
        <v>22</v>
      </c>
      <c r="K4" s="679" t="s">
        <v>5</v>
      </c>
      <c r="L4" s="671" t="s">
        <v>23</v>
      </c>
      <c r="M4" s="680" t="s">
        <v>5</v>
      </c>
    </row>
    <row r="5" spans="1:13" ht="14.4" customHeight="1" x14ac:dyDescent="0.3">
      <c r="A5" s="668" t="s">
        <v>2093</v>
      </c>
      <c r="B5" s="673">
        <v>25918.98</v>
      </c>
      <c r="C5" s="627">
        <v>1</v>
      </c>
      <c r="D5" s="676">
        <v>100</v>
      </c>
      <c r="E5" s="684" t="s">
        <v>2093</v>
      </c>
      <c r="F5" s="673">
        <v>11084.770000000002</v>
      </c>
      <c r="G5" s="649">
        <v>0.42766999318646037</v>
      </c>
      <c r="H5" s="630">
        <v>48</v>
      </c>
      <c r="I5" s="681">
        <v>0.48</v>
      </c>
      <c r="J5" s="687">
        <v>14834.209999999997</v>
      </c>
      <c r="K5" s="649">
        <v>0.57233000681353963</v>
      </c>
      <c r="L5" s="630">
        <v>52</v>
      </c>
      <c r="M5" s="681">
        <v>0.52</v>
      </c>
    </row>
    <row r="6" spans="1:13" ht="14.4" customHeight="1" x14ac:dyDescent="0.3">
      <c r="A6" s="669" t="s">
        <v>2094</v>
      </c>
      <c r="B6" s="674">
        <v>8476.07</v>
      </c>
      <c r="C6" s="633">
        <v>1</v>
      </c>
      <c r="D6" s="677">
        <v>21</v>
      </c>
      <c r="E6" s="685" t="s">
        <v>2094</v>
      </c>
      <c r="F6" s="674">
        <v>2378.7199999999998</v>
      </c>
      <c r="G6" s="657">
        <v>0.28063949448270248</v>
      </c>
      <c r="H6" s="636">
        <v>2</v>
      </c>
      <c r="I6" s="682">
        <v>9.5238095238095233E-2</v>
      </c>
      <c r="J6" s="688">
        <v>6097.3499999999995</v>
      </c>
      <c r="K6" s="657">
        <v>0.71936050551729747</v>
      </c>
      <c r="L6" s="636">
        <v>19</v>
      </c>
      <c r="M6" s="682">
        <v>0.90476190476190477</v>
      </c>
    </row>
    <row r="7" spans="1:13" ht="14.4" customHeight="1" x14ac:dyDescent="0.3">
      <c r="A7" s="669" t="s">
        <v>2095</v>
      </c>
      <c r="B7" s="674">
        <v>16141.959999999995</v>
      </c>
      <c r="C7" s="633">
        <v>1</v>
      </c>
      <c r="D7" s="677">
        <v>31</v>
      </c>
      <c r="E7" s="685" t="s">
        <v>2095</v>
      </c>
      <c r="F7" s="674">
        <v>5368.24</v>
      </c>
      <c r="G7" s="657">
        <v>0.33256432304379402</v>
      </c>
      <c r="H7" s="636">
        <v>4</v>
      </c>
      <c r="I7" s="682">
        <v>0.12903225806451613</v>
      </c>
      <c r="J7" s="688">
        <v>10773.719999999996</v>
      </c>
      <c r="K7" s="657">
        <v>0.66743567695620598</v>
      </c>
      <c r="L7" s="636">
        <v>27</v>
      </c>
      <c r="M7" s="682">
        <v>0.87096774193548387</v>
      </c>
    </row>
    <row r="8" spans="1:13" ht="14.4" customHeight="1" x14ac:dyDescent="0.3">
      <c r="A8" s="669" t="s">
        <v>2096</v>
      </c>
      <c r="B8" s="674">
        <v>7435.7999999999993</v>
      </c>
      <c r="C8" s="633">
        <v>1</v>
      </c>
      <c r="D8" s="677">
        <v>37</v>
      </c>
      <c r="E8" s="685" t="s">
        <v>2096</v>
      </c>
      <c r="F8" s="674">
        <v>1972.01</v>
      </c>
      <c r="G8" s="657">
        <v>0.26520481992522665</v>
      </c>
      <c r="H8" s="636">
        <v>5</v>
      </c>
      <c r="I8" s="682">
        <v>0.13513513513513514</v>
      </c>
      <c r="J8" s="688">
        <v>5463.7899999999991</v>
      </c>
      <c r="K8" s="657">
        <v>0.73479518007477329</v>
      </c>
      <c r="L8" s="636">
        <v>32</v>
      </c>
      <c r="M8" s="682">
        <v>0.86486486486486491</v>
      </c>
    </row>
    <row r="9" spans="1:13" ht="14.4" customHeight="1" x14ac:dyDescent="0.3">
      <c r="A9" s="669" t="s">
        <v>2097</v>
      </c>
      <c r="B9" s="674">
        <v>21149</v>
      </c>
      <c r="C9" s="633">
        <v>1</v>
      </c>
      <c r="D9" s="677">
        <v>53</v>
      </c>
      <c r="E9" s="685" t="s">
        <v>2097</v>
      </c>
      <c r="F9" s="674">
        <v>6490.28</v>
      </c>
      <c r="G9" s="657">
        <v>0.30688354059293582</v>
      </c>
      <c r="H9" s="636">
        <v>16</v>
      </c>
      <c r="I9" s="682">
        <v>0.30188679245283018</v>
      </c>
      <c r="J9" s="688">
        <v>14658.720000000001</v>
      </c>
      <c r="K9" s="657">
        <v>0.69311645940706423</v>
      </c>
      <c r="L9" s="636">
        <v>37</v>
      </c>
      <c r="M9" s="682">
        <v>0.69811320754716977</v>
      </c>
    </row>
    <row r="10" spans="1:13" ht="14.4" customHeight="1" x14ac:dyDescent="0.3">
      <c r="A10" s="669" t="s">
        <v>2098</v>
      </c>
      <c r="B10" s="674">
        <v>10490.560000000001</v>
      </c>
      <c r="C10" s="633">
        <v>1</v>
      </c>
      <c r="D10" s="677">
        <v>42</v>
      </c>
      <c r="E10" s="685" t="s">
        <v>2098</v>
      </c>
      <c r="F10" s="674">
        <v>6484.77</v>
      </c>
      <c r="G10" s="657">
        <v>0.61815289174267152</v>
      </c>
      <c r="H10" s="636">
        <v>19</v>
      </c>
      <c r="I10" s="682">
        <v>0.45238095238095238</v>
      </c>
      <c r="J10" s="688">
        <v>4005.79</v>
      </c>
      <c r="K10" s="657">
        <v>0.38184710825732843</v>
      </c>
      <c r="L10" s="636">
        <v>23</v>
      </c>
      <c r="M10" s="682">
        <v>0.54761904761904767</v>
      </c>
    </row>
    <row r="11" spans="1:13" ht="14.4" customHeight="1" thickBot="1" x14ac:dyDescent="0.35">
      <c r="A11" s="670" t="s">
        <v>2099</v>
      </c>
      <c r="B11" s="675">
        <v>7663.4400000000005</v>
      </c>
      <c r="C11" s="639">
        <v>1</v>
      </c>
      <c r="D11" s="678">
        <v>24</v>
      </c>
      <c r="E11" s="686" t="s">
        <v>2099</v>
      </c>
      <c r="F11" s="675">
        <v>5866.76</v>
      </c>
      <c r="G11" s="650">
        <v>0.76555176265489122</v>
      </c>
      <c r="H11" s="642">
        <v>15</v>
      </c>
      <c r="I11" s="683">
        <v>0.625</v>
      </c>
      <c r="J11" s="689">
        <v>1796.68</v>
      </c>
      <c r="K11" s="650">
        <v>0.23444823734510872</v>
      </c>
      <c r="L11" s="642">
        <v>9</v>
      </c>
      <c r="M11" s="683">
        <v>0.375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95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60" hidden="1" customWidth="1" outlineLevel="1"/>
    <col min="2" max="2" width="28.33203125" style="260" hidden="1" customWidth="1" outlineLevel="1"/>
    <col min="3" max="3" width="9" style="260" customWidth="1" collapsed="1"/>
    <col min="4" max="4" width="18.77734375" style="354" customWidth="1"/>
    <col min="5" max="5" width="13.5546875" style="344" customWidth="1"/>
    <col min="6" max="6" width="6" style="260" bestFit="1" customWidth="1"/>
    <col min="7" max="7" width="8.77734375" style="260" customWidth="1"/>
    <col min="8" max="8" width="5" style="260" bestFit="1" customWidth="1"/>
    <col min="9" max="9" width="8.5546875" style="260" hidden="1" customWidth="1" outlineLevel="1"/>
    <col min="10" max="10" width="25.77734375" style="260" customWidth="1" collapsed="1"/>
    <col min="11" max="11" width="8.77734375" style="260" customWidth="1"/>
    <col min="12" max="12" width="7.77734375" style="345" customWidth="1"/>
    <col min="13" max="13" width="11.109375" style="345" customWidth="1"/>
    <col min="14" max="14" width="7.77734375" style="260" customWidth="1"/>
    <col min="15" max="15" width="7.77734375" style="355" customWidth="1"/>
    <col min="16" max="16" width="11.109375" style="345" customWidth="1"/>
    <col min="17" max="17" width="5.44140625" style="346" bestFit="1" customWidth="1"/>
    <col min="18" max="18" width="7.77734375" style="260" customWidth="1"/>
    <col min="19" max="19" width="5.44140625" style="346" bestFit="1" customWidth="1"/>
    <col min="20" max="20" width="7.77734375" style="355" customWidth="1"/>
    <col min="21" max="21" width="5.44140625" style="346" bestFit="1" customWidth="1"/>
    <col min="22" max="16384" width="8.88671875" style="260"/>
  </cols>
  <sheetData>
    <row r="1" spans="1:21" ht="18.600000000000001" customHeight="1" thickBot="1" x14ac:dyDescent="0.4">
      <c r="A1" s="486" t="s">
        <v>2661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</row>
    <row r="2" spans="1:21" ht="14.4" customHeight="1" thickBot="1" x14ac:dyDescent="0.35">
      <c r="A2" s="389" t="s">
        <v>298</v>
      </c>
      <c r="B2" s="352"/>
      <c r="C2" s="342"/>
      <c r="D2" s="342"/>
      <c r="E2" s="353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ht="14.4" customHeight="1" thickBot="1" x14ac:dyDescent="0.35">
      <c r="A3" s="511"/>
      <c r="B3" s="512"/>
      <c r="C3" s="512"/>
      <c r="D3" s="512"/>
      <c r="E3" s="512"/>
      <c r="F3" s="512"/>
      <c r="G3" s="512"/>
      <c r="H3" s="512"/>
      <c r="I3" s="512"/>
      <c r="J3" s="512"/>
      <c r="K3" s="513" t="s">
        <v>163</v>
      </c>
      <c r="L3" s="514"/>
      <c r="M3" s="70">
        <f>SUBTOTAL(9,M7:M1048576)</f>
        <v>97275.810000000012</v>
      </c>
      <c r="N3" s="70">
        <f>SUBTOTAL(9,N7:N1048576)</f>
        <v>723</v>
      </c>
      <c r="O3" s="70">
        <f>SUBTOTAL(9,O7:O1048576)</f>
        <v>308</v>
      </c>
      <c r="P3" s="70">
        <f>SUBTOTAL(9,P7:P1048576)</f>
        <v>39645.550000000003</v>
      </c>
      <c r="Q3" s="71">
        <f>IF(M3=0,0,P3/M3)</f>
        <v>0.40755815860078676</v>
      </c>
      <c r="R3" s="70">
        <f>SUBTOTAL(9,R7:R1048576)</f>
        <v>259</v>
      </c>
      <c r="S3" s="71">
        <f>IF(N3=0,0,R3/N3)</f>
        <v>0.35822959889349931</v>
      </c>
      <c r="T3" s="70">
        <f>SUBTOTAL(9,T7:T1048576)</f>
        <v>109</v>
      </c>
      <c r="U3" s="72">
        <f>IF(O3=0,0,T3/O3)</f>
        <v>0.35389610389610388</v>
      </c>
    </row>
    <row r="4" spans="1:21" ht="14.4" customHeight="1" x14ac:dyDescent="0.3">
      <c r="A4" s="73"/>
      <c r="B4" s="74"/>
      <c r="C4" s="74"/>
      <c r="D4" s="75"/>
      <c r="E4" s="275"/>
      <c r="F4" s="74"/>
      <c r="G4" s="74"/>
      <c r="H4" s="74"/>
      <c r="I4" s="74"/>
      <c r="J4" s="74"/>
      <c r="K4" s="74"/>
      <c r="L4" s="74"/>
      <c r="M4" s="515" t="s">
        <v>18</v>
      </c>
      <c r="N4" s="516"/>
      <c r="O4" s="516"/>
      <c r="P4" s="517" t="s">
        <v>24</v>
      </c>
      <c r="Q4" s="516"/>
      <c r="R4" s="516"/>
      <c r="S4" s="516"/>
      <c r="T4" s="516"/>
      <c r="U4" s="518"/>
    </row>
    <row r="5" spans="1:21" ht="14.4" customHeight="1" thickBot="1" x14ac:dyDescent="0.35">
      <c r="A5" s="76"/>
      <c r="B5" s="77"/>
      <c r="C5" s="74"/>
      <c r="D5" s="75"/>
      <c r="E5" s="275"/>
      <c r="F5" s="74"/>
      <c r="G5" s="74"/>
      <c r="H5" s="74"/>
      <c r="I5" s="74"/>
      <c r="J5" s="74"/>
      <c r="K5" s="74"/>
      <c r="L5" s="74"/>
      <c r="M5" s="110" t="s">
        <v>25</v>
      </c>
      <c r="N5" s="111" t="s">
        <v>16</v>
      </c>
      <c r="O5" s="111" t="s">
        <v>23</v>
      </c>
      <c r="P5" s="508" t="s">
        <v>25</v>
      </c>
      <c r="Q5" s="509"/>
      <c r="R5" s="508" t="s">
        <v>16</v>
      </c>
      <c r="S5" s="509"/>
      <c r="T5" s="508" t="s">
        <v>23</v>
      </c>
      <c r="U5" s="510"/>
    </row>
    <row r="6" spans="1:21" s="344" customFormat="1" ht="14.4" customHeight="1" thickBot="1" x14ac:dyDescent="0.35">
      <c r="A6" s="690" t="s">
        <v>26</v>
      </c>
      <c r="B6" s="691" t="s">
        <v>8</v>
      </c>
      <c r="C6" s="690" t="s">
        <v>27</v>
      </c>
      <c r="D6" s="691" t="s">
        <v>9</v>
      </c>
      <c r="E6" s="691" t="s">
        <v>198</v>
      </c>
      <c r="F6" s="691" t="s">
        <v>28</v>
      </c>
      <c r="G6" s="691" t="s">
        <v>29</v>
      </c>
      <c r="H6" s="691" t="s">
        <v>11</v>
      </c>
      <c r="I6" s="691" t="s">
        <v>13</v>
      </c>
      <c r="J6" s="691" t="s">
        <v>14</v>
      </c>
      <c r="K6" s="691" t="s">
        <v>15</v>
      </c>
      <c r="L6" s="691" t="s">
        <v>30</v>
      </c>
      <c r="M6" s="692" t="s">
        <v>17</v>
      </c>
      <c r="N6" s="693" t="s">
        <v>31</v>
      </c>
      <c r="O6" s="693" t="s">
        <v>31</v>
      </c>
      <c r="P6" s="693" t="s">
        <v>17</v>
      </c>
      <c r="Q6" s="693" t="s">
        <v>5</v>
      </c>
      <c r="R6" s="693" t="s">
        <v>31</v>
      </c>
      <c r="S6" s="693" t="s">
        <v>5</v>
      </c>
      <c r="T6" s="693" t="s">
        <v>31</v>
      </c>
      <c r="U6" s="694" t="s">
        <v>5</v>
      </c>
    </row>
    <row r="7" spans="1:21" ht="14.4" customHeight="1" x14ac:dyDescent="0.3">
      <c r="A7" s="695">
        <v>30</v>
      </c>
      <c r="B7" s="696" t="s">
        <v>501</v>
      </c>
      <c r="C7" s="696">
        <v>89301301</v>
      </c>
      <c r="D7" s="697" t="s">
        <v>2659</v>
      </c>
      <c r="E7" s="698" t="s">
        <v>2094</v>
      </c>
      <c r="F7" s="696" t="s">
        <v>2085</v>
      </c>
      <c r="G7" s="696" t="s">
        <v>2100</v>
      </c>
      <c r="H7" s="696" t="s">
        <v>500</v>
      </c>
      <c r="I7" s="696" t="s">
        <v>2101</v>
      </c>
      <c r="J7" s="696" t="s">
        <v>2102</v>
      </c>
      <c r="K7" s="696" t="s">
        <v>2103</v>
      </c>
      <c r="L7" s="699">
        <v>47.63</v>
      </c>
      <c r="M7" s="699">
        <v>47.63</v>
      </c>
      <c r="N7" s="696">
        <v>1</v>
      </c>
      <c r="O7" s="700">
        <v>0.5</v>
      </c>
      <c r="P7" s="699"/>
      <c r="Q7" s="701">
        <v>0</v>
      </c>
      <c r="R7" s="696"/>
      <c r="S7" s="701">
        <v>0</v>
      </c>
      <c r="T7" s="700"/>
      <c r="U7" s="241">
        <v>0</v>
      </c>
    </row>
    <row r="8" spans="1:21" ht="14.4" customHeight="1" x14ac:dyDescent="0.3">
      <c r="A8" s="710">
        <v>30</v>
      </c>
      <c r="B8" s="711" t="s">
        <v>501</v>
      </c>
      <c r="C8" s="711">
        <v>89301301</v>
      </c>
      <c r="D8" s="712" t="s">
        <v>2659</v>
      </c>
      <c r="E8" s="713" t="s">
        <v>2094</v>
      </c>
      <c r="F8" s="711" t="s">
        <v>2085</v>
      </c>
      <c r="G8" s="711" t="s">
        <v>2104</v>
      </c>
      <c r="H8" s="711" t="s">
        <v>1480</v>
      </c>
      <c r="I8" s="711" t="s">
        <v>2105</v>
      </c>
      <c r="J8" s="711" t="s">
        <v>1630</v>
      </c>
      <c r="K8" s="711" t="s">
        <v>1497</v>
      </c>
      <c r="L8" s="714">
        <v>81.209999999999994</v>
      </c>
      <c r="M8" s="714">
        <v>81.209999999999994</v>
      </c>
      <c r="N8" s="711">
        <v>1</v>
      </c>
      <c r="O8" s="715">
        <v>0.5</v>
      </c>
      <c r="P8" s="714"/>
      <c r="Q8" s="716">
        <v>0</v>
      </c>
      <c r="R8" s="711"/>
      <c r="S8" s="716">
        <v>0</v>
      </c>
      <c r="T8" s="715"/>
      <c r="U8" s="717">
        <v>0</v>
      </c>
    </row>
    <row r="9" spans="1:21" ht="14.4" customHeight="1" x14ac:dyDescent="0.3">
      <c r="A9" s="710">
        <v>30</v>
      </c>
      <c r="B9" s="711" t="s">
        <v>501</v>
      </c>
      <c r="C9" s="711">
        <v>89301301</v>
      </c>
      <c r="D9" s="712" t="s">
        <v>2659</v>
      </c>
      <c r="E9" s="713" t="s">
        <v>2094</v>
      </c>
      <c r="F9" s="711" t="s">
        <v>2085</v>
      </c>
      <c r="G9" s="711" t="s">
        <v>2106</v>
      </c>
      <c r="H9" s="711" t="s">
        <v>1480</v>
      </c>
      <c r="I9" s="711" t="s">
        <v>1590</v>
      </c>
      <c r="J9" s="711" t="s">
        <v>1690</v>
      </c>
      <c r="K9" s="711" t="s">
        <v>818</v>
      </c>
      <c r="L9" s="714">
        <v>65.3</v>
      </c>
      <c r="M9" s="714">
        <v>65.3</v>
      </c>
      <c r="N9" s="711">
        <v>1</v>
      </c>
      <c r="O9" s="715">
        <v>0.5</v>
      </c>
      <c r="P9" s="714"/>
      <c r="Q9" s="716">
        <v>0</v>
      </c>
      <c r="R9" s="711"/>
      <c r="S9" s="716">
        <v>0</v>
      </c>
      <c r="T9" s="715"/>
      <c r="U9" s="717">
        <v>0</v>
      </c>
    </row>
    <row r="10" spans="1:21" ht="14.4" customHeight="1" x14ac:dyDescent="0.3">
      <c r="A10" s="710">
        <v>30</v>
      </c>
      <c r="B10" s="711" t="s">
        <v>501</v>
      </c>
      <c r="C10" s="711">
        <v>89301301</v>
      </c>
      <c r="D10" s="712" t="s">
        <v>2659</v>
      </c>
      <c r="E10" s="713" t="s">
        <v>2094</v>
      </c>
      <c r="F10" s="711" t="s">
        <v>2085</v>
      </c>
      <c r="G10" s="711" t="s">
        <v>2107</v>
      </c>
      <c r="H10" s="711" t="s">
        <v>500</v>
      </c>
      <c r="I10" s="711" t="s">
        <v>1334</v>
      </c>
      <c r="J10" s="711" t="s">
        <v>2108</v>
      </c>
      <c r="K10" s="711" t="s">
        <v>2109</v>
      </c>
      <c r="L10" s="714">
        <v>97.42</v>
      </c>
      <c r="M10" s="714">
        <v>97.42</v>
      </c>
      <c r="N10" s="711">
        <v>1</v>
      </c>
      <c r="O10" s="715">
        <v>0.5</v>
      </c>
      <c r="P10" s="714"/>
      <c r="Q10" s="716">
        <v>0</v>
      </c>
      <c r="R10" s="711"/>
      <c r="S10" s="716">
        <v>0</v>
      </c>
      <c r="T10" s="715"/>
      <c r="U10" s="717">
        <v>0</v>
      </c>
    </row>
    <row r="11" spans="1:21" ht="14.4" customHeight="1" x14ac:dyDescent="0.3">
      <c r="A11" s="710">
        <v>30</v>
      </c>
      <c r="B11" s="711" t="s">
        <v>501</v>
      </c>
      <c r="C11" s="711">
        <v>89301301</v>
      </c>
      <c r="D11" s="712" t="s">
        <v>2659</v>
      </c>
      <c r="E11" s="713" t="s">
        <v>2094</v>
      </c>
      <c r="F11" s="711" t="s">
        <v>2085</v>
      </c>
      <c r="G11" s="711" t="s">
        <v>2110</v>
      </c>
      <c r="H11" s="711" t="s">
        <v>1480</v>
      </c>
      <c r="I11" s="711" t="s">
        <v>2111</v>
      </c>
      <c r="J11" s="711" t="s">
        <v>2112</v>
      </c>
      <c r="K11" s="711" t="s">
        <v>2113</v>
      </c>
      <c r="L11" s="714">
        <v>41.89</v>
      </c>
      <c r="M11" s="714">
        <v>41.89</v>
      </c>
      <c r="N11" s="711">
        <v>1</v>
      </c>
      <c r="O11" s="715">
        <v>0.5</v>
      </c>
      <c r="P11" s="714"/>
      <c r="Q11" s="716">
        <v>0</v>
      </c>
      <c r="R11" s="711"/>
      <c r="S11" s="716">
        <v>0</v>
      </c>
      <c r="T11" s="715"/>
      <c r="U11" s="717">
        <v>0</v>
      </c>
    </row>
    <row r="12" spans="1:21" ht="14.4" customHeight="1" x14ac:dyDescent="0.3">
      <c r="A12" s="710">
        <v>30</v>
      </c>
      <c r="B12" s="711" t="s">
        <v>501</v>
      </c>
      <c r="C12" s="711">
        <v>89301301</v>
      </c>
      <c r="D12" s="712" t="s">
        <v>2659</v>
      </c>
      <c r="E12" s="713" t="s">
        <v>2094</v>
      </c>
      <c r="F12" s="711" t="s">
        <v>2085</v>
      </c>
      <c r="G12" s="711" t="s">
        <v>2114</v>
      </c>
      <c r="H12" s="711" t="s">
        <v>500</v>
      </c>
      <c r="I12" s="711" t="s">
        <v>2115</v>
      </c>
      <c r="J12" s="711" t="s">
        <v>1048</v>
      </c>
      <c r="K12" s="711" t="s">
        <v>2116</v>
      </c>
      <c r="L12" s="714">
        <v>0</v>
      </c>
      <c r="M12" s="714">
        <v>0</v>
      </c>
      <c r="N12" s="711">
        <v>1</v>
      </c>
      <c r="O12" s="715">
        <v>0.5</v>
      </c>
      <c r="P12" s="714"/>
      <c r="Q12" s="716"/>
      <c r="R12" s="711"/>
      <c r="S12" s="716">
        <v>0</v>
      </c>
      <c r="T12" s="715"/>
      <c r="U12" s="717">
        <v>0</v>
      </c>
    </row>
    <row r="13" spans="1:21" ht="14.4" customHeight="1" x14ac:dyDescent="0.3">
      <c r="A13" s="710">
        <v>30</v>
      </c>
      <c r="B13" s="711" t="s">
        <v>501</v>
      </c>
      <c r="C13" s="711">
        <v>89301301</v>
      </c>
      <c r="D13" s="712" t="s">
        <v>2659</v>
      </c>
      <c r="E13" s="713" t="s">
        <v>2094</v>
      </c>
      <c r="F13" s="711" t="s">
        <v>2085</v>
      </c>
      <c r="G13" s="711" t="s">
        <v>2117</v>
      </c>
      <c r="H13" s="711" t="s">
        <v>1480</v>
      </c>
      <c r="I13" s="711" t="s">
        <v>2118</v>
      </c>
      <c r="J13" s="711" t="s">
        <v>2119</v>
      </c>
      <c r="K13" s="711" t="s">
        <v>1538</v>
      </c>
      <c r="L13" s="714">
        <v>273.48</v>
      </c>
      <c r="M13" s="714">
        <v>273.48</v>
      </c>
      <c r="N13" s="711">
        <v>1</v>
      </c>
      <c r="O13" s="715">
        <v>0.5</v>
      </c>
      <c r="P13" s="714"/>
      <c r="Q13" s="716">
        <v>0</v>
      </c>
      <c r="R13" s="711"/>
      <c r="S13" s="716">
        <v>0</v>
      </c>
      <c r="T13" s="715"/>
      <c r="U13" s="717">
        <v>0</v>
      </c>
    </row>
    <row r="14" spans="1:21" ht="14.4" customHeight="1" x14ac:dyDescent="0.3">
      <c r="A14" s="710">
        <v>30</v>
      </c>
      <c r="B14" s="711" t="s">
        <v>501</v>
      </c>
      <c r="C14" s="711">
        <v>89301301</v>
      </c>
      <c r="D14" s="712" t="s">
        <v>2659</v>
      </c>
      <c r="E14" s="713" t="s">
        <v>2094</v>
      </c>
      <c r="F14" s="711" t="s">
        <v>2085</v>
      </c>
      <c r="G14" s="711" t="s">
        <v>2120</v>
      </c>
      <c r="H14" s="711" t="s">
        <v>1480</v>
      </c>
      <c r="I14" s="711" t="s">
        <v>1580</v>
      </c>
      <c r="J14" s="711" t="s">
        <v>2058</v>
      </c>
      <c r="K14" s="711" t="s">
        <v>2059</v>
      </c>
      <c r="L14" s="714">
        <v>443.52</v>
      </c>
      <c r="M14" s="714">
        <v>443.52</v>
      </c>
      <c r="N14" s="711">
        <v>1</v>
      </c>
      <c r="O14" s="715">
        <v>0.5</v>
      </c>
      <c r="P14" s="714"/>
      <c r="Q14" s="716">
        <v>0</v>
      </c>
      <c r="R14" s="711"/>
      <c r="S14" s="716">
        <v>0</v>
      </c>
      <c r="T14" s="715"/>
      <c r="U14" s="717">
        <v>0</v>
      </c>
    </row>
    <row r="15" spans="1:21" ht="14.4" customHeight="1" x14ac:dyDescent="0.3">
      <c r="A15" s="710">
        <v>30</v>
      </c>
      <c r="B15" s="711" t="s">
        <v>501</v>
      </c>
      <c r="C15" s="711">
        <v>89301301</v>
      </c>
      <c r="D15" s="712" t="s">
        <v>2659</v>
      </c>
      <c r="E15" s="713" t="s">
        <v>2094</v>
      </c>
      <c r="F15" s="711" t="s">
        <v>2085</v>
      </c>
      <c r="G15" s="711" t="s">
        <v>2121</v>
      </c>
      <c r="H15" s="711" t="s">
        <v>1480</v>
      </c>
      <c r="I15" s="711" t="s">
        <v>2122</v>
      </c>
      <c r="J15" s="711" t="s">
        <v>2123</v>
      </c>
      <c r="K15" s="711" t="s">
        <v>958</v>
      </c>
      <c r="L15" s="714">
        <v>74.87</v>
      </c>
      <c r="M15" s="714">
        <v>74.87</v>
      </c>
      <c r="N15" s="711">
        <v>1</v>
      </c>
      <c r="O15" s="715">
        <v>0.5</v>
      </c>
      <c r="P15" s="714"/>
      <c r="Q15" s="716">
        <v>0</v>
      </c>
      <c r="R15" s="711"/>
      <c r="S15" s="716">
        <v>0</v>
      </c>
      <c r="T15" s="715"/>
      <c r="U15" s="717">
        <v>0</v>
      </c>
    </row>
    <row r="16" spans="1:21" ht="14.4" customHeight="1" x14ac:dyDescent="0.3">
      <c r="A16" s="710">
        <v>30</v>
      </c>
      <c r="B16" s="711" t="s">
        <v>501</v>
      </c>
      <c r="C16" s="711">
        <v>89301301</v>
      </c>
      <c r="D16" s="712" t="s">
        <v>2659</v>
      </c>
      <c r="E16" s="713" t="s">
        <v>2094</v>
      </c>
      <c r="F16" s="711" t="s">
        <v>2085</v>
      </c>
      <c r="G16" s="711" t="s">
        <v>2124</v>
      </c>
      <c r="H16" s="711" t="s">
        <v>500</v>
      </c>
      <c r="I16" s="711" t="s">
        <v>820</v>
      </c>
      <c r="J16" s="711" t="s">
        <v>2125</v>
      </c>
      <c r="K16" s="711" t="s">
        <v>2126</v>
      </c>
      <c r="L16" s="714">
        <v>91.14</v>
      </c>
      <c r="M16" s="714">
        <v>91.14</v>
      </c>
      <c r="N16" s="711">
        <v>1</v>
      </c>
      <c r="O16" s="715">
        <v>1</v>
      </c>
      <c r="P16" s="714"/>
      <c r="Q16" s="716">
        <v>0</v>
      </c>
      <c r="R16" s="711"/>
      <c r="S16" s="716">
        <v>0</v>
      </c>
      <c r="T16" s="715"/>
      <c r="U16" s="717">
        <v>0</v>
      </c>
    </row>
    <row r="17" spans="1:21" ht="14.4" customHeight="1" x14ac:dyDescent="0.3">
      <c r="A17" s="710">
        <v>30</v>
      </c>
      <c r="B17" s="711" t="s">
        <v>501</v>
      </c>
      <c r="C17" s="711">
        <v>89301301</v>
      </c>
      <c r="D17" s="712" t="s">
        <v>2659</v>
      </c>
      <c r="E17" s="713" t="s">
        <v>2094</v>
      </c>
      <c r="F17" s="711" t="s">
        <v>2085</v>
      </c>
      <c r="G17" s="711" t="s">
        <v>2127</v>
      </c>
      <c r="H17" s="711" t="s">
        <v>500</v>
      </c>
      <c r="I17" s="711" t="s">
        <v>2128</v>
      </c>
      <c r="J17" s="711" t="s">
        <v>2129</v>
      </c>
      <c r="K17" s="711" t="s">
        <v>2130</v>
      </c>
      <c r="L17" s="714">
        <v>0</v>
      </c>
      <c r="M17" s="714">
        <v>0</v>
      </c>
      <c r="N17" s="711">
        <v>1</v>
      </c>
      <c r="O17" s="715">
        <v>0.5</v>
      </c>
      <c r="P17" s="714"/>
      <c r="Q17" s="716"/>
      <c r="R17" s="711"/>
      <c r="S17" s="716">
        <v>0</v>
      </c>
      <c r="T17" s="715"/>
      <c r="U17" s="717">
        <v>0</v>
      </c>
    </row>
    <row r="18" spans="1:21" ht="14.4" customHeight="1" x14ac:dyDescent="0.3">
      <c r="A18" s="710">
        <v>30</v>
      </c>
      <c r="B18" s="711" t="s">
        <v>501</v>
      </c>
      <c r="C18" s="711">
        <v>89301301</v>
      </c>
      <c r="D18" s="712" t="s">
        <v>2659</v>
      </c>
      <c r="E18" s="713" t="s">
        <v>2094</v>
      </c>
      <c r="F18" s="711" t="s">
        <v>2085</v>
      </c>
      <c r="G18" s="711" t="s">
        <v>2131</v>
      </c>
      <c r="H18" s="711" t="s">
        <v>1480</v>
      </c>
      <c r="I18" s="711" t="s">
        <v>2132</v>
      </c>
      <c r="J18" s="711" t="s">
        <v>2133</v>
      </c>
      <c r="K18" s="711" t="s">
        <v>2134</v>
      </c>
      <c r="L18" s="714">
        <v>86.76</v>
      </c>
      <c r="M18" s="714">
        <v>86.76</v>
      </c>
      <c r="N18" s="711">
        <v>1</v>
      </c>
      <c r="O18" s="715">
        <v>0.5</v>
      </c>
      <c r="P18" s="714"/>
      <c r="Q18" s="716">
        <v>0</v>
      </c>
      <c r="R18" s="711"/>
      <c r="S18" s="716">
        <v>0</v>
      </c>
      <c r="T18" s="715"/>
      <c r="U18" s="717">
        <v>0</v>
      </c>
    </row>
    <row r="19" spans="1:21" ht="14.4" customHeight="1" x14ac:dyDescent="0.3">
      <c r="A19" s="710">
        <v>30</v>
      </c>
      <c r="B19" s="711" t="s">
        <v>501</v>
      </c>
      <c r="C19" s="711">
        <v>89301301</v>
      </c>
      <c r="D19" s="712" t="s">
        <v>2659</v>
      </c>
      <c r="E19" s="713" t="s">
        <v>2094</v>
      </c>
      <c r="F19" s="711" t="s">
        <v>2085</v>
      </c>
      <c r="G19" s="711" t="s">
        <v>2135</v>
      </c>
      <c r="H19" s="711" t="s">
        <v>1480</v>
      </c>
      <c r="I19" s="711" t="s">
        <v>2136</v>
      </c>
      <c r="J19" s="711" t="s">
        <v>1606</v>
      </c>
      <c r="K19" s="711" t="s">
        <v>1607</v>
      </c>
      <c r="L19" s="714">
        <v>107.81</v>
      </c>
      <c r="M19" s="714">
        <v>107.81</v>
      </c>
      <c r="N19" s="711">
        <v>1</v>
      </c>
      <c r="O19" s="715">
        <v>0.5</v>
      </c>
      <c r="P19" s="714"/>
      <c r="Q19" s="716">
        <v>0</v>
      </c>
      <c r="R19" s="711"/>
      <c r="S19" s="716">
        <v>0</v>
      </c>
      <c r="T19" s="715"/>
      <c r="U19" s="717">
        <v>0</v>
      </c>
    </row>
    <row r="20" spans="1:21" ht="14.4" customHeight="1" x14ac:dyDescent="0.3">
      <c r="A20" s="710">
        <v>30</v>
      </c>
      <c r="B20" s="711" t="s">
        <v>501</v>
      </c>
      <c r="C20" s="711">
        <v>89301301</v>
      </c>
      <c r="D20" s="712" t="s">
        <v>2659</v>
      </c>
      <c r="E20" s="713" t="s">
        <v>2094</v>
      </c>
      <c r="F20" s="711" t="s">
        <v>2085</v>
      </c>
      <c r="G20" s="711" t="s">
        <v>2137</v>
      </c>
      <c r="H20" s="711" t="s">
        <v>500</v>
      </c>
      <c r="I20" s="711" t="s">
        <v>858</v>
      </c>
      <c r="J20" s="711" t="s">
        <v>2138</v>
      </c>
      <c r="K20" s="711" t="s">
        <v>2139</v>
      </c>
      <c r="L20" s="714">
        <v>0</v>
      </c>
      <c r="M20" s="714">
        <v>0</v>
      </c>
      <c r="N20" s="711">
        <v>1</v>
      </c>
      <c r="O20" s="715">
        <v>0.5</v>
      </c>
      <c r="P20" s="714"/>
      <c r="Q20" s="716"/>
      <c r="R20" s="711"/>
      <c r="S20" s="716">
        <v>0</v>
      </c>
      <c r="T20" s="715"/>
      <c r="U20" s="717">
        <v>0</v>
      </c>
    </row>
    <row r="21" spans="1:21" ht="14.4" customHeight="1" x14ac:dyDescent="0.3">
      <c r="A21" s="710">
        <v>30</v>
      </c>
      <c r="B21" s="711" t="s">
        <v>501</v>
      </c>
      <c r="C21" s="711">
        <v>89301301</v>
      </c>
      <c r="D21" s="712" t="s">
        <v>2659</v>
      </c>
      <c r="E21" s="713" t="s">
        <v>2094</v>
      </c>
      <c r="F21" s="711" t="s">
        <v>2085</v>
      </c>
      <c r="G21" s="711" t="s">
        <v>2140</v>
      </c>
      <c r="H21" s="711" t="s">
        <v>500</v>
      </c>
      <c r="I21" s="711" t="s">
        <v>2141</v>
      </c>
      <c r="J21" s="711" t="s">
        <v>1263</v>
      </c>
      <c r="K21" s="711" t="s">
        <v>1264</v>
      </c>
      <c r="L21" s="714">
        <v>98.31</v>
      </c>
      <c r="M21" s="714">
        <v>98.31</v>
      </c>
      <c r="N21" s="711">
        <v>1</v>
      </c>
      <c r="O21" s="715">
        <v>0.5</v>
      </c>
      <c r="P21" s="714"/>
      <c r="Q21" s="716">
        <v>0</v>
      </c>
      <c r="R21" s="711"/>
      <c r="S21" s="716">
        <v>0</v>
      </c>
      <c r="T21" s="715"/>
      <c r="U21" s="717">
        <v>0</v>
      </c>
    </row>
    <row r="22" spans="1:21" ht="14.4" customHeight="1" x14ac:dyDescent="0.3">
      <c r="A22" s="710">
        <v>30</v>
      </c>
      <c r="B22" s="711" t="s">
        <v>501</v>
      </c>
      <c r="C22" s="711">
        <v>89301301</v>
      </c>
      <c r="D22" s="712" t="s">
        <v>2659</v>
      </c>
      <c r="E22" s="713" t="s">
        <v>2094</v>
      </c>
      <c r="F22" s="711" t="s">
        <v>2085</v>
      </c>
      <c r="G22" s="711" t="s">
        <v>2142</v>
      </c>
      <c r="H22" s="711" t="s">
        <v>500</v>
      </c>
      <c r="I22" s="711" t="s">
        <v>2143</v>
      </c>
      <c r="J22" s="711" t="s">
        <v>703</v>
      </c>
      <c r="K22" s="711" t="s">
        <v>2144</v>
      </c>
      <c r="L22" s="714">
        <v>0</v>
      </c>
      <c r="M22" s="714">
        <v>0</v>
      </c>
      <c r="N22" s="711">
        <v>1</v>
      </c>
      <c r="O22" s="715">
        <v>0.5</v>
      </c>
      <c r="P22" s="714"/>
      <c r="Q22" s="716"/>
      <c r="R22" s="711"/>
      <c r="S22" s="716">
        <v>0</v>
      </c>
      <c r="T22" s="715"/>
      <c r="U22" s="717">
        <v>0</v>
      </c>
    </row>
    <row r="23" spans="1:21" ht="14.4" customHeight="1" x14ac:dyDescent="0.3">
      <c r="A23" s="710">
        <v>30</v>
      </c>
      <c r="B23" s="711" t="s">
        <v>501</v>
      </c>
      <c r="C23" s="711">
        <v>89301301</v>
      </c>
      <c r="D23" s="712" t="s">
        <v>2659</v>
      </c>
      <c r="E23" s="713" t="s">
        <v>2094</v>
      </c>
      <c r="F23" s="711" t="s">
        <v>2085</v>
      </c>
      <c r="G23" s="711" t="s">
        <v>2145</v>
      </c>
      <c r="H23" s="711" t="s">
        <v>1480</v>
      </c>
      <c r="I23" s="711" t="s">
        <v>1700</v>
      </c>
      <c r="J23" s="711" t="s">
        <v>1518</v>
      </c>
      <c r="K23" s="711" t="s">
        <v>1701</v>
      </c>
      <c r="L23" s="714">
        <v>468.96</v>
      </c>
      <c r="M23" s="714">
        <v>937.92</v>
      </c>
      <c r="N23" s="711">
        <v>2</v>
      </c>
      <c r="O23" s="715">
        <v>0.5</v>
      </c>
      <c r="P23" s="714"/>
      <c r="Q23" s="716">
        <v>0</v>
      </c>
      <c r="R23" s="711"/>
      <c r="S23" s="716">
        <v>0</v>
      </c>
      <c r="T23" s="715"/>
      <c r="U23" s="717">
        <v>0</v>
      </c>
    </row>
    <row r="24" spans="1:21" ht="14.4" customHeight="1" x14ac:dyDescent="0.3">
      <c r="A24" s="710">
        <v>30</v>
      </c>
      <c r="B24" s="711" t="s">
        <v>501</v>
      </c>
      <c r="C24" s="711">
        <v>89301301</v>
      </c>
      <c r="D24" s="712" t="s">
        <v>2659</v>
      </c>
      <c r="E24" s="713" t="s">
        <v>2094</v>
      </c>
      <c r="F24" s="711" t="s">
        <v>2085</v>
      </c>
      <c r="G24" s="711" t="s">
        <v>2146</v>
      </c>
      <c r="H24" s="711" t="s">
        <v>500</v>
      </c>
      <c r="I24" s="711" t="s">
        <v>2147</v>
      </c>
      <c r="J24" s="711" t="s">
        <v>2148</v>
      </c>
      <c r="K24" s="711" t="s">
        <v>2149</v>
      </c>
      <c r="L24" s="714">
        <v>97.97</v>
      </c>
      <c r="M24" s="714">
        <v>293.90999999999997</v>
      </c>
      <c r="N24" s="711">
        <v>3</v>
      </c>
      <c r="O24" s="715">
        <v>1.5</v>
      </c>
      <c r="P24" s="714"/>
      <c r="Q24" s="716">
        <v>0</v>
      </c>
      <c r="R24" s="711"/>
      <c r="S24" s="716">
        <v>0</v>
      </c>
      <c r="T24" s="715"/>
      <c r="U24" s="717">
        <v>0</v>
      </c>
    </row>
    <row r="25" spans="1:21" ht="14.4" customHeight="1" x14ac:dyDescent="0.3">
      <c r="A25" s="710">
        <v>30</v>
      </c>
      <c r="B25" s="711" t="s">
        <v>501</v>
      </c>
      <c r="C25" s="711">
        <v>89301301</v>
      </c>
      <c r="D25" s="712" t="s">
        <v>2659</v>
      </c>
      <c r="E25" s="713" t="s">
        <v>2094</v>
      </c>
      <c r="F25" s="711" t="s">
        <v>2085</v>
      </c>
      <c r="G25" s="711" t="s">
        <v>2150</v>
      </c>
      <c r="H25" s="711" t="s">
        <v>1480</v>
      </c>
      <c r="I25" s="711" t="s">
        <v>1639</v>
      </c>
      <c r="J25" s="711" t="s">
        <v>1640</v>
      </c>
      <c r="K25" s="711" t="s">
        <v>1641</v>
      </c>
      <c r="L25" s="714">
        <v>67.42</v>
      </c>
      <c r="M25" s="714">
        <v>67.42</v>
      </c>
      <c r="N25" s="711">
        <v>1</v>
      </c>
      <c r="O25" s="715">
        <v>1</v>
      </c>
      <c r="P25" s="714"/>
      <c r="Q25" s="716">
        <v>0</v>
      </c>
      <c r="R25" s="711"/>
      <c r="S25" s="716">
        <v>0</v>
      </c>
      <c r="T25" s="715"/>
      <c r="U25" s="717">
        <v>0</v>
      </c>
    </row>
    <row r="26" spans="1:21" ht="14.4" customHeight="1" x14ac:dyDescent="0.3">
      <c r="A26" s="710">
        <v>30</v>
      </c>
      <c r="B26" s="711" t="s">
        <v>501</v>
      </c>
      <c r="C26" s="711">
        <v>89301301</v>
      </c>
      <c r="D26" s="712" t="s">
        <v>2659</v>
      </c>
      <c r="E26" s="713" t="s">
        <v>2094</v>
      </c>
      <c r="F26" s="711" t="s">
        <v>2085</v>
      </c>
      <c r="G26" s="711" t="s">
        <v>2151</v>
      </c>
      <c r="H26" s="711" t="s">
        <v>1480</v>
      </c>
      <c r="I26" s="711" t="s">
        <v>1562</v>
      </c>
      <c r="J26" s="711" t="s">
        <v>2005</v>
      </c>
      <c r="K26" s="711" t="s">
        <v>1399</v>
      </c>
      <c r="L26" s="714">
        <v>67.42</v>
      </c>
      <c r="M26" s="714">
        <v>67.42</v>
      </c>
      <c r="N26" s="711">
        <v>1</v>
      </c>
      <c r="O26" s="715">
        <v>0.5</v>
      </c>
      <c r="P26" s="714"/>
      <c r="Q26" s="716">
        <v>0</v>
      </c>
      <c r="R26" s="711"/>
      <c r="S26" s="716">
        <v>0</v>
      </c>
      <c r="T26" s="715"/>
      <c r="U26" s="717">
        <v>0</v>
      </c>
    </row>
    <row r="27" spans="1:21" ht="14.4" customHeight="1" x14ac:dyDescent="0.3">
      <c r="A27" s="710">
        <v>30</v>
      </c>
      <c r="B27" s="711" t="s">
        <v>501</v>
      </c>
      <c r="C27" s="711">
        <v>89301301</v>
      </c>
      <c r="D27" s="712" t="s">
        <v>2659</v>
      </c>
      <c r="E27" s="713" t="s">
        <v>2094</v>
      </c>
      <c r="F27" s="711" t="s">
        <v>2085</v>
      </c>
      <c r="G27" s="711" t="s">
        <v>2152</v>
      </c>
      <c r="H27" s="711" t="s">
        <v>500</v>
      </c>
      <c r="I27" s="711" t="s">
        <v>2153</v>
      </c>
      <c r="J27" s="711" t="s">
        <v>2154</v>
      </c>
      <c r="K27" s="711" t="s">
        <v>2155</v>
      </c>
      <c r="L27" s="714">
        <v>0</v>
      </c>
      <c r="M27" s="714">
        <v>0</v>
      </c>
      <c r="N27" s="711">
        <v>1</v>
      </c>
      <c r="O27" s="715">
        <v>0.5</v>
      </c>
      <c r="P27" s="714"/>
      <c r="Q27" s="716"/>
      <c r="R27" s="711"/>
      <c r="S27" s="716">
        <v>0</v>
      </c>
      <c r="T27" s="715"/>
      <c r="U27" s="717">
        <v>0</v>
      </c>
    </row>
    <row r="28" spans="1:21" ht="14.4" customHeight="1" x14ac:dyDescent="0.3">
      <c r="A28" s="710">
        <v>30</v>
      </c>
      <c r="B28" s="711" t="s">
        <v>501</v>
      </c>
      <c r="C28" s="711">
        <v>89301301</v>
      </c>
      <c r="D28" s="712" t="s">
        <v>2659</v>
      </c>
      <c r="E28" s="713" t="s">
        <v>2094</v>
      </c>
      <c r="F28" s="711" t="s">
        <v>2085</v>
      </c>
      <c r="G28" s="711" t="s">
        <v>2156</v>
      </c>
      <c r="H28" s="711" t="s">
        <v>500</v>
      </c>
      <c r="I28" s="711" t="s">
        <v>894</v>
      </c>
      <c r="J28" s="711" t="s">
        <v>895</v>
      </c>
      <c r="K28" s="711" t="s">
        <v>2157</v>
      </c>
      <c r="L28" s="714">
        <v>472.71</v>
      </c>
      <c r="M28" s="714">
        <v>472.71</v>
      </c>
      <c r="N28" s="711">
        <v>1</v>
      </c>
      <c r="O28" s="715">
        <v>0.5</v>
      </c>
      <c r="P28" s="714"/>
      <c r="Q28" s="716">
        <v>0</v>
      </c>
      <c r="R28" s="711"/>
      <c r="S28" s="716">
        <v>0</v>
      </c>
      <c r="T28" s="715"/>
      <c r="U28" s="717">
        <v>0</v>
      </c>
    </row>
    <row r="29" spans="1:21" ht="14.4" customHeight="1" x14ac:dyDescent="0.3">
      <c r="A29" s="710">
        <v>30</v>
      </c>
      <c r="B29" s="711" t="s">
        <v>501</v>
      </c>
      <c r="C29" s="711">
        <v>89301301</v>
      </c>
      <c r="D29" s="712" t="s">
        <v>2659</v>
      </c>
      <c r="E29" s="713" t="s">
        <v>2094</v>
      </c>
      <c r="F29" s="711" t="s">
        <v>2085</v>
      </c>
      <c r="G29" s="711" t="s">
        <v>2158</v>
      </c>
      <c r="H29" s="711" t="s">
        <v>500</v>
      </c>
      <c r="I29" s="711" t="s">
        <v>2159</v>
      </c>
      <c r="J29" s="711" t="s">
        <v>730</v>
      </c>
      <c r="K29" s="711" t="s">
        <v>2160</v>
      </c>
      <c r="L29" s="714">
        <v>0</v>
      </c>
      <c r="M29" s="714">
        <v>0</v>
      </c>
      <c r="N29" s="711">
        <v>3</v>
      </c>
      <c r="O29" s="715">
        <v>1.5</v>
      </c>
      <c r="P29" s="714"/>
      <c r="Q29" s="716"/>
      <c r="R29" s="711"/>
      <c r="S29" s="716">
        <v>0</v>
      </c>
      <c r="T29" s="715"/>
      <c r="U29" s="717">
        <v>0</v>
      </c>
    </row>
    <row r="30" spans="1:21" ht="14.4" customHeight="1" x14ac:dyDescent="0.3">
      <c r="A30" s="710">
        <v>30</v>
      </c>
      <c r="B30" s="711" t="s">
        <v>501</v>
      </c>
      <c r="C30" s="711">
        <v>89301301</v>
      </c>
      <c r="D30" s="712" t="s">
        <v>2659</v>
      </c>
      <c r="E30" s="713" t="s">
        <v>2094</v>
      </c>
      <c r="F30" s="711" t="s">
        <v>2085</v>
      </c>
      <c r="G30" s="711" t="s">
        <v>2161</v>
      </c>
      <c r="H30" s="711" t="s">
        <v>500</v>
      </c>
      <c r="I30" s="711" t="s">
        <v>2162</v>
      </c>
      <c r="J30" s="711" t="s">
        <v>2163</v>
      </c>
      <c r="K30" s="711" t="s">
        <v>2164</v>
      </c>
      <c r="L30" s="714">
        <v>54.67</v>
      </c>
      <c r="M30" s="714">
        <v>54.67</v>
      </c>
      <c r="N30" s="711">
        <v>1</v>
      </c>
      <c r="O30" s="715">
        <v>0.5</v>
      </c>
      <c r="P30" s="714"/>
      <c r="Q30" s="716">
        <v>0</v>
      </c>
      <c r="R30" s="711"/>
      <c r="S30" s="716">
        <v>0</v>
      </c>
      <c r="T30" s="715"/>
      <c r="U30" s="717">
        <v>0</v>
      </c>
    </row>
    <row r="31" spans="1:21" ht="14.4" customHeight="1" x14ac:dyDescent="0.3">
      <c r="A31" s="710">
        <v>30</v>
      </c>
      <c r="B31" s="711" t="s">
        <v>501</v>
      </c>
      <c r="C31" s="711">
        <v>89301301</v>
      </c>
      <c r="D31" s="712" t="s">
        <v>2659</v>
      </c>
      <c r="E31" s="713" t="s">
        <v>2095</v>
      </c>
      <c r="F31" s="711" t="s">
        <v>2085</v>
      </c>
      <c r="G31" s="711" t="s">
        <v>2100</v>
      </c>
      <c r="H31" s="711" t="s">
        <v>1480</v>
      </c>
      <c r="I31" s="711" t="s">
        <v>1612</v>
      </c>
      <c r="J31" s="711" t="s">
        <v>1613</v>
      </c>
      <c r="K31" s="711" t="s">
        <v>1614</v>
      </c>
      <c r="L31" s="714">
        <v>95.25</v>
      </c>
      <c r="M31" s="714">
        <v>95.25</v>
      </c>
      <c r="N31" s="711">
        <v>1</v>
      </c>
      <c r="O31" s="715">
        <v>0.5</v>
      </c>
      <c r="P31" s="714"/>
      <c r="Q31" s="716">
        <v>0</v>
      </c>
      <c r="R31" s="711"/>
      <c r="S31" s="716">
        <v>0</v>
      </c>
      <c r="T31" s="715"/>
      <c r="U31" s="717">
        <v>0</v>
      </c>
    </row>
    <row r="32" spans="1:21" ht="14.4" customHeight="1" x14ac:dyDescent="0.3">
      <c r="A32" s="710">
        <v>30</v>
      </c>
      <c r="B32" s="711" t="s">
        <v>501</v>
      </c>
      <c r="C32" s="711">
        <v>89301301</v>
      </c>
      <c r="D32" s="712" t="s">
        <v>2659</v>
      </c>
      <c r="E32" s="713" t="s">
        <v>2095</v>
      </c>
      <c r="F32" s="711" t="s">
        <v>2085</v>
      </c>
      <c r="G32" s="711" t="s">
        <v>2100</v>
      </c>
      <c r="H32" s="711" t="s">
        <v>500</v>
      </c>
      <c r="I32" s="711" t="s">
        <v>2165</v>
      </c>
      <c r="J32" s="711" t="s">
        <v>2166</v>
      </c>
      <c r="K32" s="711" t="s">
        <v>2167</v>
      </c>
      <c r="L32" s="714">
        <v>85.72</v>
      </c>
      <c r="M32" s="714">
        <v>85.72</v>
      </c>
      <c r="N32" s="711">
        <v>1</v>
      </c>
      <c r="O32" s="715">
        <v>0.5</v>
      </c>
      <c r="P32" s="714">
        <v>85.72</v>
      </c>
      <c r="Q32" s="716">
        <v>1</v>
      </c>
      <c r="R32" s="711">
        <v>1</v>
      </c>
      <c r="S32" s="716">
        <v>1</v>
      </c>
      <c r="T32" s="715">
        <v>0.5</v>
      </c>
      <c r="U32" s="717">
        <v>1</v>
      </c>
    </row>
    <row r="33" spans="1:21" ht="14.4" customHeight="1" x14ac:dyDescent="0.3">
      <c r="A33" s="710">
        <v>30</v>
      </c>
      <c r="B33" s="711" t="s">
        <v>501</v>
      </c>
      <c r="C33" s="711">
        <v>89301301</v>
      </c>
      <c r="D33" s="712" t="s">
        <v>2659</v>
      </c>
      <c r="E33" s="713" t="s">
        <v>2095</v>
      </c>
      <c r="F33" s="711" t="s">
        <v>2085</v>
      </c>
      <c r="G33" s="711" t="s">
        <v>2168</v>
      </c>
      <c r="H33" s="711" t="s">
        <v>1480</v>
      </c>
      <c r="I33" s="711" t="s">
        <v>1584</v>
      </c>
      <c r="J33" s="711" t="s">
        <v>2063</v>
      </c>
      <c r="K33" s="711" t="s">
        <v>2064</v>
      </c>
      <c r="L33" s="714">
        <v>6.98</v>
      </c>
      <c r="M33" s="714">
        <v>6.98</v>
      </c>
      <c r="N33" s="711">
        <v>1</v>
      </c>
      <c r="O33" s="715">
        <v>0.5</v>
      </c>
      <c r="P33" s="714"/>
      <c r="Q33" s="716">
        <v>0</v>
      </c>
      <c r="R33" s="711"/>
      <c r="S33" s="716">
        <v>0</v>
      </c>
      <c r="T33" s="715"/>
      <c r="U33" s="717">
        <v>0</v>
      </c>
    </row>
    <row r="34" spans="1:21" ht="14.4" customHeight="1" x14ac:dyDescent="0.3">
      <c r="A34" s="710">
        <v>30</v>
      </c>
      <c r="B34" s="711" t="s">
        <v>501</v>
      </c>
      <c r="C34" s="711">
        <v>89301301</v>
      </c>
      <c r="D34" s="712" t="s">
        <v>2659</v>
      </c>
      <c r="E34" s="713" t="s">
        <v>2095</v>
      </c>
      <c r="F34" s="711" t="s">
        <v>2085</v>
      </c>
      <c r="G34" s="711" t="s">
        <v>2104</v>
      </c>
      <c r="H34" s="711" t="s">
        <v>1480</v>
      </c>
      <c r="I34" s="711" t="s">
        <v>2169</v>
      </c>
      <c r="J34" s="711" t="s">
        <v>1627</v>
      </c>
      <c r="K34" s="711" t="s">
        <v>1399</v>
      </c>
      <c r="L34" s="714">
        <v>0</v>
      </c>
      <c r="M34" s="714">
        <v>0</v>
      </c>
      <c r="N34" s="711">
        <v>2</v>
      </c>
      <c r="O34" s="715">
        <v>1</v>
      </c>
      <c r="P34" s="714"/>
      <c r="Q34" s="716"/>
      <c r="R34" s="711"/>
      <c r="S34" s="716">
        <v>0</v>
      </c>
      <c r="T34" s="715"/>
      <c r="U34" s="717">
        <v>0</v>
      </c>
    </row>
    <row r="35" spans="1:21" ht="14.4" customHeight="1" x14ac:dyDescent="0.3">
      <c r="A35" s="710">
        <v>30</v>
      </c>
      <c r="B35" s="711" t="s">
        <v>501</v>
      </c>
      <c r="C35" s="711">
        <v>89301301</v>
      </c>
      <c r="D35" s="712" t="s">
        <v>2659</v>
      </c>
      <c r="E35" s="713" t="s">
        <v>2095</v>
      </c>
      <c r="F35" s="711" t="s">
        <v>2085</v>
      </c>
      <c r="G35" s="711" t="s">
        <v>2106</v>
      </c>
      <c r="H35" s="711" t="s">
        <v>500</v>
      </c>
      <c r="I35" s="711" t="s">
        <v>2170</v>
      </c>
      <c r="J35" s="711" t="s">
        <v>2171</v>
      </c>
      <c r="K35" s="711" t="s">
        <v>942</v>
      </c>
      <c r="L35" s="714">
        <v>130.59</v>
      </c>
      <c r="M35" s="714">
        <v>130.59</v>
      </c>
      <c r="N35" s="711">
        <v>1</v>
      </c>
      <c r="O35" s="715">
        <v>0.5</v>
      </c>
      <c r="P35" s="714"/>
      <c r="Q35" s="716">
        <v>0</v>
      </c>
      <c r="R35" s="711"/>
      <c r="S35" s="716">
        <v>0</v>
      </c>
      <c r="T35" s="715"/>
      <c r="U35" s="717">
        <v>0</v>
      </c>
    </row>
    <row r="36" spans="1:21" ht="14.4" customHeight="1" x14ac:dyDescent="0.3">
      <c r="A36" s="710">
        <v>30</v>
      </c>
      <c r="B36" s="711" t="s">
        <v>501</v>
      </c>
      <c r="C36" s="711">
        <v>89301301</v>
      </c>
      <c r="D36" s="712" t="s">
        <v>2659</v>
      </c>
      <c r="E36" s="713" t="s">
        <v>2095</v>
      </c>
      <c r="F36" s="711" t="s">
        <v>2085</v>
      </c>
      <c r="G36" s="711" t="s">
        <v>2172</v>
      </c>
      <c r="H36" s="711" t="s">
        <v>1480</v>
      </c>
      <c r="I36" s="711" t="s">
        <v>1706</v>
      </c>
      <c r="J36" s="711" t="s">
        <v>1707</v>
      </c>
      <c r="K36" s="711" t="s">
        <v>2073</v>
      </c>
      <c r="L36" s="714">
        <v>172</v>
      </c>
      <c r="M36" s="714">
        <v>172</v>
      </c>
      <c r="N36" s="711">
        <v>1</v>
      </c>
      <c r="O36" s="715">
        <v>0.5</v>
      </c>
      <c r="P36" s="714"/>
      <c r="Q36" s="716">
        <v>0</v>
      </c>
      <c r="R36" s="711"/>
      <c r="S36" s="716">
        <v>0</v>
      </c>
      <c r="T36" s="715"/>
      <c r="U36" s="717">
        <v>0</v>
      </c>
    </row>
    <row r="37" spans="1:21" ht="14.4" customHeight="1" x14ac:dyDescent="0.3">
      <c r="A37" s="710">
        <v>30</v>
      </c>
      <c r="B37" s="711" t="s">
        <v>501</v>
      </c>
      <c r="C37" s="711">
        <v>89301301</v>
      </c>
      <c r="D37" s="712" t="s">
        <v>2659</v>
      </c>
      <c r="E37" s="713" t="s">
        <v>2095</v>
      </c>
      <c r="F37" s="711" t="s">
        <v>2085</v>
      </c>
      <c r="G37" s="711" t="s">
        <v>2173</v>
      </c>
      <c r="H37" s="711" t="s">
        <v>1480</v>
      </c>
      <c r="I37" s="711" t="s">
        <v>1682</v>
      </c>
      <c r="J37" s="711" t="s">
        <v>1683</v>
      </c>
      <c r="K37" s="711" t="s">
        <v>818</v>
      </c>
      <c r="L37" s="714">
        <v>232.44</v>
      </c>
      <c r="M37" s="714">
        <v>232.44</v>
      </c>
      <c r="N37" s="711">
        <v>1</v>
      </c>
      <c r="O37" s="715">
        <v>0.5</v>
      </c>
      <c r="P37" s="714"/>
      <c r="Q37" s="716">
        <v>0</v>
      </c>
      <c r="R37" s="711"/>
      <c r="S37" s="716">
        <v>0</v>
      </c>
      <c r="T37" s="715"/>
      <c r="U37" s="717">
        <v>0</v>
      </c>
    </row>
    <row r="38" spans="1:21" ht="14.4" customHeight="1" x14ac:dyDescent="0.3">
      <c r="A38" s="710">
        <v>30</v>
      </c>
      <c r="B38" s="711" t="s">
        <v>501</v>
      </c>
      <c r="C38" s="711">
        <v>89301301</v>
      </c>
      <c r="D38" s="712" t="s">
        <v>2659</v>
      </c>
      <c r="E38" s="713" t="s">
        <v>2095</v>
      </c>
      <c r="F38" s="711" t="s">
        <v>2085</v>
      </c>
      <c r="G38" s="711" t="s">
        <v>2174</v>
      </c>
      <c r="H38" s="711" t="s">
        <v>500</v>
      </c>
      <c r="I38" s="711" t="s">
        <v>2175</v>
      </c>
      <c r="J38" s="711" t="s">
        <v>2176</v>
      </c>
      <c r="K38" s="711" t="s">
        <v>2177</v>
      </c>
      <c r="L38" s="714">
        <v>145.15</v>
      </c>
      <c r="M38" s="714">
        <v>145.15</v>
      </c>
      <c r="N38" s="711">
        <v>1</v>
      </c>
      <c r="O38" s="715">
        <v>0.5</v>
      </c>
      <c r="P38" s="714"/>
      <c r="Q38" s="716">
        <v>0</v>
      </c>
      <c r="R38" s="711"/>
      <c r="S38" s="716">
        <v>0</v>
      </c>
      <c r="T38" s="715"/>
      <c r="U38" s="717">
        <v>0</v>
      </c>
    </row>
    <row r="39" spans="1:21" ht="14.4" customHeight="1" x14ac:dyDescent="0.3">
      <c r="A39" s="710">
        <v>30</v>
      </c>
      <c r="B39" s="711" t="s">
        <v>501</v>
      </c>
      <c r="C39" s="711">
        <v>89301301</v>
      </c>
      <c r="D39" s="712" t="s">
        <v>2659</v>
      </c>
      <c r="E39" s="713" t="s">
        <v>2095</v>
      </c>
      <c r="F39" s="711" t="s">
        <v>2085</v>
      </c>
      <c r="G39" s="711" t="s">
        <v>2178</v>
      </c>
      <c r="H39" s="711" t="s">
        <v>500</v>
      </c>
      <c r="I39" s="711" t="s">
        <v>771</v>
      </c>
      <c r="J39" s="711" t="s">
        <v>772</v>
      </c>
      <c r="K39" s="711" t="s">
        <v>2130</v>
      </c>
      <c r="L39" s="714">
        <v>61.65</v>
      </c>
      <c r="M39" s="714">
        <v>61.65</v>
      </c>
      <c r="N39" s="711">
        <v>1</v>
      </c>
      <c r="O39" s="715">
        <v>0.5</v>
      </c>
      <c r="P39" s="714"/>
      <c r="Q39" s="716">
        <v>0</v>
      </c>
      <c r="R39" s="711"/>
      <c r="S39" s="716">
        <v>0</v>
      </c>
      <c r="T39" s="715"/>
      <c r="U39" s="717">
        <v>0</v>
      </c>
    </row>
    <row r="40" spans="1:21" ht="14.4" customHeight="1" x14ac:dyDescent="0.3">
      <c r="A40" s="710">
        <v>30</v>
      </c>
      <c r="B40" s="711" t="s">
        <v>501</v>
      </c>
      <c r="C40" s="711">
        <v>89301301</v>
      </c>
      <c r="D40" s="712" t="s">
        <v>2659</v>
      </c>
      <c r="E40" s="713" t="s">
        <v>2095</v>
      </c>
      <c r="F40" s="711" t="s">
        <v>2085</v>
      </c>
      <c r="G40" s="711" t="s">
        <v>2178</v>
      </c>
      <c r="H40" s="711" t="s">
        <v>500</v>
      </c>
      <c r="I40" s="711" t="s">
        <v>913</v>
      </c>
      <c r="J40" s="711" t="s">
        <v>2179</v>
      </c>
      <c r="K40" s="711" t="s">
        <v>2180</v>
      </c>
      <c r="L40" s="714">
        <v>66.599999999999994</v>
      </c>
      <c r="M40" s="714">
        <v>66.599999999999994</v>
      </c>
      <c r="N40" s="711">
        <v>1</v>
      </c>
      <c r="O40" s="715">
        <v>0.5</v>
      </c>
      <c r="P40" s="714"/>
      <c r="Q40" s="716">
        <v>0</v>
      </c>
      <c r="R40" s="711"/>
      <c r="S40" s="716">
        <v>0</v>
      </c>
      <c r="T40" s="715"/>
      <c r="U40" s="717">
        <v>0</v>
      </c>
    </row>
    <row r="41" spans="1:21" ht="14.4" customHeight="1" x14ac:dyDescent="0.3">
      <c r="A41" s="710">
        <v>30</v>
      </c>
      <c r="B41" s="711" t="s">
        <v>501</v>
      </c>
      <c r="C41" s="711">
        <v>89301301</v>
      </c>
      <c r="D41" s="712" t="s">
        <v>2659</v>
      </c>
      <c r="E41" s="713" t="s">
        <v>2095</v>
      </c>
      <c r="F41" s="711" t="s">
        <v>2085</v>
      </c>
      <c r="G41" s="711" t="s">
        <v>2181</v>
      </c>
      <c r="H41" s="711" t="s">
        <v>500</v>
      </c>
      <c r="I41" s="711" t="s">
        <v>1128</v>
      </c>
      <c r="J41" s="711" t="s">
        <v>1129</v>
      </c>
      <c r="K41" s="711" t="s">
        <v>1130</v>
      </c>
      <c r="L41" s="714">
        <v>94.09</v>
      </c>
      <c r="M41" s="714">
        <v>94.09</v>
      </c>
      <c r="N41" s="711">
        <v>1</v>
      </c>
      <c r="O41" s="715">
        <v>0.5</v>
      </c>
      <c r="P41" s="714"/>
      <c r="Q41" s="716">
        <v>0</v>
      </c>
      <c r="R41" s="711"/>
      <c r="S41" s="716">
        <v>0</v>
      </c>
      <c r="T41" s="715"/>
      <c r="U41" s="717">
        <v>0</v>
      </c>
    </row>
    <row r="42" spans="1:21" ht="14.4" customHeight="1" x14ac:dyDescent="0.3">
      <c r="A42" s="710">
        <v>30</v>
      </c>
      <c r="B42" s="711" t="s">
        <v>501</v>
      </c>
      <c r="C42" s="711">
        <v>89301301</v>
      </c>
      <c r="D42" s="712" t="s">
        <v>2659</v>
      </c>
      <c r="E42" s="713" t="s">
        <v>2095</v>
      </c>
      <c r="F42" s="711" t="s">
        <v>2085</v>
      </c>
      <c r="G42" s="711" t="s">
        <v>2182</v>
      </c>
      <c r="H42" s="711" t="s">
        <v>500</v>
      </c>
      <c r="I42" s="711" t="s">
        <v>607</v>
      </c>
      <c r="J42" s="711" t="s">
        <v>2183</v>
      </c>
      <c r="K42" s="711" t="s">
        <v>2184</v>
      </c>
      <c r="L42" s="714">
        <v>50.95</v>
      </c>
      <c r="M42" s="714">
        <v>50.95</v>
      </c>
      <c r="N42" s="711">
        <v>1</v>
      </c>
      <c r="O42" s="715">
        <v>0.5</v>
      </c>
      <c r="P42" s="714"/>
      <c r="Q42" s="716">
        <v>0</v>
      </c>
      <c r="R42" s="711"/>
      <c r="S42" s="716">
        <v>0</v>
      </c>
      <c r="T42" s="715"/>
      <c r="U42" s="717">
        <v>0</v>
      </c>
    </row>
    <row r="43" spans="1:21" ht="14.4" customHeight="1" x14ac:dyDescent="0.3">
      <c r="A43" s="710">
        <v>30</v>
      </c>
      <c r="B43" s="711" t="s">
        <v>501</v>
      </c>
      <c r="C43" s="711">
        <v>89301301</v>
      </c>
      <c r="D43" s="712" t="s">
        <v>2659</v>
      </c>
      <c r="E43" s="713" t="s">
        <v>2095</v>
      </c>
      <c r="F43" s="711" t="s">
        <v>2085</v>
      </c>
      <c r="G43" s="711" t="s">
        <v>2185</v>
      </c>
      <c r="H43" s="711" t="s">
        <v>500</v>
      </c>
      <c r="I43" s="711" t="s">
        <v>813</v>
      </c>
      <c r="J43" s="711" t="s">
        <v>814</v>
      </c>
      <c r="K43" s="711" t="s">
        <v>2186</v>
      </c>
      <c r="L43" s="714">
        <v>163.9</v>
      </c>
      <c r="M43" s="714">
        <v>163.9</v>
      </c>
      <c r="N43" s="711">
        <v>1</v>
      </c>
      <c r="O43" s="715">
        <v>0.5</v>
      </c>
      <c r="P43" s="714"/>
      <c r="Q43" s="716">
        <v>0</v>
      </c>
      <c r="R43" s="711"/>
      <c r="S43" s="716">
        <v>0</v>
      </c>
      <c r="T43" s="715"/>
      <c r="U43" s="717">
        <v>0</v>
      </c>
    </row>
    <row r="44" spans="1:21" ht="14.4" customHeight="1" x14ac:dyDescent="0.3">
      <c r="A44" s="710">
        <v>30</v>
      </c>
      <c r="B44" s="711" t="s">
        <v>501</v>
      </c>
      <c r="C44" s="711">
        <v>89301301</v>
      </c>
      <c r="D44" s="712" t="s">
        <v>2659</v>
      </c>
      <c r="E44" s="713" t="s">
        <v>2095</v>
      </c>
      <c r="F44" s="711" t="s">
        <v>2085</v>
      </c>
      <c r="G44" s="711" t="s">
        <v>2187</v>
      </c>
      <c r="H44" s="711" t="s">
        <v>500</v>
      </c>
      <c r="I44" s="711" t="s">
        <v>1287</v>
      </c>
      <c r="J44" s="711" t="s">
        <v>1288</v>
      </c>
      <c r="K44" s="711" t="s">
        <v>2188</v>
      </c>
      <c r="L44" s="714">
        <v>23.72</v>
      </c>
      <c r="M44" s="714">
        <v>47.44</v>
      </c>
      <c r="N44" s="711">
        <v>2</v>
      </c>
      <c r="O44" s="715">
        <v>1</v>
      </c>
      <c r="P44" s="714">
        <v>23.72</v>
      </c>
      <c r="Q44" s="716">
        <v>0.5</v>
      </c>
      <c r="R44" s="711">
        <v>1</v>
      </c>
      <c r="S44" s="716">
        <v>0.5</v>
      </c>
      <c r="T44" s="715">
        <v>0.5</v>
      </c>
      <c r="U44" s="717">
        <v>0.5</v>
      </c>
    </row>
    <row r="45" spans="1:21" ht="14.4" customHeight="1" x14ac:dyDescent="0.3">
      <c r="A45" s="710">
        <v>30</v>
      </c>
      <c r="B45" s="711" t="s">
        <v>501</v>
      </c>
      <c r="C45" s="711">
        <v>89301301</v>
      </c>
      <c r="D45" s="712" t="s">
        <v>2659</v>
      </c>
      <c r="E45" s="713" t="s">
        <v>2095</v>
      </c>
      <c r="F45" s="711" t="s">
        <v>2085</v>
      </c>
      <c r="G45" s="711" t="s">
        <v>2189</v>
      </c>
      <c r="H45" s="711" t="s">
        <v>500</v>
      </c>
      <c r="I45" s="711" t="s">
        <v>2190</v>
      </c>
      <c r="J45" s="711" t="s">
        <v>2191</v>
      </c>
      <c r="K45" s="711" t="s">
        <v>2192</v>
      </c>
      <c r="L45" s="714">
        <v>175.73</v>
      </c>
      <c r="M45" s="714">
        <v>175.73</v>
      </c>
      <c r="N45" s="711">
        <v>1</v>
      </c>
      <c r="O45" s="715">
        <v>1</v>
      </c>
      <c r="P45" s="714"/>
      <c r="Q45" s="716">
        <v>0</v>
      </c>
      <c r="R45" s="711"/>
      <c r="S45" s="716">
        <v>0</v>
      </c>
      <c r="T45" s="715"/>
      <c r="U45" s="717">
        <v>0</v>
      </c>
    </row>
    <row r="46" spans="1:21" ht="14.4" customHeight="1" x14ac:dyDescent="0.3">
      <c r="A46" s="710">
        <v>30</v>
      </c>
      <c r="B46" s="711" t="s">
        <v>501</v>
      </c>
      <c r="C46" s="711">
        <v>89301301</v>
      </c>
      <c r="D46" s="712" t="s">
        <v>2659</v>
      </c>
      <c r="E46" s="713" t="s">
        <v>2095</v>
      </c>
      <c r="F46" s="711" t="s">
        <v>2085</v>
      </c>
      <c r="G46" s="711" t="s">
        <v>2193</v>
      </c>
      <c r="H46" s="711" t="s">
        <v>500</v>
      </c>
      <c r="I46" s="711" t="s">
        <v>2194</v>
      </c>
      <c r="J46" s="711" t="s">
        <v>2195</v>
      </c>
      <c r="K46" s="711" t="s">
        <v>2196</v>
      </c>
      <c r="L46" s="714">
        <v>54.02</v>
      </c>
      <c r="M46" s="714">
        <v>54.02</v>
      </c>
      <c r="N46" s="711">
        <v>1</v>
      </c>
      <c r="O46" s="715">
        <v>0.5</v>
      </c>
      <c r="P46" s="714"/>
      <c r="Q46" s="716">
        <v>0</v>
      </c>
      <c r="R46" s="711"/>
      <c r="S46" s="716">
        <v>0</v>
      </c>
      <c r="T46" s="715"/>
      <c r="U46" s="717">
        <v>0</v>
      </c>
    </row>
    <row r="47" spans="1:21" ht="14.4" customHeight="1" x14ac:dyDescent="0.3">
      <c r="A47" s="710">
        <v>30</v>
      </c>
      <c r="B47" s="711" t="s">
        <v>501</v>
      </c>
      <c r="C47" s="711">
        <v>89301301</v>
      </c>
      <c r="D47" s="712" t="s">
        <v>2659</v>
      </c>
      <c r="E47" s="713" t="s">
        <v>2095</v>
      </c>
      <c r="F47" s="711" t="s">
        <v>2085</v>
      </c>
      <c r="G47" s="711" t="s">
        <v>2124</v>
      </c>
      <c r="H47" s="711" t="s">
        <v>500</v>
      </c>
      <c r="I47" s="711" t="s">
        <v>820</v>
      </c>
      <c r="J47" s="711" t="s">
        <v>2125</v>
      </c>
      <c r="K47" s="711" t="s">
        <v>2126</v>
      </c>
      <c r="L47" s="714">
        <v>91.14</v>
      </c>
      <c r="M47" s="714">
        <v>91.14</v>
      </c>
      <c r="N47" s="711">
        <v>1</v>
      </c>
      <c r="O47" s="715">
        <v>0.5</v>
      </c>
      <c r="P47" s="714"/>
      <c r="Q47" s="716">
        <v>0</v>
      </c>
      <c r="R47" s="711"/>
      <c r="S47" s="716">
        <v>0</v>
      </c>
      <c r="T47" s="715"/>
      <c r="U47" s="717">
        <v>0</v>
      </c>
    </row>
    <row r="48" spans="1:21" ht="14.4" customHeight="1" x14ac:dyDescent="0.3">
      <c r="A48" s="710">
        <v>30</v>
      </c>
      <c r="B48" s="711" t="s">
        <v>501</v>
      </c>
      <c r="C48" s="711">
        <v>89301301</v>
      </c>
      <c r="D48" s="712" t="s">
        <v>2659</v>
      </c>
      <c r="E48" s="713" t="s">
        <v>2095</v>
      </c>
      <c r="F48" s="711" t="s">
        <v>2085</v>
      </c>
      <c r="G48" s="711" t="s">
        <v>2197</v>
      </c>
      <c r="H48" s="711" t="s">
        <v>1480</v>
      </c>
      <c r="I48" s="711" t="s">
        <v>1532</v>
      </c>
      <c r="J48" s="711" t="s">
        <v>1533</v>
      </c>
      <c r="K48" s="711" t="s">
        <v>1534</v>
      </c>
      <c r="L48" s="714">
        <v>0</v>
      </c>
      <c r="M48" s="714">
        <v>0</v>
      </c>
      <c r="N48" s="711">
        <v>1</v>
      </c>
      <c r="O48" s="715">
        <v>0.5</v>
      </c>
      <c r="P48" s="714"/>
      <c r="Q48" s="716"/>
      <c r="R48" s="711"/>
      <c r="S48" s="716">
        <v>0</v>
      </c>
      <c r="T48" s="715"/>
      <c r="U48" s="717">
        <v>0</v>
      </c>
    </row>
    <row r="49" spans="1:21" ht="14.4" customHeight="1" x14ac:dyDescent="0.3">
      <c r="A49" s="710">
        <v>30</v>
      </c>
      <c r="B49" s="711" t="s">
        <v>501</v>
      </c>
      <c r="C49" s="711">
        <v>89301301</v>
      </c>
      <c r="D49" s="712" t="s">
        <v>2659</v>
      </c>
      <c r="E49" s="713" t="s">
        <v>2095</v>
      </c>
      <c r="F49" s="711" t="s">
        <v>2085</v>
      </c>
      <c r="G49" s="711" t="s">
        <v>2198</v>
      </c>
      <c r="H49" s="711" t="s">
        <v>1480</v>
      </c>
      <c r="I49" s="711" t="s">
        <v>1737</v>
      </c>
      <c r="J49" s="711" t="s">
        <v>1738</v>
      </c>
      <c r="K49" s="711" t="s">
        <v>1739</v>
      </c>
      <c r="L49" s="714">
        <v>306.04000000000002</v>
      </c>
      <c r="M49" s="714">
        <v>306.04000000000002</v>
      </c>
      <c r="N49" s="711">
        <v>1</v>
      </c>
      <c r="O49" s="715">
        <v>0.5</v>
      </c>
      <c r="P49" s="714">
        <v>306.04000000000002</v>
      </c>
      <c r="Q49" s="716">
        <v>1</v>
      </c>
      <c r="R49" s="711">
        <v>1</v>
      </c>
      <c r="S49" s="716">
        <v>1</v>
      </c>
      <c r="T49" s="715">
        <v>0.5</v>
      </c>
      <c r="U49" s="717">
        <v>1</v>
      </c>
    </row>
    <row r="50" spans="1:21" ht="14.4" customHeight="1" x14ac:dyDescent="0.3">
      <c r="A50" s="710">
        <v>30</v>
      </c>
      <c r="B50" s="711" t="s">
        <v>501</v>
      </c>
      <c r="C50" s="711">
        <v>89301301</v>
      </c>
      <c r="D50" s="712" t="s">
        <v>2659</v>
      </c>
      <c r="E50" s="713" t="s">
        <v>2095</v>
      </c>
      <c r="F50" s="711" t="s">
        <v>2085</v>
      </c>
      <c r="G50" s="711" t="s">
        <v>2137</v>
      </c>
      <c r="H50" s="711" t="s">
        <v>500</v>
      </c>
      <c r="I50" s="711" t="s">
        <v>858</v>
      </c>
      <c r="J50" s="711" t="s">
        <v>2138</v>
      </c>
      <c r="K50" s="711" t="s">
        <v>2139</v>
      </c>
      <c r="L50" s="714">
        <v>0</v>
      </c>
      <c r="M50" s="714">
        <v>0</v>
      </c>
      <c r="N50" s="711">
        <v>3</v>
      </c>
      <c r="O50" s="715">
        <v>2</v>
      </c>
      <c r="P50" s="714">
        <v>0</v>
      </c>
      <c r="Q50" s="716"/>
      <c r="R50" s="711">
        <v>1</v>
      </c>
      <c r="S50" s="716">
        <v>0.33333333333333331</v>
      </c>
      <c r="T50" s="715">
        <v>0.5</v>
      </c>
      <c r="U50" s="717">
        <v>0.25</v>
      </c>
    </row>
    <row r="51" spans="1:21" ht="14.4" customHeight="1" x14ac:dyDescent="0.3">
      <c r="A51" s="710">
        <v>30</v>
      </c>
      <c r="B51" s="711" t="s">
        <v>501</v>
      </c>
      <c r="C51" s="711">
        <v>89301301</v>
      </c>
      <c r="D51" s="712" t="s">
        <v>2659</v>
      </c>
      <c r="E51" s="713" t="s">
        <v>2095</v>
      </c>
      <c r="F51" s="711" t="s">
        <v>2085</v>
      </c>
      <c r="G51" s="711" t="s">
        <v>2199</v>
      </c>
      <c r="H51" s="711" t="s">
        <v>500</v>
      </c>
      <c r="I51" s="711" t="s">
        <v>798</v>
      </c>
      <c r="J51" s="711" t="s">
        <v>799</v>
      </c>
      <c r="K51" s="711" t="s">
        <v>2200</v>
      </c>
      <c r="L51" s="714">
        <v>242.93</v>
      </c>
      <c r="M51" s="714">
        <v>242.93</v>
      </c>
      <c r="N51" s="711">
        <v>1</v>
      </c>
      <c r="O51" s="715">
        <v>1</v>
      </c>
      <c r="P51" s="714">
        <v>242.93</v>
      </c>
      <c r="Q51" s="716">
        <v>1</v>
      </c>
      <c r="R51" s="711">
        <v>1</v>
      </c>
      <c r="S51" s="716">
        <v>1</v>
      </c>
      <c r="T51" s="715">
        <v>1</v>
      </c>
      <c r="U51" s="717">
        <v>1</v>
      </c>
    </row>
    <row r="52" spans="1:21" ht="14.4" customHeight="1" x14ac:dyDescent="0.3">
      <c r="A52" s="710">
        <v>30</v>
      </c>
      <c r="B52" s="711" t="s">
        <v>501</v>
      </c>
      <c r="C52" s="711">
        <v>89301301</v>
      </c>
      <c r="D52" s="712" t="s">
        <v>2659</v>
      </c>
      <c r="E52" s="713" t="s">
        <v>2095</v>
      </c>
      <c r="F52" s="711" t="s">
        <v>2085</v>
      </c>
      <c r="G52" s="711" t="s">
        <v>2201</v>
      </c>
      <c r="H52" s="711" t="s">
        <v>500</v>
      </c>
      <c r="I52" s="711" t="s">
        <v>744</v>
      </c>
      <c r="J52" s="711" t="s">
        <v>745</v>
      </c>
      <c r="K52" s="711" t="s">
        <v>2202</v>
      </c>
      <c r="L52" s="714">
        <v>81.03</v>
      </c>
      <c r="M52" s="714">
        <v>81.03</v>
      </c>
      <c r="N52" s="711">
        <v>1</v>
      </c>
      <c r="O52" s="715">
        <v>0.5</v>
      </c>
      <c r="P52" s="714"/>
      <c r="Q52" s="716">
        <v>0</v>
      </c>
      <c r="R52" s="711"/>
      <c r="S52" s="716">
        <v>0</v>
      </c>
      <c r="T52" s="715"/>
      <c r="U52" s="717">
        <v>0</v>
      </c>
    </row>
    <row r="53" spans="1:21" ht="14.4" customHeight="1" x14ac:dyDescent="0.3">
      <c r="A53" s="710">
        <v>30</v>
      </c>
      <c r="B53" s="711" t="s">
        <v>501</v>
      </c>
      <c r="C53" s="711">
        <v>89301301</v>
      </c>
      <c r="D53" s="712" t="s">
        <v>2659</v>
      </c>
      <c r="E53" s="713" t="s">
        <v>2095</v>
      </c>
      <c r="F53" s="711" t="s">
        <v>2085</v>
      </c>
      <c r="G53" s="711" t="s">
        <v>2145</v>
      </c>
      <c r="H53" s="711" t="s">
        <v>1480</v>
      </c>
      <c r="I53" s="711" t="s">
        <v>1700</v>
      </c>
      <c r="J53" s="711" t="s">
        <v>1518</v>
      </c>
      <c r="K53" s="711" t="s">
        <v>1701</v>
      </c>
      <c r="L53" s="714">
        <v>468.96</v>
      </c>
      <c r="M53" s="714">
        <v>468.96</v>
      </c>
      <c r="N53" s="711">
        <v>1</v>
      </c>
      <c r="O53" s="715">
        <v>1</v>
      </c>
      <c r="P53" s="714"/>
      <c r="Q53" s="716">
        <v>0</v>
      </c>
      <c r="R53" s="711"/>
      <c r="S53" s="716">
        <v>0</v>
      </c>
      <c r="T53" s="715"/>
      <c r="U53" s="717">
        <v>0</v>
      </c>
    </row>
    <row r="54" spans="1:21" ht="14.4" customHeight="1" x14ac:dyDescent="0.3">
      <c r="A54" s="710">
        <v>30</v>
      </c>
      <c r="B54" s="711" t="s">
        <v>501</v>
      </c>
      <c r="C54" s="711">
        <v>89301301</v>
      </c>
      <c r="D54" s="712" t="s">
        <v>2659</v>
      </c>
      <c r="E54" s="713" t="s">
        <v>2095</v>
      </c>
      <c r="F54" s="711" t="s">
        <v>2085</v>
      </c>
      <c r="G54" s="711" t="s">
        <v>2145</v>
      </c>
      <c r="H54" s="711" t="s">
        <v>1480</v>
      </c>
      <c r="I54" s="711" t="s">
        <v>1703</v>
      </c>
      <c r="J54" s="711" t="s">
        <v>1518</v>
      </c>
      <c r="K54" s="711" t="s">
        <v>1704</v>
      </c>
      <c r="L54" s="714">
        <v>625.29</v>
      </c>
      <c r="M54" s="714">
        <v>1875.87</v>
      </c>
      <c r="N54" s="711">
        <v>3</v>
      </c>
      <c r="O54" s="715">
        <v>0.5</v>
      </c>
      <c r="P54" s="714"/>
      <c r="Q54" s="716">
        <v>0</v>
      </c>
      <c r="R54" s="711"/>
      <c r="S54" s="716">
        <v>0</v>
      </c>
      <c r="T54" s="715"/>
      <c r="U54" s="717">
        <v>0</v>
      </c>
    </row>
    <row r="55" spans="1:21" ht="14.4" customHeight="1" x14ac:dyDescent="0.3">
      <c r="A55" s="710">
        <v>30</v>
      </c>
      <c r="B55" s="711" t="s">
        <v>501</v>
      </c>
      <c r="C55" s="711">
        <v>89301301</v>
      </c>
      <c r="D55" s="712" t="s">
        <v>2659</v>
      </c>
      <c r="E55" s="713" t="s">
        <v>2095</v>
      </c>
      <c r="F55" s="711" t="s">
        <v>2085</v>
      </c>
      <c r="G55" s="711" t="s">
        <v>2145</v>
      </c>
      <c r="H55" s="711" t="s">
        <v>1480</v>
      </c>
      <c r="I55" s="711" t="s">
        <v>1517</v>
      </c>
      <c r="J55" s="711" t="s">
        <v>1518</v>
      </c>
      <c r="K55" s="711" t="s">
        <v>1519</v>
      </c>
      <c r="L55" s="714">
        <v>937.93</v>
      </c>
      <c r="M55" s="714">
        <v>5627.58</v>
      </c>
      <c r="N55" s="711">
        <v>6</v>
      </c>
      <c r="O55" s="715">
        <v>1</v>
      </c>
      <c r="P55" s="714"/>
      <c r="Q55" s="716">
        <v>0</v>
      </c>
      <c r="R55" s="711"/>
      <c r="S55" s="716">
        <v>0</v>
      </c>
      <c r="T55" s="715"/>
      <c r="U55" s="717">
        <v>0</v>
      </c>
    </row>
    <row r="56" spans="1:21" ht="14.4" customHeight="1" x14ac:dyDescent="0.3">
      <c r="A56" s="710">
        <v>30</v>
      </c>
      <c r="B56" s="711" t="s">
        <v>501</v>
      </c>
      <c r="C56" s="711">
        <v>89301301</v>
      </c>
      <c r="D56" s="712" t="s">
        <v>2659</v>
      </c>
      <c r="E56" s="713" t="s">
        <v>2095</v>
      </c>
      <c r="F56" s="711" t="s">
        <v>2085</v>
      </c>
      <c r="G56" s="711" t="s">
        <v>2145</v>
      </c>
      <c r="H56" s="711" t="s">
        <v>1480</v>
      </c>
      <c r="I56" s="711" t="s">
        <v>2203</v>
      </c>
      <c r="J56" s="711" t="s">
        <v>1571</v>
      </c>
      <c r="K56" s="711" t="s">
        <v>1522</v>
      </c>
      <c r="L56" s="714">
        <v>2332.92</v>
      </c>
      <c r="M56" s="714">
        <v>4665.84</v>
      </c>
      <c r="N56" s="711">
        <v>2</v>
      </c>
      <c r="O56" s="715">
        <v>0.5</v>
      </c>
      <c r="P56" s="714">
        <v>4665.84</v>
      </c>
      <c r="Q56" s="716">
        <v>1</v>
      </c>
      <c r="R56" s="711">
        <v>2</v>
      </c>
      <c r="S56" s="716">
        <v>1</v>
      </c>
      <c r="T56" s="715">
        <v>0.5</v>
      </c>
      <c r="U56" s="717">
        <v>1</v>
      </c>
    </row>
    <row r="57" spans="1:21" ht="14.4" customHeight="1" x14ac:dyDescent="0.3">
      <c r="A57" s="710">
        <v>30</v>
      </c>
      <c r="B57" s="711" t="s">
        <v>501</v>
      </c>
      <c r="C57" s="711">
        <v>89301301</v>
      </c>
      <c r="D57" s="712" t="s">
        <v>2659</v>
      </c>
      <c r="E57" s="713" t="s">
        <v>2095</v>
      </c>
      <c r="F57" s="711" t="s">
        <v>2085</v>
      </c>
      <c r="G57" s="711" t="s">
        <v>2146</v>
      </c>
      <c r="H57" s="711" t="s">
        <v>500</v>
      </c>
      <c r="I57" s="711" t="s">
        <v>2147</v>
      </c>
      <c r="J57" s="711" t="s">
        <v>2148</v>
      </c>
      <c r="K57" s="711" t="s">
        <v>2149</v>
      </c>
      <c r="L57" s="714">
        <v>97.97</v>
      </c>
      <c r="M57" s="714">
        <v>97.97</v>
      </c>
      <c r="N57" s="711">
        <v>1</v>
      </c>
      <c r="O57" s="715">
        <v>0.5</v>
      </c>
      <c r="P57" s="714"/>
      <c r="Q57" s="716">
        <v>0</v>
      </c>
      <c r="R57" s="711"/>
      <c r="S57" s="716">
        <v>0</v>
      </c>
      <c r="T57" s="715"/>
      <c r="U57" s="717">
        <v>0</v>
      </c>
    </row>
    <row r="58" spans="1:21" ht="14.4" customHeight="1" x14ac:dyDescent="0.3">
      <c r="A58" s="710">
        <v>30</v>
      </c>
      <c r="B58" s="711" t="s">
        <v>501</v>
      </c>
      <c r="C58" s="711">
        <v>89301301</v>
      </c>
      <c r="D58" s="712" t="s">
        <v>2659</v>
      </c>
      <c r="E58" s="713" t="s">
        <v>2095</v>
      </c>
      <c r="F58" s="711" t="s">
        <v>2085</v>
      </c>
      <c r="G58" s="711" t="s">
        <v>2146</v>
      </c>
      <c r="H58" s="711" t="s">
        <v>500</v>
      </c>
      <c r="I58" s="711" t="s">
        <v>2204</v>
      </c>
      <c r="J58" s="711" t="s">
        <v>696</v>
      </c>
      <c r="K58" s="711" t="s">
        <v>2205</v>
      </c>
      <c r="L58" s="714">
        <v>97.97</v>
      </c>
      <c r="M58" s="714">
        <v>97.97</v>
      </c>
      <c r="N58" s="711">
        <v>1</v>
      </c>
      <c r="O58" s="715">
        <v>0.5</v>
      </c>
      <c r="P58" s="714"/>
      <c r="Q58" s="716">
        <v>0</v>
      </c>
      <c r="R58" s="711"/>
      <c r="S58" s="716">
        <v>0</v>
      </c>
      <c r="T58" s="715"/>
      <c r="U58" s="717">
        <v>0</v>
      </c>
    </row>
    <row r="59" spans="1:21" ht="14.4" customHeight="1" x14ac:dyDescent="0.3">
      <c r="A59" s="710">
        <v>30</v>
      </c>
      <c r="B59" s="711" t="s">
        <v>501</v>
      </c>
      <c r="C59" s="711">
        <v>89301301</v>
      </c>
      <c r="D59" s="712" t="s">
        <v>2659</v>
      </c>
      <c r="E59" s="713" t="s">
        <v>2095</v>
      </c>
      <c r="F59" s="711" t="s">
        <v>2085</v>
      </c>
      <c r="G59" s="711" t="s">
        <v>2206</v>
      </c>
      <c r="H59" s="711" t="s">
        <v>500</v>
      </c>
      <c r="I59" s="711" t="s">
        <v>1177</v>
      </c>
      <c r="J59" s="711" t="s">
        <v>2207</v>
      </c>
      <c r="K59" s="711" t="s">
        <v>2208</v>
      </c>
      <c r="L59" s="714">
        <v>19.66</v>
      </c>
      <c r="M59" s="714">
        <v>19.66</v>
      </c>
      <c r="N59" s="711">
        <v>1</v>
      </c>
      <c r="O59" s="715">
        <v>0.5</v>
      </c>
      <c r="P59" s="714"/>
      <c r="Q59" s="716">
        <v>0</v>
      </c>
      <c r="R59" s="711"/>
      <c r="S59" s="716">
        <v>0</v>
      </c>
      <c r="T59" s="715"/>
      <c r="U59" s="717">
        <v>0</v>
      </c>
    </row>
    <row r="60" spans="1:21" ht="14.4" customHeight="1" x14ac:dyDescent="0.3">
      <c r="A60" s="710">
        <v>30</v>
      </c>
      <c r="B60" s="711" t="s">
        <v>501</v>
      </c>
      <c r="C60" s="711">
        <v>89301301</v>
      </c>
      <c r="D60" s="712" t="s">
        <v>2659</v>
      </c>
      <c r="E60" s="713" t="s">
        <v>2095</v>
      </c>
      <c r="F60" s="711" t="s">
        <v>2085</v>
      </c>
      <c r="G60" s="711" t="s">
        <v>2209</v>
      </c>
      <c r="H60" s="711" t="s">
        <v>1480</v>
      </c>
      <c r="I60" s="711" t="s">
        <v>1543</v>
      </c>
      <c r="J60" s="711" t="s">
        <v>1482</v>
      </c>
      <c r="K60" s="711" t="s">
        <v>1974</v>
      </c>
      <c r="L60" s="714">
        <v>48.98</v>
      </c>
      <c r="M60" s="714">
        <v>97.96</v>
      </c>
      <c r="N60" s="711">
        <v>2</v>
      </c>
      <c r="O60" s="715">
        <v>1</v>
      </c>
      <c r="P60" s="714"/>
      <c r="Q60" s="716">
        <v>0</v>
      </c>
      <c r="R60" s="711"/>
      <c r="S60" s="716">
        <v>0</v>
      </c>
      <c r="T60" s="715"/>
      <c r="U60" s="717">
        <v>0</v>
      </c>
    </row>
    <row r="61" spans="1:21" ht="14.4" customHeight="1" x14ac:dyDescent="0.3">
      <c r="A61" s="710">
        <v>30</v>
      </c>
      <c r="B61" s="711" t="s">
        <v>501</v>
      </c>
      <c r="C61" s="711">
        <v>89301301</v>
      </c>
      <c r="D61" s="712" t="s">
        <v>2659</v>
      </c>
      <c r="E61" s="713" t="s">
        <v>2095</v>
      </c>
      <c r="F61" s="711" t="s">
        <v>2085</v>
      </c>
      <c r="G61" s="711" t="s">
        <v>2150</v>
      </c>
      <c r="H61" s="711" t="s">
        <v>500</v>
      </c>
      <c r="I61" s="711" t="s">
        <v>2210</v>
      </c>
      <c r="J61" s="711" t="s">
        <v>2211</v>
      </c>
      <c r="K61" s="711" t="s">
        <v>1641</v>
      </c>
      <c r="L61" s="714">
        <v>67.42</v>
      </c>
      <c r="M61" s="714">
        <v>67.42</v>
      </c>
      <c r="N61" s="711">
        <v>1</v>
      </c>
      <c r="O61" s="715">
        <v>0.5</v>
      </c>
      <c r="P61" s="714"/>
      <c r="Q61" s="716">
        <v>0</v>
      </c>
      <c r="R61" s="711"/>
      <c r="S61" s="716">
        <v>0</v>
      </c>
      <c r="T61" s="715"/>
      <c r="U61" s="717">
        <v>0</v>
      </c>
    </row>
    <row r="62" spans="1:21" ht="14.4" customHeight="1" x14ac:dyDescent="0.3">
      <c r="A62" s="710">
        <v>30</v>
      </c>
      <c r="B62" s="711" t="s">
        <v>501</v>
      </c>
      <c r="C62" s="711">
        <v>89301301</v>
      </c>
      <c r="D62" s="712" t="s">
        <v>2659</v>
      </c>
      <c r="E62" s="713" t="s">
        <v>2095</v>
      </c>
      <c r="F62" s="711" t="s">
        <v>2085</v>
      </c>
      <c r="G62" s="711" t="s">
        <v>2212</v>
      </c>
      <c r="H62" s="711" t="s">
        <v>500</v>
      </c>
      <c r="I62" s="711" t="s">
        <v>2213</v>
      </c>
      <c r="J62" s="711" t="s">
        <v>1327</v>
      </c>
      <c r="K62" s="711" t="s">
        <v>2214</v>
      </c>
      <c r="L62" s="714">
        <v>0</v>
      </c>
      <c r="M62" s="714">
        <v>0</v>
      </c>
      <c r="N62" s="711">
        <v>1</v>
      </c>
      <c r="O62" s="715">
        <v>0.5</v>
      </c>
      <c r="P62" s="714"/>
      <c r="Q62" s="716"/>
      <c r="R62" s="711"/>
      <c r="S62" s="716">
        <v>0</v>
      </c>
      <c r="T62" s="715"/>
      <c r="U62" s="717">
        <v>0</v>
      </c>
    </row>
    <row r="63" spans="1:21" ht="14.4" customHeight="1" x14ac:dyDescent="0.3">
      <c r="A63" s="710">
        <v>30</v>
      </c>
      <c r="B63" s="711" t="s">
        <v>501</v>
      </c>
      <c r="C63" s="711">
        <v>89301301</v>
      </c>
      <c r="D63" s="712" t="s">
        <v>2659</v>
      </c>
      <c r="E63" s="713" t="s">
        <v>2095</v>
      </c>
      <c r="F63" s="711" t="s">
        <v>2085</v>
      </c>
      <c r="G63" s="711" t="s">
        <v>2215</v>
      </c>
      <c r="H63" s="711" t="s">
        <v>500</v>
      </c>
      <c r="I63" s="711" t="s">
        <v>2216</v>
      </c>
      <c r="J63" s="711" t="s">
        <v>2217</v>
      </c>
      <c r="K63" s="711" t="s">
        <v>2218</v>
      </c>
      <c r="L63" s="714">
        <v>112.13</v>
      </c>
      <c r="M63" s="714">
        <v>112.13</v>
      </c>
      <c r="N63" s="711">
        <v>1</v>
      </c>
      <c r="O63" s="715">
        <v>0.5</v>
      </c>
      <c r="P63" s="714"/>
      <c r="Q63" s="716">
        <v>0</v>
      </c>
      <c r="R63" s="711"/>
      <c r="S63" s="716">
        <v>0</v>
      </c>
      <c r="T63" s="715"/>
      <c r="U63" s="717">
        <v>0</v>
      </c>
    </row>
    <row r="64" spans="1:21" ht="14.4" customHeight="1" x14ac:dyDescent="0.3">
      <c r="A64" s="710">
        <v>30</v>
      </c>
      <c r="B64" s="711" t="s">
        <v>501</v>
      </c>
      <c r="C64" s="711">
        <v>89301301</v>
      </c>
      <c r="D64" s="712" t="s">
        <v>2659</v>
      </c>
      <c r="E64" s="713" t="s">
        <v>2095</v>
      </c>
      <c r="F64" s="711" t="s">
        <v>2085</v>
      </c>
      <c r="G64" s="711" t="s">
        <v>2219</v>
      </c>
      <c r="H64" s="711" t="s">
        <v>500</v>
      </c>
      <c r="I64" s="711" t="s">
        <v>768</v>
      </c>
      <c r="J64" s="711" t="s">
        <v>2220</v>
      </c>
      <c r="K64" s="711" t="s">
        <v>2221</v>
      </c>
      <c r="L64" s="714">
        <v>0</v>
      </c>
      <c r="M64" s="714">
        <v>0</v>
      </c>
      <c r="N64" s="711">
        <v>5</v>
      </c>
      <c r="O64" s="715">
        <v>3</v>
      </c>
      <c r="P64" s="714"/>
      <c r="Q64" s="716"/>
      <c r="R64" s="711"/>
      <c r="S64" s="716">
        <v>0</v>
      </c>
      <c r="T64" s="715"/>
      <c r="U64" s="717">
        <v>0</v>
      </c>
    </row>
    <row r="65" spans="1:21" ht="14.4" customHeight="1" x14ac:dyDescent="0.3">
      <c r="A65" s="710">
        <v>30</v>
      </c>
      <c r="B65" s="711" t="s">
        <v>501</v>
      </c>
      <c r="C65" s="711">
        <v>89301301</v>
      </c>
      <c r="D65" s="712" t="s">
        <v>2659</v>
      </c>
      <c r="E65" s="713" t="s">
        <v>2095</v>
      </c>
      <c r="F65" s="711" t="s">
        <v>2085</v>
      </c>
      <c r="G65" s="711" t="s">
        <v>2222</v>
      </c>
      <c r="H65" s="711" t="s">
        <v>500</v>
      </c>
      <c r="I65" s="711" t="s">
        <v>626</v>
      </c>
      <c r="J65" s="711" t="s">
        <v>627</v>
      </c>
      <c r="K65" s="711" t="s">
        <v>2223</v>
      </c>
      <c r="L65" s="714">
        <v>43.99</v>
      </c>
      <c r="M65" s="714">
        <v>43.99</v>
      </c>
      <c r="N65" s="711">
        <v>1</v>
      </c>
      <c r="O65" s="715">
        <v>0.5</v>
      </c>
      <c r="P65" s="714">
        <v>43.99</v>
      </c>
      <c r="Q65" s="716">
        <v>1</v>
      </c>
      <c r="R65" s="711">
        <v>1</v>
      </c>
      <c r="S65" s="716">
        <v>1</v>
      </c>
      <c r="T65" s="715">
        <v>0.5</v>
      </c>
      <c r="U65" s="717">
        <v>1</v>
      </c>
    </row>
    <row r="66" spans="1:21" ht="14.4" customHeight="1" x14ac:dyDescent="0.3">
      <c r="A66" s="710">
        <v>30</v>
      </c>
      <c r="B66" s="711" t="s">
        <v>501</v>
      </c>
      <c r="C66" s="711">
        <v>89301301</v>
      </c>
      <c r="D66" s="712" t="s">
        <v>2659</v>
      </c>
      <c r="E66" s="713" t="s">
        <v>2095</v>
      </c>
      <c r="F66" s="711" t="s">
        <v>2085</v>
      </c>
      <c r="G66" s="711" t="s">
        <v>2224</v>
      </c>
      <c r="H66" s="711" t="s">
        <v>1480</v>
      </c>
      <c r="I66" s="711" t="s">
        <v>1665</v>
      </c>
      <c r="J66" s="711" t="s">
        <v>1666</v>
      </c>
      <c r="K66" s="711" t="s">
        <v>1667</v>
      </c>
      <c r="L66" s="714">
        <v>143.71</v>
      </c>
      <c r="M66" s="714">
        <v>143.71</v>
      </c>
      <c r="N66" s="711">
        <v>1</v>
      </c>
      <c r="O66" s="715">
        <v>0.5</v>
      </c>
      <c r="P66" s="714"/>
      <c r="Q66" s="716">
        <v>0</v>
      </c>
      <c r="R66" s="711"/>
      <c r="S66" s="716">
        <v>0</v>
      </c>
      <c r="T66" s="715"/>
      <c r="U66" s="717">
        <v>0</v>
      </c>
    </row>
    <row r="67" spans="1:21" ht="14.4" customHeight="1" x14ac:dyDescent="0.3">
      <c r="A67" s="710">
        <v>30</v>
      </c>
      <c r="B67" s="711" t="s">
        <v>501</v>
      </c>
      <c r="C67" s="711">
        <v>89301301</v>
      </c>
      <c r="D67" s="712" t="s">
        <v>2659</v>
      </c>
      <c r="E67" s="713" t="s">
        <v>2095</v>
      </c>
      <c r="F67" s="711" t="s">
        <v>2085</v>
      </c>
      <c r="G67" s="711" t="s">
        <v>2225</v>
      </c>
      <c r="H67" s="711" t="s">
        <v>500</v>
      </c>
      <c r="I67" s="711" t="s">
        <v>2226</v>
      </c>
      <c r="J67" s="711" t="s">
        <v>711</v>
      </c>
      <c r="K67" s="711" t="s">
        <v>2227</v>
      </c>
      <c r="L67" s="714">
        <v>0</v>
      </c>
      <c r="M67" s="714">
        <v>0</v>
      </c>
      <c r="N67" s="711">
        <v>1</v>
      </c>
      <c r="O67" s="715">
        <v>0.5</v>
      </c>
      <c r="P67" s="714"/>
      <c r="Q67" s="716"/>
      <c r="R67" s="711"/>
      <c r="S67" s="716">
        <v>0</v>
      </c>
      <c r="T67" s="715"/>
      <c r="U67" s="717">
        <v>0</v>
      </c>
    </row>
    <row r="68" spans="1:21" ht="14.4" customHeight="1" x14ac:dyDescent="0.3">
      <c r="A68" s="710">
        <v>30</v>
      </c>
      <c r="B68" s="711" t="s">
        <v>501</v>
      </c>
      <c r="C68" s="711">
        <v>89301301</v>
      </c>
      <c r="D68" s="712" t="s">
        <v>2659</v>
      </c>
      <c r="E68" s="713" t="s">
        <v>2095</v>
      </c>
      <c r="F68" s="711" t="s">
        <v>2085</v>
      </c>
      <c r="G68" s="711" t="s">
        <v>2158</v>
      </c>
      <c r="H68" s="711" t="s">
        <v>500</v>
      </c>
      <c r="I68" s="711" t="s">
        <v>2159</v>
      </c>
      <c r="J68" s="711" t="s">
        <v>730</v>
      </c>
      <c r="K68" s="711" t="s">
        <v>2160</v>
      </c>
      <c r="L68" s="714">
        <v>0</v>
      </c>
      <c r="M68" s="714">
        <v>0</v>
      </c>
      <c r="N68" s="711">
        <v>1</v>
      </c>
      <c r="O68" s="715">
        <v>0.5</v>
      </c>
      <c r="P68" s="714"/>
      <c r="Q68" s="716"/>
      <c r="R68" s="711"/>
      <c r="S68" s="716">
        <v>0</v>
      </c>
      <c r="T68" s="715"/>
      <c r="U68" s="717">
        <v>0</v>
      </c>
    </row>
    <row r="69" spans="1:21" ht="14.4" customHeight="1" x14ac:dyDescent="0.3">
      <c r="A69" s="710">
        <v>30</v>
      </c>
      <c r="B69" s="711" t="s">
        <v>501</v>
      </c>
      <c r="C69" s="711">
        <v>89301301</v>
      </c>
      <c r="D69" s="712" t="s">
        <v>2659</v>
      </c>
      <c r="E69" s="713" t="s">
        <v>2095</v>
      </c>
      <c r="F69" s="711" t="s">
        <v>2085</v>
      </c>
      <c r="G69" s="711" t="s">
        <v>2228</v>
      </c>
      <c r="H69" s="711" t="s">
        <v>500</v>
      </c>
      <c r="I69" s="711" t="s">
        <v>2229</v>
      </c>
      <c r="J69" s="711" t="s">
        <v>2230</v>
      </c>
      <c r="K69" s="711" t="s">
        <v>2231</v>
      </c>
      <c r="L69" s="714">
        <v>157.01</v>
      </c>
      <c r="M69" s="714">
        <v>157.01</v>
      </c>
      <c r="N69" s="711">
        <v>1</v>
      </c>
      <c r="O69" s="715">
        <v>0.5</v>
      </c>
      <c r="P69" s="714"/>
      <c r="Q69" s="716">
        <v>0</v>
      </c>
      <c r="R69" s="711"/>
      <c r="S69" s="716">
        <v>0</v>
      </c>
      <c r="T69" s="715"/>
      <c r="U69" s="717">
        <v>0</v>
      </c>
    </row>
    <row r="70" spans="1:21" ht="14.4" customHeight="1" x14ac:dyDescent="0.3">
      <c r="A70" s="710">
        <v>30</v>
      </c>
      <c r="B70" s="711" t="s">
        <v>501</v>
      </c>
      <c r="C70" s="711">
        <v>89301301</v>
      </c>
      <c r="D70" s="712" t="s">
        <v>2659</v>
      </c>
      <c r="E70" s="713" t="s">
        <v>2095</v>
      </c>
      <c r="F70" s="711" t="s">
        <v>2085</v>
      </c>
      <c r="G70" s="711" t="s">
        <v>2232</v>
      </c>
      <c r="H70" s="711" t="s">
        <v>500</v>
      </c>
      <c r="I70" s="711" t="s">
        <v>986</v>
      </c>
      <c r="J70" s="711" t="s">
        <v>987</v>
      </c>
      <c r="K70" s="711" t="s">
        <v>958</v>
      </c>
      <c r="L70" s="714">
        <v>0</v>
      </c>
      <c r="M70" s="714">
        <v>0</v>
      </c>
      <c r="N70" s="711">
        <v>1</v>
      </c>
      <c r="O70" s="715">
        <v>0.5</v>
      </c>
      <c r="P70" s="714"/>
      <c r="Q70" s="716"/>
      <c r="R70" s="711"/>
      <c r="S70" s="716">
        <v>0</v>
      </c>
      <c r="T70" s="715"/>
      <c r="U70" s="717">
        <v>0</v>
      </c>
    </row>
    <row r="71" spans="1:21" ht="14.4" customHeight="1" x14ac:dyDescent="0.3">
      <c r="A71" s="710">
        <v>30</v>
      </c>
      <c r="B71" s="711" t="s">
        <v>501</v>
      </c>
      <c r="C71" s="711">
        <v>89301301</v>
      </c>
      <c r="D71" s="712" t="s">
        <v>2659</v>
      </c>
      <c r="E71" s="713" t="s">
        <v>2095</v>
      </c>
      <c r="F71" s="711" t="s">
        <v>2085</v>
      </c>
      <c r="G71" s="711" t="s">
        <v>2233</v>
      </c>
      <c r="H71" s="711" t="s">
        <v>1480</v>
      </c>
      <c r="I71" s="711" t="s">
        <v>1672</v>
      </c>
      <c r="J71" s="711" t="s">
        <v>1987</v>
      </c>
      <c r="K71" s="711" t="s">
        <v>1988</v>
      </c>
      <c r="L71" s="714">
        <v>156.25</v>
      </c>
      <c r="M71" s="714">
        <v>156.25</v>
      </c>
      <c r="N71" s="711">
        <v>1</v>
      </c>
      <c r="O71" s="715">
        <v>0.5</v>
      </c>
      <c r="P71" s="714"/>
      <c r="Q71" s="716">
        <v>0</v>
      </c>
      <c r="R71" s="711"/>
      <c r="S71" s="716">
        <v>0</v>
      </c>
      <c r="T71" s="715"/>
      <c r="U71" s="717">
        <v>0</v>
      </c>
    </row>
    <row r="72" spans="1:21" ht="14.4" customHeight="1" x14ac:dyDescent="0.3">
      <c r="A72" s="710">
        <v>30</v>
      </c>
      <c r="B72" s="711" t="s">
        <v>501</v>
      </c>
      <c r="C72" s="711">
        <v>89301301</v>
      </c>
      <c r="D72" s="712" t="s">
        <v>2659</v>
      </c>
      <c r="E72" s="713" t="s">
        <v>2095</v>
      </c>
      <c r="F72" s="711" t="s">
        <v>2085</v>
      </c>
      <c r="G72" s="711" t="s">
        <v>2234</v>
      </c>
      <c r="H72" s="711" t="s">
        <v>500</v>
      </c>
      <c r="I72" s="711" t="s">
        <v>2235</v>
      </c>
      <c r="J72" s="711" t="s">
        <v>2236</v>
      </c>
      <c r="K72" s="711" t="s">
        <v>2237</v>
      </c>
      <c r="L72" s="714">
        <v>0</v>
      </c>
      <c r="M72" s="714">
        <v>0</v>
      </c>
      <c r="N72" s="711">
        <v>2</v>
      </c>
      <c r="O72" s="715">
        <v>1</v>
      </c>
      <c r="P72" s="714"/>
      <c r="Q72" s="716"/>
      <c r="R72" s="711"/>
      <c r="S72" s="716">
        <v>0</v>
      </c>
      <c r="T72" s="715"/>
      <c r="U72" s="717">
        <v>0</v>
      </c>
    </row>
    <row r="73" spans="1:21" ht="14.4" customHeight="1" x14ac:dyDescent="0.3">
      <c r="A73" s="710">
        <v>30</v>
      </c>
      <c r="B73" s="711" t="s">
        <v>501</v>
      </c>
      <c r="C73" s="711">
        <v>89301301</v>
      </c>
      <c r="D73" s="712" t="s">
        <v>2659</v>
      </c>
      <c r="E73" s="713" t="s">
        <v>2096</v>
      </c>
      <c r="F73" s="711" t="s">
        <v>2085</v>
      </c>
      <c r="G73" s="711" t="s">
        <v>2100</v>
      </c>
      <c r="H73" s="711" t="s">
        <v>500</v>
      </c>
      <c r="I73" s="711" t="s">
        <v>2238</v>
      </c>
      <c r="J73" s="711" t="s">
        <v>1613</v>
      </c>
      <c r="K73" s="711" t="s">
        <v>2103</v>
      </c>
      <c r="L73" s="714">
        <v>0</v>
      </c>
      <c r="M73" s="714">
        <v>0</v>
      </c>
      <c r="N73" s="711">
        <v>1</v>
      </c>
      <c r="O73" s="715">
        <v>0.5</v>
      </c>
      <c r="P73" s="714"/>
      <c r="Q73" s="716"/>
      <c r="R73" s="711"/>
      <c r="S73" s="716">
        <v>0</v>
      </c>
      <c r="T73" s="715"/>
      <c r="U73" s="717">
        <v>0</v>
      </c>
    </row>
    <row r="74" spans="1:21" ht="14.4" customHeight="1" x14ac:dyDescent="0.3">
      <c r="A74" s="710">
        <v>30</v>
      </c>
      <c r="B74" s="711" t="s">
        <v>501</v>
      </c>
      <c r="C74" s="711">
        <v>89301301</v>
      </c>
      <c r="D74" s="712" t="s">
        <v>2659</v>
      </c>
      <c r="E74" s="713" t="s">
        <v>2096</v>
      </c>
      <c r="F74" s="711" t="s">
        <v>2085</v>
      </c>
      <c r="G74" s="711" t="s">
        <v>2168</v>
      </c>
      <c r="H74" s="711" t="s">
        <v>1480</v>
      </c>
      <c r="I74" s="711" t="s">
        <v>1584</v>
      </c>
      <c r="J74" s="711" t="s">
        <v>2063</v>
      </c>
      <c r="K74" s="711" t="s">
        <v>2064</v>
      </c>
      <c r="L74" s="714">
        <v>6.98</v>
      </c>
      <c r="M74" s="714">
        <v>13.96</v>
      </c>
      <c r="N74" s="711">
        <v>2</v>
      </c>
      <c r="O74" s="715">
        <v>1</v>
      </c>
      <c r="P74" s="714"/>
      <c r="Q74" s="716">
        <v>0</v>
      </c>
      <c r="R74" s="711"/>
      <c r="S74" s="716">
        <v>0</v>
      </c>
      <c r="T74" s="715"/>
      <c r="U74" s="717">
        <v>0</v>
      </c>
    </row>
    <row r="75" spans="1:21" ht="14.4" customHeight="1" x14ac:dyDescent="0.3">
      <c r="A75" s="710">
        <v>30</v>
      </c>
      <c r="B75" s="711" t="s">
        <v>501</v>
      </c>
      <c r="C75" s="711">
        <v>89301301</v>
      </c>
      <c r="D75" s="712" t="s">
        <v>2659</v>
      </c>
      <c r="E75" s="713" t="s">
        <v>2096</v>
      </c>
      <c r="F75" s="711" t="s">
        <v>2085</v>
      </c>
      <c r="G75" s="711" t="s">
        <v>2239</v>
      </c>
      <c r="H75" s="711" t="s">
        <v>500</v>
      </c>
      <c r="I75" s="711" t="s">
        <v>2240</v>
      </c>
      <c r="J75" s="711" t="s">
        <v>930</v>
      </c>
      <c r="K75" s="711" t="s">
        <v>2241</v>
      </c>
      <c r="L75" s="714">
        <v>0</v>
      </c>
      <c r="M75" s="714">
        <v>0</v>
      </c>
      <c r="N75" s="711">
        <v>1</v>
      </c>
      <c r="O75" s="715">
        <v>0.5</v>
      </c>
      <c r="P75" s="714"/>
      <c r="Q75" s="716"/>
      <c r="R75" s="711"/>
      <c r="S75" s="716">
        <v>0</v>
      </c>
      <c r="T75" s="715"/>
      <c r="U75" s="717">
        <v>0</v>
      </c>
    </row>
    <row r="76" spans="1:21" ht="14.4" customHeight="1" x14ac:dyDescent="0.3">
      <c r="A76" s="710">
        <v>30</v>
      </c>
      <c r="B76" s="711" t="s">
        <v>501</v>
      </c>
      <c r="C76" s="711">
        <v>89301301</v>
      </c>
      <c r="D76" s="712" t="s">
        <v>2659</v>
      </c>
      <c r="E76" s="713" t="s">
        <v>2096</v>
      </c>
      <c r="F76" s="711" t="s">
        <v>2085</v>
      </c>
      <c r="G76" s="711" t="s">
        <v>2242</v>
      </c>
      <c r="H76" s="711" t="s">
        <v>1480</v>
      </c>
      <c r="I76" s="711" t="s">
        <v>1499</v>
      </c>
      <c r="J76" s="711" t="s">
        <v>1500</v>
      </c>
      <c r="K76" s="711" t="s">
        <v>1995</v>
      </c>
      <c r="L76" s="714">
        <v>75.28</v>
      </c>
      <c r="M76" s="714">
        <v>75.28</v>
      </c>
      <c r="N76" s="711">
        <v>1</v>
      </c>
      <c r="O76" s="715">
        <v>0.5</v>
      </c>
      <c r="P76" s="714"/>
      <c r="Q76" s="716">
        <v>0</v>
      </c>
      <c r="R76" s="711"/>
      <c r="S76" s="716">
        <v>0</v>
      </c>
      <c r="T76" s="715"/>
      <c r="U76" s="717">
        <v>0</v>
      </c>
    </row>
    <row r="77" spans="1:21" ht="14.4" customHeight="1" x14ac:dyDescent="0.3">
      <c r="A77" s="710">
        <v>30</v>
      </c>
      <c r="B77" s="711" t="s">
        <v>501</v>
      </c>
      <c r="C77" s="711">
        <v>89301301</v>
      </c>
      <c r="D77" s="712" t="s">
        <v>2659</v>
      </c>
      <c r="E77" s="713" t="s">
        <v>2096</v>
      </c>
      <c r="F77" s="711" t="s">
        <v>2085</v>
      </c>
      <c r="G77" s="711" t="s">
        <v>2104</v>
      </c>
      <c r="H77" s="711" t="s">
        <v>1480</v>
      </c>
      <c r="I77" s="711" t="s">
        <v>2169</v>
      </c>
      <c r="J77" s="711" t="s">
        <v>1627</v>
      </c>
      <c r="K77" s="711" t="s">
        <v>1399</v>
      </c>
      <c r="L77" s="714">
        <v>0</v>
      </c>
      <c r="M77" s="714">
        <v>0</v>
      </c>
      <c r="N77" s="711">
        <v>1</v>
      </c>
      <c r="O77" s="715">
        <v>0.5</v>
      </c>
      <c r="P77" s="714"/>
      <c r="Q77" s="716"/>
      <c r="R77" s="711"/>
      <c r="S77" s="716">
        <v>0</v>
      </c>
      <c r="T77" s="715"/>
      <c r="U77" s="717">
        <v>0</v>
      </c>
    </row>
    <row r="78" spans="1:21" ht="14.4" customHeight="1" x14ac:dyDescent="0.3">
      <c r="A78" s="710">
        <v>30</v>
      </c>
      <c r="B78" s="711" t="s">
        <v>501</v>
      </c>
      <c r="C78" s="711">
        <v>89301301</v>
      </c>
      <c r="D78" s="712" t="s">
        <v>2659</v>
      </c>
      <c r="E78" s="713" t="s">
        <v>2096</v>
      </c>
      <c r="F78" s="711" t="s">
        <v>2085</v>
      </c>
      <c r="G78" s="711" t="s">
        <v>2243</v>
      </c>
      <c r="H78" s="711" t="s">
        <v>500</v>
      </c>
      <c r="I78" s="711" t="s">
        <v>1358</v>
      </c>
      <c r="J78" s="711" t="s">
        <v>1359</v>
      </c>
      <c r="K78" s="711" t="s">
        <v>1360</v>
      </c>
      <c r="L78" s="714">
        <v>33.72</v>
      </c>
      <c r="M78" s="714">
        <v>33.72</v>
      </c>
      <c r="N78" s="711">
        <v>1</v>
      </c>
      <c r="O78" s="715">
        <v>0.5</v>
      </c>
      <c r="P78" s="714"/>
      <c r="Q78" s="716">
        <v>0</v>
      </c>
      <c r="R78" s="711"/>
      <c r="S78" s="716">
        <v>0</v>
      </c>
      <c r="T78" s="715"/>
      <c r="U78" s="717">
        <v>0</v>
      </c>
    </row>
    <row r="79" spans="1:21" ht="14.4" customHeight="1" x14ac:dyDescent="0.3">
      <c r="A79" s="710">
        <v>30</v>
      </c>
      <c r="B79" s="711" t="s">
        <v>501</v>
      </c>
      <c r="C79" s="711">
        <v>89301301</v>
      </c>
      <c r="D79" s="712" t="s">
        <v>2659</v>
      </c>
      <c r="E79" s="713" t="s">
        <v>2096</v>
      </c>
      <c r="F79" s="711" t="s">
        <v>2085</v>
      </c>
      <c r="G79" s="711" t="s">
        <v>2107</v>
      </c>
      <c r="H79" s="711" t="s">
        <v>500</v>
      </c>
      <c r="I79" s="711" t="s">
        <v>1334</v>
      </c>
      <c r="J79" s="711" t="s">
        <v>2108</v>
      </c>
      <c r="K79" s="711" t="s">
        <v>2109</v>
      </c>
      <c r="L79" s="714">
        <v>97.42</v>
      </c>
      <c r="M79" s="714">
        <v>97.42</v>
      </c>
      <c r="N79" s="711">
        <v>1</v>
      </c>
      <c r="O79" s="715">
        <v>0.5</v>
      </c>
      <c r="P79" s="714"/>
      <c r="Q79" s="716">
        <v>0</v>
      </c>
      <c r="R79" s="711"/>
      <c r="S79" s="716">
        <v>0</v>
      </c>
      <c r="T79" s="715"/>
      <c r="U79" s="717">
        <v>0</v>
      </c>
    </row>
    <row r="80" spans="1:21" ht="14.4" customHeight="1" x14ac:dyDescent="0.3">
      <c r="A80" s="710">
        <v>30</v>
      </c>
      <c r="B80" s="711" t="s">
        <v>501</v>
      </c>
      <c r="C80" s="711">
        <v>89301301</v>
      </c>
      <c r="D80" s="712" t="s">
        <v>2659</v>
      </c>
      <c r="E80" s="713" t="s">
        <v>2096</v>
      </c>
      <c r="F80" s="711" t="s">
        <v>2085</v>
      </c>
      <c r="G80" s="711" t="s">
        <v>2244</v>
      </c>
      <c r="H80" s="711" t="s">
        <v>1480</v>
      </c>
      <c r="I80" s="711" t="s">
        <v>1536</v>
      </c>
      <c r="J80" s="711" t="s">
        <v>1537</v>
      </c>
      <c r="K80" s="711" t="s">
        <v>1538</v>
      </c>
      <c r="L80" s="714">
        <v>44.89</v>
      </c>
      <c r="M80" s="714">
        <v>44.89</v>
      </c>
      <c r="N80" s="711">
        <v>1</v>
      </c>
      <c r="O80" s="715">
        <v>0.5</v>
      </c>
      <c r="P80" s="714"/>
      <c r="Q80" s="716">
        <v>0</v>
      </c>
      <c r="R80" s="711"/>
      <c r="S80" s="716">
        <v>0</v>
      </c>
      <c r="T80" s="715"/>
      <c r="U80" s="717">
        <v>0</v>
      </c>
    </row>
    <row r="81" spans="1:21" ht="14.4" customHeight="1" x14ac:dyDescent="0.3">
      <c r="A81" s="710">
        <v>30</v>
      </c>
      <c r="B81" s="711" t="s">
        <v>501</v>
      </c>
      <c r="C81" s="711">
        <v>89301301</v>
      </c>
      <c r="D81" s="712" t="s">
        <v>2659</v>
      </c>
      <c r="E81" s="713" t="s">
        <v>2096</v>
      </c>
      <c r="F81" s="711" t="s">
        <v>2085</v>
      </c>
      <c r="G81" s="711" t="s">
        <v>2245</v>
      </c>
      <c r="H81" s="711" t="s">
        <v>500</v>
      </c>
      <c r="I81" s="711" t="s">
        <v>1080</v>
      </c>
      <c r="J81" s="711" t="s">
        <v>1081</v>
      </c>
      <c r="K81" s="711" t="s">
        <v>2246</v>
      </c>
      <c r="L81" s="714">
        <v>0</v>
      </c>
      <c r="M81" s="714">
        <v>0</v>
      </c>
      <c r="N81" s="711">
        <v>1</v>
      </c>
      <c r="O81" s="715">
        <v>0.5</v>
      </c>
      <c r="P81" s="714"/>
      <c r="Q81" s="716"/>
      <c r="R81" s="711"/>
      <c r="S81" s="716">
        <v>0</v>
      </c>
      <c r="T81" s="715"/>
      <c r="U81" s="717">
        <v>0</v>
      </c>
    </row>
    <row r="82" spans="1:21" ht="14.4" customHeight="1" x14ac:dyDescent="0.3">
      <c r="A82" s="710">
        <v>30</v>
      </c>
      <c r="B82" s="711" t="s">
        <v>501</v>
      </c>
      <c r="C82" s="711">
        <v>89301301</v>
      </c>
      <c r="D82" s="712" t="s">
        <v>2659</v>
      </c>
      <c r="E82" s="713" t="s">
        <v>2096</v>
      </c>
      <c r="F82" s="711" t="s">
        <v>2085</v>
      </c>
      <c r="G82" s="711" t="s">
        <v>2247</v>
      </c>
      <c r="H82" s="711" t="s">
        <v>1480</v>
      </c>
      <c r="I82" s="711" t="s">
        <v>1721</v>
      </c>
      <c r="J82" s="711" t="s">
        <v>1722</v>
      </c>
      <c r="K82" s="711" t="s">
        <v>2067</v>
      </c>
      <c r="L82" s="714">
        <v>216.16</v>
      </c>
      <c r="M82" s="714">
        <v>216.16</v>
      </c>
      <c r="N82" s="711">
        <v>1</v>
      </c>
      <c r="O82" s="715">
        <v>0.5</v>
      </c>
      <c r="P82" s="714">
        <v>216.16</v>
      </c>
      <c r="Q82" s="716">
        <v>1</v>
      </c>
      <c r="R82" s="711">
        <v>1</v>
      </c>
      <c r="S82" s="716">
        <v>1</v>
      </c>
      <c r="T82" s="715">
        <v>0.5</v>
      </c>
      <c r="U82" s="717">
        <v>1</v>
      </c>
    </row>
    <row r="83" spans="1:21" ht="14.4" customHeight="1" x14ac:dyDescent="0.3">
      <c r="A83" s="710">
        <v>30</v>
      </c>
      <c r="B83" s="711" t="s">
        <v>501</v>
      </c>
      <c r="C83" s="711">
        <v>89301301</v>
      </c>
      <c r="D83" s="712" t="s">
        <v>2659</v>
      </c>
      <c r="E83" s="713" t="s">
        <v>2096</v>
      </c>
      <c r="F83" s="711" t="s">
        <v>2085</v>
      </c>
      <c r="G83" s="711" t="s">
        <v>2248</v>
      </c>
      <c r="H83" s="711" t="s">
        <v>500</v>
      </c>
      <c r="I83" s="711" t="s">
        <v>910</v>
      </c>
      <c r="J83" s="711" t="s">
        <v>669</v>
      </c>
      <c r="K83" s="711" t="s">
        <v>2249</v>
      </c>
      <c r="L83" s="714">
        <v>57.65</v>
      </c>
      <c r="M83" s="714">
        <v>57.65</v>
      </c>
      <c r="N83" s="711">
        <v>1</v>
      </c>
      <c r="O83" s="715">
        <v>0.5</v>
      </c>
      <c r="P83" s="714"/>
      <c r="Q83" s="716">
        <v>0</v>
      </c>
      <c r="R83" s="711"/>
      <c r="S83" s="716">
        <v>0</v>
      </c>
      <c r="T83" s="715"/>
      <c r="U83" s="717">
        <v>0</v>
      </c>
    </row>
    <row r="84" spans="1:21" ht="14.4" customHeight="1" x14ac:dyDescent="0.3">
      <c r="A84" s="710">
        <v>30</v>
      </c>
      <c r="B84" s="711" t="s">
        <v>501</v>
      </c>
      <c r="C84" s="711">
        <v>89301301</v>
      </c>
      <c r="D84" s="712" t="s">
        <v>2659</v>
      </c>
      <c r="E84" s="713" t="s">
        <v>2096</v>
      </c>
      <c r="F84" s="711" t="s">
        <v>2085</v>
      </c>
      <c r="G84" s="711" t="s">
        <v>2173</v>
      </c>
      <c r="H84" s="711" t="s">
        <v>1480</v>
      </c>
      <c r="I84" s="711" t="s">
        <v>1682</v>
      </c>
      <c r="J84" s="711" t="s">
        <v>1683</v>
      </c>
      <c r="K84" s="711" t="s">
        <v>818</v>
      </c>
      <c r="L84" s="714">
        <v>232.44</v>
      </c>
      <c r="M84" s="714">
        <v>232.44</v>
      </c>
      <c r="N84" s="711">
        <v>1</v>
      </c>
      <c r="O84" s="715">
        <v>0.5</v>
      </c>
      <c r="P84" s="714">
        <v>232.44</v>
      </c>
      <c r="Q84" s="716">
        <v>1</v>
      </c>
      <c r="R84" s="711">
        <v>1</v>
      </c>
      <c r="S84" s="716">
        <v>1</v>
      </c>
      <c r="T84" s="715">
        <v>0.5</v>
      </c>
      <c r="U84" s="717">
        <v>1</v>
      </c>
    </row>
    <row r="85" spans="1:21" ht="14.4" customHeight="1" x14ac:dyDescent="0.3">
      <c r="A85" s="710">
        <v>30</v>
      </c>
      <c r="B85" s="711" t="s">
        <v>501</v>
      </c>
      <c r="C85" s="711">
        <v>89301301</v>
      </c>
      <c r="D85" s="712" t="s">
        <v>2659</v>
      </c>
      <c r="E85" s="713" t="s">
        <v>2096</v>
      </c>
      <c r="F85" s="711" t="s">
        <v>2085</v>
      </c>
      <c r="G85" s="711" t="s">
        <v>2178</v>
      </c>
      <c r="H85" s="711" t="s">
        <v>500</v>
      </c>
      <c r="I85" s="711" t="s">
        <v>2250</v>
      </c>
      <c r="J85" s="711" t="s">
        <v>2251</v>
      </c>
      <c r="K85" s="711" t="s">
        <v>2252</v>
      </c>
      <c r="L85" s="714">
        <v>0</v>
      </c>
      <c r="M85" s="714">
        <v>0</v>
      </c>
      <c r="N85" s="711">
        <v>1</v>
      </c>
      <c r="O85" s="715">
        <v>0.5</v>
      </c>
      <c r="P85" s="714"/>
      <c r="Q85" s="716"/>
      <c r="R85" s="711"/>
      <c r="S85" s="716">
        <v>0</v>
      </c>
      <c r="T85" s="715"/>
      <c r="U85" s="717">
        <v>0</v>
      </c>
    </row>
    <row r="86" spans="1:21" ht="14.4" customHeight="1" x14ac:dyDescent="0.3">
      <c r="A86" s="710">
        <v>30</v>
      </c>
      <c r="B86" s="711" t="s">
        <v>501</v>
      </c>
      <c r="C86" s="711">
        <v>89301301</v>
      </c>
      <c r="D86" s="712" t="s">
        <v>2659</v>
      </c>
      <c r="E86" s="713" t="s">
        <v>2096</v>
      </c>
      <c r="F86" s="711" t="s">
        <v>2085</v>
      </c>
      <c r="G86" s="711" t="s">
        <v>2178</v>
      </c>
      <c r="H86" s="711" t="s">
        <v>500</v>
      </c>
      <c r="I86" s="711" t="s">
        <v>2253</v>
      </c>
      <c r="J86" s="711" t="s">
        <v>2179</v>
      </c>
      <c r="K86" s="711" t="s">
        <v>2196</v>
      </c>
      <c r="L86" s="714">
        <v>0</v>
      </c>
      <c r="M86" s="714">
        <v>0</v>
      </c>
      <c r="N86" s="711">
        <v>3</v>
      </c>
      <c r="O86" s="715">
        <v>1.5</v>
      </c>
      <c r="P86" s="714">
        <v>0</v>
      </c>
      <c r="Q86" s="716"/>
      <c r="R86" s="711">
        <v>1</v>
      </c>
      <c r="S86" s="716">
        <v>0.33333333333333331</v>
      </c>
      <c r="T86" s="715">
        <v>0.5</v>
      </c>
      <c r="U86" s="717">
        <v>0.33333333333333331</v>
      </c>
    </row>
    <row r="87" spans="1:21" ht="14.4" customHeight="1" x14ac:dyDescent="0.3">
      <c r="A87" s="710">
        <v>30</v>
      </c>
      <c r="B87" s="711" t="s">
        <v>501</v>
      </c>
      <c r="C87" s="711">
        <v>89301301</v>
      </c>
      <c r="D87" s="712" t="s">
        <v>2659</v>
      </c>
      <c r="E87" s="713" t="s">
        <v>2096</v>
      </c>
      <c r="F87" s="711" t="s">
        <v>2085</v>
      </c>
      <c r="G87" s="711" t="s">
        <v>2120</v>
      </c>
      <c r="H87" s="711" t="s">
        <v>1480</v>
      </c>
      <c r="I87" s="711" t="s">
        <v>1580</v>
      </c>
      <c r="J87" s="711" t="s">
        <v>2058</v>
      </c>
      <c r="K87" s="711" t="s">
        <v>2059</v>
      </c>
      <c r="L87" s="714">
        <v>443.52</v>
      </c>
      <c r="M87" s="714">
        <v>443.52</v>
      </c>
      <c r="N87" s="711">
        <v>1</v>
      </c>
      <c r="O87" s="715">
        <v>0.5</v>
      </c>
      <c r="P87" s="714">
        <v>443.52</v>
      </c>
      <c r="Q87" s="716">
        <v>1</v>
      </c>
      <c r="R87" s="711">
        <v>1</v>
      </c>
      <c r="S87" s="716">
        <v>1</v>
      </c>
      <c r="T87" s="715">
        <v>0.5</v>
      </c>
      <c r="U87" s="717">
        <v>1</v>
      </c>
    </row>
    <row r="88" spans="1:21" ht="14.4" customHeight="1" x14ac:dyDescent="0.3">
      <c r="A88" s="710">
        <v>30</v>
      </c>
      <c r="B88" s="711" t="s">
        <v>501</v>
      </c>
      <c r="C88" s="711">
        <v>89301301</v>
      </c>
      <c r="D88" s="712" t="s">
        <v>2659</v>
      </c>
      <c r="E88" s="713" t="s">
        <v>2096</v>
      </c>
      <c r="F88" s="711" t="s">
        <v>2085</v>
      </c>
      <c r="G88" s="711" t="s">
        <v>2254</v>
      </c>
      <c r="H88" s="711" t="s">
        <v>500</v>
      </c>
      <c r="I88" s="711" t="s">
        <v>2255</v>
      </c>
      <c r="J88" s="711" t="s">
        <v>588</v>
      </c>
      <c r="K88" s="711" t="s">
        <v>2256</v>
      </c>
      <c r="L88" s="714">
        <v>0</v>
      </c>
      <c r="M88" s="714">
        <v>0</v>
      </c>
      <c r="N88" s="711">
        <v>1</v>
      </c>
      <c r="O88" s="715">
        <v>0.5</v>
      </c>
      <c r="P88" s="714"/>
      <c r="Q88" s="716"/>
      <c r="R88" s="711"/>
      <c r="S88" s="716">
        <v>0</v>
      </c>
      <c r="T88" s="715"/>
      <c r="U88" s="717">
        <v>0</v>
      </c>
    </row>
    <row r="89" spans="1:21" ht="14.4" customHeight="1" x14ac:dyDescent="0.3">
      <c r="A89" s="710">
        <v>30</v>
      </c>
      <c r="B89" s="711" t="s">
        <v>501</v>
      </c>
      <c r="C89" s="711">
        <v>89301301</v>
      </c>
      <c r="D89" s="712" t="s">
        <v>2659</v>
      </c>
      <c r="E89" s="713" t="s">
        <v>2096</v>
      </c>
      <c r="F89" s="711" t="s">
        <v>2085</v>
      </c>
      <c r="G89" s="711" t="s">
        <v>2257</v>
      </c>
      <c r="H89" s="711" t="s">
        <v>500</v>
      </c>
      <c r="I89" s="711" t="s">
        <v>952</v>
      </c>
      <c r="J89" s="711" t="s">
        <v>953</v>
      </c>
      <c r="K89" s="711" t="s">
        <v>954</v>
      </c>
      <c r="L89" s="714">
        <v>24.22</v>
      </c>
      <c r="M89" s="714">
        <v>24.22</v>
      </c>
      <c r="N89" s="711">
        <v>1</v>
      </c>
      <c r="O89" s="715">
        <v>0.5</v>
      </c>
      <c r="P89" s="714"/>
      <c r="Q89" s="716">
        <v>0</v>
      </c>
      <c r="R89" s="711"/>
      <c r="S89" s="716">
        <v>0</v>
      </c>
      <c r="T89" s="715"/>
      <c r="U89" s="717">
        <v>0</v>
      </c>
    </row>
    <row r="90" spans="1:21" ht="14.4" customHeight="1" x14ac:dyDescent="0.3">
      <c r="A90" s="710">
        <v>30</v>
      </c>
      <c r="B90" s="711" t="s">
        <v>501</v>
      </c>
      <c r="C90" s="711">
        <v>89301301</v>
      </c>
      <c r="D90" s="712" t="s">
        <v>2659</v>
      </c>
      <c r="E90" s="713" t="s">
        <v>2096</v>
      </c>
      <c r="F90" s="711" t="s">
        <v>2085</v>
      </c>
      <c r="G90" s="711" t="s">
        <v>2257</v>
      </c>
      <c r="H90" s="711" t="s">
        <v>500</v>
      </c>
      <c r="I90" s="711" t="s">
        <v>2258</v>
      </c>
      <c r="J90" s="711" t="s">
        <v>2259</v>
      </c>
      <c r="K90" s="711" t="s">
        <v>2260</v>
      </c>
      <c r="L90" s="714">
        <v>0</v>
      </c>
      <c r="M90" s="714">
        <v>0</v>
      </c>
      <c r="N90" s="711">
        <v>1</v>
      </c>
      <c r="O90" s="715">
        <v>0.5</v>
      </c>
      <c r="P90" s="714">
        <v>0</v>
      </c>
      <c r="Q90" s="716"/>
      <c r="R90" s="711">
        <v>1</v>
      </c>
      <c r="S90" s="716">
        <v>1</v>
      </c>
      <c r="T90" s="715">
        <v>0.5</v>
      </c>
      <c r="U90" s="717">
        <v>1</v>
      </c>
    </row>
    <row r="91" spans="1:21" ht="14.4" customHeight="1" x14ac:dyDescent="0.3">
      <c r="A91" s="710">
        <v>30</v>
      </c>
      <c r="B91" s="711" t="s">
        <v>501</v>
      </c>
      <c r="C91" s="711">
        <v>89301301</v>
      </c>
      <c r="D91" s="712" t="s">
        <v>2659</v>
      </c>
      <c r="E91" s="713" t="s">
        <v>2096</v>
      </c>
      <c r="F91" s="711" t="s">
        <v>2085</v>
      </c>
      <c r="G91" s="711" t="s">
        <v>2261</v>
      </c>
      <c r="H91" s="711" t="s">
        <v>1480</v>
      </c>
      <c r="I91" s="711" t="s">
        <v>1855</v>
      </c>
      <c r="J91" s="711" t="s">
        <v>1856</v>
      </c>
      <c r="K91" s="711" t="s">
        <v>2036</v>
      </c>
      <c r="L91" s="714">
        <v>116.8</v>
      </c>
      <c r="M91" s="714">
        <v>116.8</v>
      </c>
      <c r="N91" s="711">
        <v>1</v>
      </c>
      <c r="O91" s="715">
        <v>1</v>
      </c>
      <c r="P91" s="714"/>
      <c r="Q91" s="716">
        <v>0</v>
      </c>
      <c r="R91" s="711"/>
      <c r="S91" s="716">
        <v>0</v>
      </c>
      <c r="T91" s="715"/>
      <c r="U91" s="717">
        <v>0</v>
      </c>
    </row>
    <row r="92" spans="1:21" ht="14.4" customHeight="1" x14ac:dyDescent="0.3">
      <c r="A92" s="710">
        <v>30</v>
      </c>
      <c r="B92" s="711" t="s">
        <v>501</v>
      </c>
      <c r="C92" s="711">
        <v>89301301</v>
      </c>
      <c r="D92" s="712" t="s">
        <v>2659</v>
      </c>
      <c r="E92" s="713" t="s">
        <v>2096</v>
      </c>
      <c r="F92" s="711" t="s">
        <v>2085</v>
      </c>
      <c r="G92" s="711" t="s">
        <v>2262</v>
      </c>
      <c r="H92" s="711" t="s">
        <v>500</v>
      </c>
      <c r="I92" s="711" t="s">
        <v>1189</v>
      </c>
      <c r="J92" s="711" t="s">
        <v>1190</v>
      </c>
      <c r="K92" s="711" t="s">
        <v>1624</v>
      </c>
      <c r="L92" s="714">
        <v>59.43</v>
      </c>
      <c r="M92" s="714">
        <v>59.43</v>
      </c>
      <c r="N92" s="711">
        <v>1</v>
      </c>
      <c r="O92" s="715">
        <v>0.5</v>
      </c>
      <c r="P92" s="714"/>
      <c r="Q92" s="716">
        <v>0</v>
      </c>
      <c r="R92" s="711"/>
      <c r="S92" s="716">
        <v>0</v>
      </c>
      <c r="T92" s="715"/>
      <c r="U92" s="717">
        <v>0</v>
      </c>
    </row>
    <row r="93" spans="1:21" ht="14.4" customHeight="1" x14ac:dyDescent="0.3">
      <c r="A93" s="710">
        <v>30</v>
      </c>
      <c r="B93" s="711" t="s">
        <v>501</v>
      </c>
      <c r="C93" s="711">
        <v>89301301</v>
      </c>
      <c r="D93" s="712" t="s">
        <v>2659</v>
      </c>
      <c r="E93" s="713" t="s">
        <v>2096</v>
      </c>
      <c r="F93" s="711" t="s">
        <v>2085</v>
      </c>
      <c r="G93" s="711" t="s">
        <v>2263</v>
      </c>
      <c r="H93" s="711" t="s">
        <v>500</v>
      </c>
      <c r="I93" s="711" t="s">
        <v>2264</v>
      </c>
      <c r="J93" s="711" t="s">
        <v>2265</v>
      </c>
      <c r="K93" s="711" t="s">
        <v>2266</v>
      </c>
      <c r="L93" s="714">
        <v>30.65</v>
      </c>
      <c r="M93" s="714">
        <v>61.3</v>
      </c>
      <c r="N93" s="711">
        <v>2</v>
      </c>
      <c r="O93" s="715">
        <v>1.5</v>
      </c>
      <c r="P93" s="714"/>
      <c r="Q93" s="716">
        <v>0</v>
      </c>
      <c r="R93" s="711"/>
      <c r="S93" s="716">
        <v>0</v>
      </c>
      <c r="T93" s="715"/>
      <c r="U93" s="717">
        <v>0</v>
      </c>
    </row>
    <row r="94" spans="1:21" ht="14.4" customHeight="1" x14ac:dyDescent="0.3">
      <c r="A94" s="710">
        <v>30</v>
      </c>
      <c r="B94" s="711" t="s">
        <v>501</v>
      </c>
      <c r="C94" s="711">
        <v>89301301</v>
      </c>
      <c r="D94" s="712" t="s">
        <v>2659</v>
      </c>
      <c r="E94" s="713" t="s">
        <v>2096</v>
      </c>
      <c r="F94" s="711" t="s">
        <v>2085</v>
      </c>
      <c r="G94" s="711" t="s">
        <v>2263</v>
      </c>
      <c r="H94" s="711" t="s">
        <v>500</v>
      </c>
      <c r="I94" s="711" t="s">
        <v>2267</v>
      </c>
      <c r="J94" s="711" t="s">
        <v>2265</v>
      </c>
      <c r="K94" s="711" t="s">
        <v>735</v>
      </c>
      <c r="L94" s="714">
        <v>12.26</v>
      </c>
      <c r="M94" s="714">
        <v>12.26</v>
      </c>
      <c r="N94" s="711">
        <v>1</v>
      </c>
      <c r="O94" s="715">
        <v>0.5</v>
      </c>
      <c r="P94" s="714"/>
      <c r="Q94" s="716">
        <v>0</v>
      </c>
      <c r="R94" s="711"/>
      <c r="S94" s="716">
        <v>0</v>
      </c>
      <c r="T94" s="715"/>
      <c r="U94" s="717">
        <v>0</v>
      </c>
    </row>
    <row r="95" spans="1:21" ht="14.4" customHeight="1" x14ac:dyDescent="0.3">
      <c r="A95" s="710">
        <v>30</v>
      </c>
      <c r="B95" s="711" t="s">
        <v>501</v>
      </c>
      <c r="C95" s="711">
        <v>89301301</v>
      </c>
      <c r="D95" s="712" t="s">
        <v>2659</v>
      </c>
      <c r="E95" s="713" t="s">
        <v>2096</v>
      </c>
      <c r="F95" s="711" t="s">
        <v>2085</v>
      </c>
      <c r="G95" s="711" t="s">
        <v>2268</v>
      </c>
      <c r="H95" s="711" t="s">
        <v>1480</v>
      </c>
      <c r="I95" s="711" t="s">
        <v>2269</v>
      </c>
      <c r="J95" s="711" t="s">
        <v>1977</v>
      </c>
      <c r="K95" s="711" t="s">
        <v>2270</v>
      </c>
      <c r="L95" s="714">
        <v>97.97</v>
      </c>
      <c r="M95" s="714">
        <v>97.97</v>
      </c>
      <c r="N95" s="711">
        <v>1</v>
      </c>
      <c r="O95" s="715">
        <v>0.5</v>
      </c>
      <c r="P95" s="714"/>
      <c r="Q95" s="716">
        <v>0</v>
      </c>
      <c r="R95" s="711"/>
      <c r="S95" s="716">
        <v>0</v>
      </c>
      <c r="T95" s="715"/>
      <c r="U95" s="717">
        <v>0</v>
      </c>
    </row>
    <row r="96" spans="1:21" ht="14.4" customHeight="1" x14ac:dyDescent="0.3">
      <c r="A96" s="710">
        <v>30</v>
      </c>
      <c r="B96" s="711" t="s">
        <v>501</v>
      </c>
      <c r="C96" s="711">
        <v>89301301</v>
      </c>
      <c r="D96" s="712" t="s">
        <v>2659</v>
      </c>
      <c r="E96" s="713" t="s">
        <v>2096</v>
      </c>
      <c r="F96" s="711" t="s">
        <v>2085</v>
      </c>
      <c r="G96" s="711" t="s">
        <v>2127</v>
      </c>
      <c r="H96" s="711" t="s">
        <v>500</v>
      </c>
      <c r="I96" s="711" t="s">
        <v>2128</v>
      </c>
      <c r="J96" s="711" t="s">
        <v>2129</v>
      </c>
      <c r="K96" s="711" t="s">
        <v>2130</v>
      </c>
      <c r="L96" s="714">
        <v>0</v>
      </c>
      <c r="M96" s="714">
        <v>0</v>
      </c>
      <c r="N96" s="711">
        <v>1</v>
      </c>
      <c r="O96" s="715">
        <v>0.5</v>
      </c>
      <c r="P96" s="714"/>
      <c r="Q96" s="716"/>
      <c r="R96" s="711"/>
      <c r="S96" s="716">
        <v>0</v>
      </c>
      <c r="T96" s="715"/>
      <c r="U96" s="717">
        <v>0</v>
      </c>
    </row>
    <row r="97" spans="1:21" ht="14.4" customHeight="1" x14ac:dyDescent="0.3">
      <c r="A97" s="710">
        <v>30</v>
      </c>
      <c r="B97" s="711" t="s">
        <v>501</v>
      </c>
      <c r="C97" s="711">
        <v>89301301</v>
      </c>
      <c r="D97" s="712" t="s">
        <v>2659</v>
      </c>
      <c r="E97" s="713" t="s">
        <v>2096</v>
      </c>
      <c r="F97" s="711" t="s">
        <v>2085</v>
      </c>
      <c r="G97" s="711" t="s">
        <v>2131</v>
      </c>
      <c r="H97" s="711" t="s">
        <v>1480</v>
      </c>
      <c r="I97" s="711" t="s">
        <v>2271</v>
      </c>
      <c r="J97" s="711" t="s">
        <v>2272</v>
      </c>
      <c r="K97" s="711" t="s">
        <v>2273</v>
      </c>
      <c r="L97" s="714">
        <v>65.069999999999993</v>
      </c>
      <c r="M97" s="714">
        <v>65.069999999999993</v>
      </c>
      <c r="N97" s="711">
        <v>1</v>
      </c>
      <c r="O97" s="715">
        <v>0.5</v>
      </c>
      <c r="P97" s="714"/>
      <c r="Q97" s="716">
        <v>0</v>
      </c>
      <c r="R97" s="711"/>
      <c r="S97" s="716">
        <v>0</v>
      </c>
      <c r="T97" s="715"/>
      <c r="U97" s="717">
        <v>0</v>
      </c>
    </row>
    <row r="98" spans="1:21" ht="14.4" customHeight="1" x14ac:dyDescent="0.3">
      <c r="A98" s="710">
        <v>30</v>
      </c>
      <c r="B98" s="711" t="s">
        <v>501</v>
      </c>
      <c r="C98" s="711">
        <v>89301301</v>
      </c>
      <c r="D98" s="712" t="s">
        <v>2659</v>
      </c>
      <c r="E98" s="713" t="s">
        <v>2096</v>
      </c>
      <c r="F98" s="711" t="s">
        <v>2085</v>
      </c>
      <c r="G98" s="711" t="s">
        <v>2131</v>
      </c>
      <c r="H98" s="711" t="s">
        <v>500</v>
      </c>
      <c r="I98" s="711" t="s">
        <v>1099</v>
      </c>
      <c r="J98" s="711" t="s">
        <v>2274</v>
      </c>
      <c r="K98" s="711" t="s">
        <v>2275</v>
      </c>
      <c r="L98" s="714">
        <v>86.76</v>
      </c>
      <c r="M98" s="714">
        <v>86.76</v>
      </c>
      <c r="N98" s="711">
        <v>1</v>
      </c>
      <c r="O98" s="715">
        <v>0.5</v>
      </c>
      <c r="P98" s="714"/>
      <c r="Q98" s="716">
        <v>0</v>
      </c>
      <c r="R98" s="711"/>
      <c r="S98" s="716">
        <v>0</v>
      </c>
      <c r="T98" s="715"/>
      <c r="U98" s="717">
        <v>0</v>
      </c>
    </row>
    <row r="99" spans="1:21" ht="14.4" customHeight="1" x14ac:dyDescent="0.3">
      <c r="A99" s="710">
        <v>30</v>
      </c>
      <c r="B99" s="711" t="s">
        <v>501</v>
      </c>
      <c r="C99" s="711">
        <v>89301301</v>
      </c>
      <c r="D99" s="712" t="s">
        <v>2659</v>
      </c>
      <c r="E99" s="713" t="s">
        <v>2096</v>
      </c>
      <c r="F99" s="711" t="s">
        <v>2085</v>
      </c>
      <c r="G99" s="711" t="s">
        <v>2137</v>
      </c>
      <c r="H99" s="711" t="s">
        <v>500</v>
      </c>
      <c r="I99" s="711" t="s">
        <v>858</v>
      </c>
      <c r="J99" s="711" t="s">
        <v>2138</v>
      </c>
      <c r="K99" s="711" t="s">
        <v>2139</v>
      </c>
      <c r="L99" s="714">
        <v>0</v>
      </c>
      <c r="M99" s="714">
        <v>0</v>
      </c>
      <c r="N99" s="711">
        <v>1</v>
      </c>
      <c r="O99" s="715">
        <v>0.5</v>
      </c>
      <c r="P99" s="714"/>
      <c r="Q99" s="716"/>
      <c r="R99" s="711"/>
      <c r="S99" s="716">
        <v>0</v>
      </c>
      <c r="T99" s="715"/>
      <c r="U99" s="717">
        <v>0</v>
      </c>
    </row>
    <row r="100" spans="1:21" ht="14.4" customHeight="1" x14ac:dyDescent="0.3">
      <c r="A100" s="710">
        <v>30</v>
      </c>
      <c r="B100" s="711" t="s">
        <v>501</v>
      </c>
      <c r="C100" s="711">
        <v>89301301</v>
      </c>
      <c r="D100" s="712" t="s">
        <v>2659</v>
      </c>
      <c r="E100" s="713" t="s">
        <v>2096</v>
      </c>
      <c r="F100" s="711" t="s">
        <v>2085</v>
      </c>
      <c r="G100" s="711" t="s">
        <v>2140</v>
      </c>
      <c r="H100" s="711" t="s">
        <v>500</v>
      </c>
      <c r="I100" s="711" t="s">
        <v>2141</v>
      </c>
      <c r="J100" s="711" t="s">
        <v>1263</v>
      </c>
      <c r="K100" s="711" t="s">
        <v>1264</v>
      </c>
      <c r="L100" s="714">
        <v>98.31</v>
      </c>
      <c r="M100" s="714">
        <v>98.31</v>
      </c>
      <c r="N100" s="711">
        <v>1</v>
      </c>
      <c r="O100" s="715">
        <v>0.5</v>
      </c>
      <c r="P100" s="714"/>
      <c r="Q100" s="716">
        <v>0</v>
      </c>
      <c r="R100" s="711"/>
      <c r="S100" s="716">
        <v>0</v>
      </c>
      <c r="T100" s="715"/>
      <c r="U100" s="717">
        <v>0</v>
      </c>
    </row>
    <row r="101" spans="1:21" ht="14.4" customHeight="1" x14ac:dyDescent="0.3">
      <c r="A101" s="710">
        <v>30</v>
      </c>
      <c r="B101" s="711" t="s">
        <v>501</v>
      </c>
      <c r="C101" s="711">
        <v>89301301</v>
      </c>
      <c r="D101" s="712" t="s">
        <v>2659</v>
      </c>
      <c r="E101" s="713" t="s">
        <v>2096</v>
      </c>
      <c r="F101" s="711" t="s">
        <v>2085</v>
      </c>
      <c r="G101" s="711" t="s">
        <v>2276</v>
      </c>
      <c r="H101" s="711" t="s">
        <v>500</v>
      </c>
      <c r="I101" s="711" t="s">
        <v>591</v>
      </c>
      <c r="J101" s="711" t="s">
        <v>592</v>
      </c>
      <c r="K101" s="711" t="s">
        <v>2277</v>
      </c>
      <c r="L101" s="714">
        <v>81.540000000000006</v>
      </c>
      <c r="M101" s="714">
        <v>81.540000000000006</v>
      </c>
      <c r="N101" s="711">
        <v>1</v>
      </c>
      <c r="O101" s="715">
        <v>0.5</v>
      </c>
      <c r="P101" s="714"/>
      <c r="Q101" s="716">
        <v>0</v>
      </c>
      <c r="R101" s="711"/>
      <c r="S101" s="716">
        <v>0</v>
      </c>
      <c r="T101" s="715"/>
      <c r="U101" s="717">
        <v>0</v>
      </c>
    </row>
    <row r="102" spans="1:21" ht="14.4" customHeight="1" x14ac:dyDescent="0.3">
      <c r="A102" s="710">
        <v>30</v>
      </c>
      <c r="B102" s="711" t="s">
        <v>501</v>
      </c>
      <c r="C102" s="711">
        <v>89301301</v>
      </c>
      <c r="D102" s="712" t="s">
        <v>2659</v>
      </c>
      <c r="E102" s="713" t="s">
        <v>2096</v>
      </c>
      <c r="F102" s="711" t="s">
        <v>2085</v>
      </c>
      <c r="G102" s="711" t="s">
        <v>2278</v>
      </c>
      <c r="H102" s="711" t="s">
        <v>1480</v>
      </c>
      <c r="I102" s="711" t="s">
        <v>2279</v>
      </c>
      <c r="J102" s="711" t="s">
        <v>2280</v>
      </c>
      <c r="K102" s="711" t="s">
        <v>2281</v>
      </c>
      <c r="L102" s="714">
        <v>146.99</v>
      </c>
      <c r="M102" s="714">
        <v>146.99</v>
      </c>
      <c r="N102" s="711">
        <v>1</v>
      </c>
      <c r="O102" s="715">
        <v>0.5</v>
      </c>
      <c r="P102" s="714"/>
      <c r="Q102" s="716">
        <v>0</v>
      </c>
      <c r="R102" s="711"/>
      <c r="S102" s="716">
        <v>0</v>
      </c>
      <c r="T102" s="715"/>
      <c r="U102" s="717">
        <v>0</v>
      </c>
    </row>
    <row r="103" spans="1:21" ht="14.4" customHeight="1" x14ac:dyDescent="0.3">
      <c r="A103" s="710">
        <v>30</v>
      </c>
      <c r="B103" s="711" t="s">
        <v>501</v>
      </c>
      <c r="C103" s="711">
        <v>89301301</v>
      </c>
      <c r="D103" s="712" t="s">
        <v>2659</v>
      </c>
      <c r="E103" s="713" t="s">
        <v>2096</v>
      </c>
      <c r="F103" s="711" t="s">
        <v>2085</v>
      </c>
      <c r="G103" s="711" t="s">
        <v>2282</v>
      </c>
      <c r="H103" s="711" t="s">
        <v>500</v>
      </c>
      <c r="I103" s="711" t="s">
        <v>2283</v>
      </c>
      <c r="J103" s="711" t="s">
        <v>2284</v>
      </c>
      <c r="K103" s="711" t="s">
        <v>2285</v>
      </c>
      <c r="L103" s="714">
        <v>0</v>
      </c>
      <c r="M103" s="714">
        <v>0</v>
      </c>
      <c r="N103" s="711">
        <v>1</v>
      </c>
      <c r="O103" s="715">
        <v>0.5</v>
      </c>
      <c r="P103" s="714"/>
      <c r="Q103" s="716"/>
      <c r="R103" s="711"/>
      <c r="S103" s="716">
        <v>0</v>
      </c>
      <c r="T103" s="715"/>
      <c r="U103" s="717">
        <v>0</v>
      </c>
    </row>
    <row r="104" spans="1:21" ht="14.4" customHeight="1" x14ac:dyDescent="0.3">
      <c r="A104" s="710">
        <v>30</v>
      </c>
      <c r="B104" s="711" t="s">
        <v>501</v>
      </c>
      <c r="C104" s="711">
        <v>89301301</v>
      </c>
      <c r="D104" s="712" t="s">
        <v>2659</v>
      </c>
      <c r="E104" s="713" t="s">
        <v>2096</v>
      </c>
      <c r="F104" s="711" t="s">
        <v>2085</v>
      </c>
      <c r="G104" s="711" t="s">
        <v>2145</v>
      </c>
      <c r="H104" s="711" t="s">
        <v>1480</v>
      </c>
      <c r="I104" s="711" t="s">
        <v>1517</v>
      </c>
      <c r="J104" s="711" t="s">
        <v>1518</v>
      </c>
      <c r="K104" s="711" t="s">
        <v>1519</v>
      </c>
      <c r="L104" s="714">
        <v>937.93</v>
      </c>
      <c r="M104" s="714">
        <v>3751.72</v>
      </c>
      <c r="N104" s="711">
        <v>4</v>
      </c>
      <c r="O104" s="715">
        <v>2.5</v>
      </c>
      <c r="P104" s="714">
        <v>937.93</v>
      </c>
      <c r="Q104" s="716">
        <v>0.25</v>
      </c>
      <c r="R104" s="711">
        <v>1</v>
      </c>
      <c r="S104" s="716">
        <v>0.25</v>
      </c>
      <c r="T104" s="715">
        <v>0.5</v>
      </c>
      <c r="U104" s="717">
        <v>0.2</v>
      </c>
    </row>
    <row r="105" spans="1:21" ht="14.4" customHeight="1" x14ac:dyDescent="0.3">
      <c r="A105" s="710">
        <v>30</v>
      </c>
      <c r="B105" s="711" t="s">
        <v>501</v>
      </c>
      <c r="C105" s="711">
        <v>89301301</v>
      </c>
      <c r="D105" s="712" t="s">
        <v>2659</v>
      </c>
      <c r="E105" s="713" t="s">
        <v>2096</v>
      </c>
      <c r="F105" s="711" t="s">
        <v>2085</v>
      </c>
      <c r="G105" s="711" t="s">
        <v>2286</v>
      </c>
      <c r="H105" s="711" t="s">
        <v>1480</v>
      </c>
      <c r="I105" s="711" t="s">
        <v>1731</v>
      </c>
      <c r="J105" s="711" t="s">
        <v>1732</v>
      </c>
      <c r="K105" s="711" t="s">
        <v>1497</v>
      </c>
      <c r="L105" s="714">
        <v>41.53</v>
      </c>
      <c r="M105" s="714">
        <v>41.53</v>
      </c>
      <c r="N105" s="711">
        <v>1</v>
      </c>
      <c r="O105" s="715">
        <v>0.5</v>
      </c>
      <c r="P105" s="714"/>
      <c r="Q105" s="716">
        <v>0</v>
      </c>
      <c r="R105" s="711"/>
      <c r="S105" s="716">
        <v>0</v>
      </c>
      <c r="T105" s="715"/>
      <c r="U105" s="717">
        <v>0</v>
      </c>
    </row>
    <row r="106" spans="1:21" ht="14.4" customHeight="1" x14ac:dyDescent="0.3">
      <c r="A106" s="710">
        <v>30</v>
      </c>
      <c r="B106" s="711" t="s">
        <v>501</v>
      </c>
      <c r="C106" s="711">
        <v>89301301</v>
      </c>
      <c r="D106" s="712" t="s">
        <v>2659</v>
      </c>
      <c r="E106" s="713" t="s">
        <v>2096</v>
      </c>
      <c r="F106" s="711" t="s">
        <v>2085</v>
      </c>
      <c r="G106" s="711" t="s">
        <v>2146</v>
      </c>
      <c r="H106" s="711" t="s">
        <v>500</v>
      </c>
      <c r="I106" s="711" t="s">
        <v>2147</v>
      </c>
      <c r="J106" s="711" t="s">
        <v>2148</v>
      </c>
      <c r="K106" s="711" t="s">
        <v>2149</v>
      </c>
      <c r="L106" s="714">
        <v>97.97</v>
      </c>
      <c r="M106" s="714">
        <v>195.94</v>
      </c>
      <c r="N106" s="711">
        <v>2</v>
      </c>
      <c r="O106" s="715">
        <v>1</v>
      </c>
      <c r="P106" s="714"/>
      <c r="Q106" s="716">
        <v>0</v>
      </c>
      <c r="R106" s="711"/>
      <c r="S106" s="716">
        <v>0</v>
      </c>
      <c r="T106" s="715"/>
      <c r="U106" s="717">
        <v>0</v>
      </c>
    </row>
    <row r="107" spans="1:21" ht="14.4" customHeight="1" x14ac:dyDescent="0.3">
      <c r="A107" s="710">
        <v>30</v>
      </c>
      <c r="B107" s="711" t="s">
        <v>501</v>
      </c>
      <c r="C107" s="711">
        <v>89301301</v>
      </c>
      <c r="D107" s="712" t="s">
        <v>2659</v>
      </c>
      <c r="E107" s="713" t="s">
        <v>2096</v>
      </c>
      <c r="F107" s="711" t="s">
        <v>2085</v>
      </c>
      <c r="G107" s="711" t="s">
        <v>2146</v>
      </c>
      <c r="H107" s="711" t="s">
        <v>500</v>
      </c>
      <c r="I107" s="711" t="s">
        <v>2204</v>
      </c>
      <c r="J107" s="711" t="s">
        <v>696</v>
      </c>
      <c r="K107" s="711" t="s">
        <v>2205</v>
      </c>
      <c r="L107" s="714">
        <v>97.97</v>
      </c>
      <c r="M107" s="714">
        <v>97.97</v>
      </c>
      <c r="N107" s="711">
        <v>1</v>
      </c>
      <c r="O107" s="715">
        <v>0.5</v>
      </c>
      <c r="P107" s="714">
        <v>97.97</v>
      </c>
      <c r="Q107" s="716">
        <v>1</v>
      </c>
      <c r="R107" s="711">
        <v>1</v>
      </c>
      <c r="S107" s="716">
        <v>1</v>
      </c>
      <c r="T107" s="715">
        <v>0.5</v>
      </c>
      <c r="U107" s="717">
        <v>1</v>
      </c>
    </row>
    <row r="108" spans="1:21" ht="14.4" customHeight="1" x14ac:dyDescent="0.3">
      <c r="A108" s="710">
        <v>30</v>
      </c>
      <c r="B108" s="711" t="s">
        <v>501</v>
      </c>
      <c r="C108" s="711">
        <v>89301301</v>
      </c>
      <c r="D108" s="712" t="s">
        <v>2659</v>
      </c>
      <c r="E108" s="713" t="s">
        <v>2096</v>
      </c>
      <c r="F108" s="711" t="s">
        <v>2085</v>
      </c>
      <c r="G108" s="711" t="s">
        <v>2209</v>
      </c>
      <c r="H108" s="711" t="s">
        <v>1480</v>
      </c>
      <c r="I108" s="711" t="s">
        <v>1543</v>
      </c>
      <c r="J108" s="711" t="s">
        <v>1482</v>
      </c>
      <c r="K108" s="711" t="s">
        <v>1974</v>
      </c>
      <c r="L108" s="714">
        <v>48.98</v>
      </c>
      <c r="M108" s="714">
        <v>146.94</v>
      </c>
      <c r="N108" s="711">
        <v>3</v>
      </c>
      <c r="O108" s="715">
        <v>1.5</v>
      </c>
      <c r="P108" s="714"/>
      <c r="Q108" s="716">
        <v>0</v>
      </c>
      <c r="R108" s="711"/>
      <c r="S108" s="716">
        <v>0</v>
      </c>
      <c r="T108" s="715"/>
      <c r="U108" s="717">
        <v>0</v>
      </c>
    </row>
    <row r="109" spans="1:21" ht="14.4" customHeight="1" x14ac:dyDescent="0.3">
      <c r="A109" s="710">
        <v>30</v>
      </c>
      <c r="B109" s="711" t="s">
        <v>501</v>
      </c>
      <c r="C109" s="711">
        <v>89301301</v>
      </c>
      <c r="D109" s="712" t="s">
        <v>2659</v>
      </c>
      <c r="E109" s="713" t="s">
        <v>2096</v>
      </c>
      <c r="F109" s="711" t="s">
        <v>2085</v>
      </c>
      <c r="G109" s="711" t="s">
        <v>2150</v>
      </c>
      <c r="H109" s="711" t="s">
        <v>500</v>
      </c>
      <c r="I109" s="711" t="s">
        <v>2287</v>
      </c>
      <c r="J109" s="711" t="s">
        <v>2288</v>
      </c>
      <c r="K109" s="711" t="s">
        <v>1538</v>
      </c>
      <c r="L109" s="714">
        <v>67.42</v>
      </c>
      <c r="M109" s="714">
        <v>67.42</v>
      </c>
      <c r="N109" s="711">
        <v>1</v>
      </c>
      <c r="O109" s="715">
        <v>0.5</v>
      </c>
      <c r="P109" s="714"/>
      <c r="Q109" s="716">
        <v>0</v>
      </c>
      <c r="R109" s="711"/>
      <c r="S109" s="716">
        <v>0</v>
      </c>
      <c r="T109" s="715"/>
      <c r="U109" s="717">
        <v>0</v>
      </c>
    </row>
    <row r="110" spans="1:21" ht="14.4" customHeight="1" x14ac:dyDescent="0.3">
      <c r="A110" s="710">
        <v>30</v>
      </c>
      <c r="B110" s="711" t="s">
        <v>501</v>
      </c>
      <c r="C110" s="711">
        <v>89301301</v>
      </c>
      <c r="D110" s="712" t="s">
        <v>2659</v>
      </c>
      <c r="E110" s="713" t="s">
        <v>2096</v>
      </c>
      <c r="F110" s="711" t="s">
        <v>2085</v>
      </c>
      <c r="G110" s="711" t="s">
        <v>2289</v>
      </c>
      <c r="H110" s="711" t="s">
        <v>1480</v>
      </c>
      <c r="I110" s="711" t="s">
        <v>1609</v>
      </c>
      <c r="J110" s="711" t="s">
        <v>1610</v>
      </c>
      <c r="K110" s="711" t="s">
        <v>837</v>
      </c>
      <c r="L110" s="714">
        <v>101.68</v>
      </c>
      <c r="M110" s="714">
        <v>101.68</v>
      </c>
      <c r="N110" s="711">
        <v>1</v>
      </c>
      <c r="O110" s="715">
        <v>0.5</v>
      </c>
      <c r="P110" s="714"/>
      <c r="Q110" s="716">
        <v>0</v>
      </c>
      <c r="R110" s="711"/>
      <c r="S110" s="716">
        <v>0</v>
      </c>
      <c r="T110" s="715"/>
      <c r="U110" s="717">
        <v>0</v>
      </c>
    </row>
    <row r="111" spans="1:21" ht="14.4" customHeight="1" x14ac:dyDescent="0.3">
      <c r="A111" s="710">
        <v>30</v>
      </c>
      <c r="B111" s="711" t="s">
        <v>501</v>
      </c>
      <c r="C111" s="711">
        <v>89301301</v>
      </c>
      <c r="D111" s="712" t="s">
        <v>2659</v>
      </c>
      <c r="E111" s="713" t="s">
        <v>2096</v>
      </c>
      <c r="F111" s="711" t="s">
        <v>2085</v>
      </c>
      <c r="G111" s="711" t="s">
        <v>2289</v>
      </c>
      <c r="H111" s="711" t="s">
        <v>500</v>
      </c>
      <c r="I111" s="711" t="s">
        <v>2290</v>
      </c>
      <c r="J111" s="711" t="s">
        <v>1271</v>
      </c>
      <c r="K111" s="711" t="s">
        <v>958</v>
      </c>
      <c r="L111" s="714">
        <v>203.38</v>
      </c>
      <c r="M111" s="714">
        <v>203.38</v>
      </c>
      <c r="N111" s="711">
        <v>1</v>
      </c>
      <c r="O111" s="715">
        <v>0.5</v>
      </c>
      <c r="P111" s="714"/>
      <c r="Q111" s="716">
        <v>0</v>
      </c>
      <c r="R111" s="711"/>
      <c r="S111" s="716">
        <v>0</v>
      </c>
      <c r="T111" s="715"/>
      <c r="U111" s="717">
        <v>0</v>
      </c>
    </row>
    <row r="112" spans="1:21" ht="14.4" customHeight="1" x14ac:dyDescent="0.3">
      <c r="A112" s="710">
        <v>30</v>
      </c>
      <c r="B112" s="711" t="s">
        <v>501</v>
      </c>
      <c r="C112" s="711">
        <v>89301301</v>
      </c>
      <c r="D112" s="712" t="s">
        <v>2659</v>
      </c>
      <c r="E112" s="713" t="s">
        <v>2096</v>
      </c>
      <c r="F112" s="711" t="s">
        <v>2085</v>
      </c>
      <c r="G112" s="711" t="s">
        <v>2291</v>
      </c>
      <c r="H112" s="711" t="s">
        <v>1480</v>
      </c>
      <c r="I112" s="711" t="s">
        <v>1576</v>
      </c>
      <c r="J112" s="711" t="s">
        <v>1577</v>
      </c>
      <c r="K112" s="711" t="s">
        <v>1578</v>
      </c>
      <c r="L112" s="714">
        <v>56.01</v>
      </c>
      <c r="M112" s="714">
        <v>56.01</v>
      </c>
      <c r="N112" s="711">
        <v>1</v>
      </c>
      <c r="O112" s="715">
        <v>0.5</v>
      </c>
      <c r="P112" s="714"/>
      <c r="Q112" s="716">
        <v>0</v>
      </c>
      <c r="R112" s="711"/>
      <c r="S112" s="716">
        <v>0</v>
      </c>
      <c r="T112" s="715"/>
      <c r="U112" s="717">
        <v>0</v>
      </c>
    </row>
    <row r="113" spans="1:21" ht="14.4" customHeight="1" x14ac:dyDescent="0.3">
      <c r="A113" s="710">
        <v>30</v>
      </c>
      <c r="B113" s="711" t="s">
        <v>501</v>
      </c>
      <c r="C113" s="711">
        <v>89301301</v>
      </c>
      <c r="D113" s="712" t="s">
        <v>2659</v>
      </c>
      <c r="E113" s="713" t="s">
        <v>2096</v>
      </c>
      <c r="F113" s="711" t="s">
        <v>2085</v>
      </c>
      <c r="G113" s="711" t="s">
        <v>2151</v>
      </c>
      <c r="H113" s="711" t="s">
        <v>1480</v>
      </c>
      <c r="I113" s="711" t="s">
        <v>1562</v>
      </c>
      <c r="J113" s="711" t="s">
        <v>2005</v>
      </c>
      <c r="K113" s="711" t="s">
        <v>1399</v>
      </c>
      <c r="L113" s="714">
        <v>67.42</v>
      </c>
      <c r="M113" s="714">
        <v>67.42</v>
      </c>
      <c r="N113" s="711">
        <v>1</v>
      </c>
      <c r="O113" s="715">
        <v>0.5</v>
      </c>
      <c r="P113" s="714"/>
      <c r="Q113" s="716">
        <v>0</v>
      </c>
      <c r="R113" s="711"/>
      <c r="S113" s="716">
        <v>0</v>
      </c>
      <c r="T113" s="715"/>
      <c r="U113" s="717">
        <v>0</v>
      </c>
    </row>
    <row r="114" spans="1:21" ht="14.4" customHeight="1" x14ac:dyDescent="0.3">
      <c r="A114" s="710">
        <v>30</v>
      </c>
      <c r="B114" s="711" t="s">
        <v>501</v>
      </c>
      <c r="C114" s="711">
        <v>89301301</v>
      </c>
      <c r="D114" s="712" t="s">
        <v>2659</v>
      </c>
      <c r="E114" s="713" t="s">
        <v>2096</v>
      </c>
      <c r="F114" s="711" t="s">
        <v>2085</v>
      </c>
      <c r="G114" s="711" t="s">
        <v>2292</v>
      </c>
      <c r="H114" s="711" t="s">
        <v>500</v>
      </c>
      <c r="I114" s="711" t="s">
        <v>2293</v>
      </c>
      <c r="J114" s="711" t="s">
        <v>2294</v>
      </c>
      <c r="K114" s="711" t="s">
        <v>1452</v>
      </c>
      <c r="L114" s="714">
        <v>110.25</v>
      </c>
      <c r="M114" s="714">
        <v>110.25</v>
      </c>
      <c r="N114" s="711">
        <v>1</v>
      </c>
      <c r="O114" s="715">
        <v>0.5</v>
      </c>
      <c r="P114" s="714"/>
      <c r="Q114" s="716">
        <v>0</v>
      </c>
      <c r="R114" s="711"/>
      <c r="S114" s="716">
        <v>0</v>
      </c>
      <c r="T114" s="715"/>
      <c r="U114" s="717">
        <v>0</v>
      </c>
    </row>
    <row r="115" spans="1:21" ht="14.4" customHeight="1" x14ac:dyDescent="0.3">
      <c r="A115" s="710">
        <v>30</v>
      </c>
      <c r="B115" s="711" t="s">
        <v>501</v>
      </c>
      <c r="C115" s="711">
        <v>89301301</v>
      </c>
      <c r="D115" s="712" t="s">
        <v>2659</v>
      </c>
      <c r="E115" s="713" t="s">
        <v>2096</v>
      </c>
      <c r="F115" s="711" t="s">
        <v>2085</v>
      </c>
      <c r="G115" s="711" t="s">
        <v>2215</v>
      </c>
      <c r="H115" s="711" t="s">
        <v>500</v>
      </c>
      <c r="I115" s="711" t="s">
        <v>2295</v>
      </c>
      <c r="J115" s="711" t="s">
        <v>2217</v>
      </c>
      <c r="K115" s="711" t="s">
        <v>2296</v>
      </c>
      <c r="L115" s="714">
        <v>0</v>
      </c>
      <c r="M115" s="714">
        <v>0</v>
      </c>
      <c r="N115" s="711">
        <v>1</v>
      </c>
      <c r="O115" s="715">
        <v>0.5</v>
      </c>
      <c r="P115" s="714"/>
      <c r="Q115" s="716"/>
      <c r="R115" s="711"/>
      <c r="S115" s="716">
        <v>0</v>
      </c>
      <c r="T115" s="715"/>
      <c r="U115" s="717">
        <v>0</v>
      </c>
    </row>
    <row r="116" spans="1:21" ht="14.4" customHeight="1" x14ac:dyDescent="0.3">
      <c r="A116" s="710">
        <v>30</v>
      </c>
      <c r="B116" s="711" t="s">
        <v>501</v>
      </c>
      <c r="C116" s="711">
        <v>89301301</v>
      </c>
      <c r="D116" s="712" t="s">
        <v>2659</v>
      </c>
      <c r="E116" s="713" t="s">
        <v>2096</v>
      </c>
      <c r="F116" s="711" t="s">
        <v>2085</v>
      </c>
      <c r="G116" s="711" t="s">
        <v>2219</v>
      </c>
      <c r="H116" s="711" t="s">
        <v>500</v>
      </c>
      <c r="I116" s="711" t="s">
        <v>768</v>
      </c>
      <c r="J116" s="711" t="s">
        <v>2220</v>
      </c>
      <c r="K116" s="711" t="s">
        <v>2221</v>
      </c>
      <c r="L116" s="714">
        <v>0</v>
      </c>
      <c r="M116" s="714">
        <v>0</v>
      </c>
      <c r="N116" s="711">
        <v>6</v>
      </c>
      <c r="O116" s="715">
        <v>3</v>
      </c>
      <c r="P116" s="714">
        <v>0</v>
      </c>
      <c r="Q116" s="716"/>
      <c r="R116" s="711">
        <v>1</v>
      </c>
      <c r="S116" s="716">
        <v>0.16666666666666666</v>
      </c>
      <c r="T116" s="715">
        <v>0.5</v>
      </c>
      <c r="U116" s="717">
        <v>0.16666666666666666</v>
      </c>
    </row>
    <row r="117" spans="1:21" ht="14.4" customHeight="1" x14ac:dyDescent="0.3">
      <c r="A117" s="710">
        <v>30</v>
      </c>
      <c r="B117" s="711" t="s">
        <v>501</v>
      </c>
      <c r="C117" s="711">
        <v>89301301</v>
      </c>
      <c r="D117" s="712" t="s">
        <v>2659</v>
      </c>
      <c r="E117" s="713" t="s">
        <v>2096</v>
      </c>
      <c r="F117" s="711" t="s">
        <v>2085</v>
      </c>
      <c r="G117" s="711" t="s">
        <v>2222</v>
      </c>
      <c r="H117" s="711" t="s">
        <v>500</v>
      </c>
      <c r="I117" s="711" t="s">
        <v>626</v>
      </c>
      <c r="J117" s="711" t="s">
        <v>627</v>
      </c>
      <c r="K117" s="711" t="s">
        <v>2223</v>
      </c>
      <c r="L117" s="714">
        <v>43.99</v>
      </c>
      <c r="M117" s="714">
        <v>131.97</v>
      </c>
      <c r="N117" s="711">
        <v>3</v>
      </c>
      <c r="O117" s="715">
        <v>1.5</v>
      </c>
      <c r="P117" s="714">
        <v>43.99</v>
      </c>
      <c r="Q117" s="716">
        <v>0.33333333333333337</v>
      </c>
      <c r="R117" s="711">
        <v>1</v>
      </c>
      <c r="S117" s="716">
        <v>0.33333333333333331</v>
      </c>
      <c r="T117" s="715">
        <v>0.5</v>
      </c>
      <c r="U117" s="717">
        <v>0.33333333333333331</v>
      </c>
    </row>
    <row r="118" spans="1:21" ht="14.4" customHeight="1" x14ac:dyDescent="0.3">
      <c r="A118" s="710">
        <v>30</v>
      </c>
      <c r="B118" s="711" t="s">
        <v>501</v>
      </c>
      <c r="C118" s="711">
        <v>89301301</v>
      </c>
      <c r="D118" s="712" t="s">
        <v>2659</v>
      </c>
      <c r="E118" s="713" t="s">
        <v>2096</v>
      </c>
      <c r="F118" s="711" t="s">
        <v>2085</v>
      </c>
      <c r="G118" s="711" t="s">
        <v>2225</v>
      </c>
      <c r="H118" s="711" t="s">
        <v>500</v>
      </c>
      <c r="I118" s="711" t="s">
        <v>710</v>
      </c>
      <c r="J118" s="711" t="s">
        <v>711</v>
      </c>
      <c r="K118" s="711" t="s">
        <v>2297</v>
      </c>
      <c r="L118" s="714">
        <v>110.66</v>
      </c>
      <c r="M118" s="714">
        <v>110.66</v>
      </c>
      <c r="N118" s="711">
        <v>1</v>
      </c>
      <c r="O118" s="715">
        <v>0.5</v>
      </c>
      <c r="P118" s="714"/>
      <c r="Q118" s="716">
        <v>0</v>
      </c>
      <c r="R118" s="711"/>
      <c r="S118" s="716">
        <v>0</v>
      </c>
      <c r="T118" s="715"/>
      <c r="U118" s="717">
        <v>0</v>
      </c>
    </row>
    <row r="119" spans="1:21" ht="14.4" customHeight="1" x14ac:dyDescent="0.3">
      <c r="A119" s="710">
        <v>30</v>
      </c>
      <c r="B119" s="711" t="s">
        <v>501</v>
      </c>
      <c r="C119" s="711">
        <v>89301301</v>
      </c>
      <c r="D119" s="712" t="s">
        <v>2659</v>
      </c>
      <c r="E119" s="713" t="s">
        <v>2096</v>
      </c>
      <c r="F119" s="711" t="s">
        <v>2085</v>
      </c>
      <c r="G119" s="711" t="s">
        <v>2158</v>
      </c>
      <c r="H119" s="711" t="s">
        <v>500</v>
      </c>
      <c r="I119" s="711" t="s">
        <v>2159</v>
      </c>
      <c r="J119" s="711" t="s">
        <v>730</v>
      </c>
      <c r="K119" s="711" t="s">
        <v>2160</v>
      </c>
      <c r="L119" s="714">
        <v>0</v>
      </c>
      <c r="M119" s="714">
        <v>0</v>
      </c>
      <c r="N119" s="711">
        <v>1</v>
      </c>
      <c r="O119" s="715">
        <v>0.5</v>
      </c>
      <c r="P119" s="714"/>
      <c r="Q119" s="716"/>
      <c r="R119" s="711"/>
      <c r="S119" s="716">
        <v>0</v>
      </c>
      <c r="T119" s="715"/>
      <c r="U119" s="717">
        <v>0</v>
      </c>
    </row>
    <row r="120" spans="1:21" ht="14.4" customHeight="1" x14ac:dyDescent="0.3">
      <c r="A120" s="710">
        <v>30</v>
      </c>
      <c r="B120" s="711" t="s">
        <v>501</v>
      </c>
      <c r="C120" s="711">
        <v>89301301</v>
      </c>
      <c r="D120" s="712" t="s">
        <v>2659</v>
      </c>
      <c r="E120" s="713" t="s">
        <v>2096</v>
      </c>
      <c r="F120" s="711" t="s">
        <v>2085</v>
      </c>
      <c r="G120" s="711" t="s">
        <v>2298</v>
      </c>
      <c r="H120" s="711" t="s">
        <v>1480</v>
      </c>
      <c r="I120" s="711" t="s">
        <v>2299</v>
      </c>
      <c r="J120" s="711" t="s">
        <v>1567</v>
      </c>
      <c r="K120" s="711" t="s">
        <v>2300</v>
      </c>
      <c r="L120" s="714">
        <v>32.74</v>
      </c>
      <c r="M120" s="714">
        <v>32.74</v>
      </c>
      <c r="N120" s="711">
        <v>1</v>
      </c>
      <c r="O120" s="715">
        <v>0.5</v>
      </c>
      <c r="P120" s="714"/>
      <c r="Q120" s="716">
        <v>0</v>
      </c>
      <c r="R120" s="711"/>
      <c r="S120" s="716">
        <v>0</v>
      </c>
      <c r="T120" s="715"/>
      <c r="U120" s="717">
        <v>0</v>
      </c>
    </row>
    <row r="121" spans="1:21" ht="14.4" customHeight="1" x14ac:dyDescent="0.3">
      <c r="A121" s="710">
        <v>30</v>
      </c>
      <c r="B121" s="711" t="s">
        <v>501</v>
      </c>
      <c r="C121" s="711">
        <v>89301301</v>
      </c>
      <c r="D121" s="712" t="s">
        <v>2659</v>
      </c>
      <c r="E121" s="713" t="s">
        <v>2096</v>
      </c>
      <c r="F121" s="711" t="s">
        <v>2085</v>
      </c>
      <c r="G121" s="711" t="s">
        <v>2298</v>
      </c>
      <c r="H121" s="711" t="s">
        <v>1480</v>
      </c>
      <c r="I121" s="711" t="s">
        <v>1566</v>
      </c>
      <c r="J121" s="711" t="s">
        <v>1567</v>
      </c>
      <c r="K121" s="711" t="s">
        <v>2053</v>
      </c>
      <c r="L121" s="714">
        <v>98.23</v>
      </c>
      <c r="M121" s="714">
        <v>98.23</v>
      </c>
      <c r="N121" s="711">
        <v>1</v>
      </c>
      <c r="O121" s="715">
        <v>0.5</v>
      </c>
      <c r="P121" s="714"/>
      <c r="Q121" s="716">
        <v>0</v>
      </c>
      <c r="R121" s="711"/>
      <c r="S121" s="716">
        <v>0</v>
      </c>
      <c r="T121" s="715"/>
      <c r="U121" s="717">
        <v>0</v>
      </c>
    </row>
    <row r="122" spans="1:21" ht="14.4" customHeight="1" x14ac:dyDescent="0.3">
      <c r="A122" s="710">
        <v>30</v>
      </c>
      <c r="B122" s="711" t="s">
        <v>501</v>
      </c>
      <c r="C122" s="711">
        <v>89301301</v>
      </c>
      <c r="D122" s="712" t="s">
        <v>2659</v>
      </c>
      <c r="E122" s="713" t="s">
        <v>2096</v>
      </c>
      <c r="F122" s="711" t="s">
        <v>2085</v>
      </c>
      <c r="G122" s="711" t="s">
        <v>2228</v>
      </c>
      <c r="H122" s="711" t="s">
        <v>500</v>
      </c>
      <c r="I122" s="711" t="s">
        <v>2301</v>
      </c>
      <c r="J122" s="711" t="s">
        <v>707</v>
      </c>
      <c r="K122" s="711" t="s">
        <v>2302</v>
      </c>
      <c r="L122" s="714">
        <v>0</v>
      </c>
      <c r="M122" s="714">
        <v>0</v>
      </c>
      <c r="N122" s="711">
        <v>1</v>
      </c>
      <c r="O122" s="715">
        <v>0.5</v>
      </c>
      <c r="P122" s="714"/>
      <c r="Q122" s="716"/>
      <c r="R122" s="711"/>
      <c r="S122" s="716">
        <v>0</v>
      </c>
      <c r="T122" s="715"/>
      <c r="U122" s="717">
        <v>0</v>
      </c>
    </row>
    <row r="123" spans="1:21" ht="14.4" customHeight="1" x14ac:dyDescent="0.3">
      <c r="A123" s="710">
        <v>30</v>
      </c>
      <c r="B123" s="711" t="s">
        <v>501</v>
      </c>
      <c r="C123" s="711">
        <v>89301301</v>
      </c>
      <c r="D123" s="712" t="s">
        <v>2659</v>
      </c>
      <c r="E123" s="713" t="s">
        <v>2096</v>
      </c>
      <c r="F123" s="711" t="s">
        <v>2085</v>
      </c>
      <c r="G123" s="711" t="s">
        <v>2228</v>
      </c>
      <c r="H123" s="711" t="s">
        <v>500</v>
      </c>
      <c r="I123" s="711" t="s">
        <v>2303</v>
      </c>
      <c r="J123" s="711" t="s">
        <v>707</v>
      </c>
      <c r="K123" s="711" t="s">
        <v>2304</v>
      </c>
      <c r="L123" s="714">
        <v>0</v>
      </c>
      <c r="M123" s="714">
        <v>0</v>
      </c>
      <c r="N123" s="711">
        <v>1</v>
      </c>
      <c r="O123" s="715">
        <v>0.5</v>
      </c>
      <c r="P123" s="714">
        <v>0</v>
      </c>
      <c r="Q123" s="716"/>
      <c r="R123" s="711">
        <v>1</v>
      </c>
      <c r="S123" s="716">
        <v>1</v>
      </c>
      <c r="T123" s="715">
        <v>0.5</v>
      </c>
      <c r="U123" s="717">
        <v>1</v>
      </c>
    </row>
    <row r="124" spans="1:21" ht="14.4" customHeight="1" x14ac:dyDescent="0.3">
      <c r="A124" s="710">
        <v>30</v>
      </c>
      <c r="B124" s="711" t="s">
        <v>501</v>
      </c>
      <c r="C124" s="711">
        <v>89301301</v>
      </c>
      <c r="D124" s="712" t="s">
        <v>2659</v>
      </c>
      <c r="E124" s="713" t="s">
        <v>2096</v>
      </c>
      <c r="F124" s="711" t="s">
        <v>2085</v>
      </c>
      <c r="G124" s="711" t="s">
        <v>2232</v>
      </c>
      <c r="H124" s="711" t="s">
        <v>500</v>
      </c>
      <c r="I124" s="711" t="s">
        <v>2305</v>
      </c>
      <c r="J124" s="711" t="s">
        <v>2306</v>
      </c>
      <c r="K124" s="711" t="s">
        <v>2307</v>
      </c>
      <c r="L124" s="714">
        <v>0</v>
      </c>
      <c r="M124" s="714">
        <v>0</v>
      </c>
      <c r="N124" s="711">
        <v>1</v>
      </c>
      <c r="O124" s="715">
        <v>0.5</v>
      </c>
      <c r="P124" s="714"/>
      <c r="Q124" s="716"/>
      <c r="R124" s="711"/>
      <c r="S124" s="716">
        <v>0</v>
      </c>
      <c r="T124" s="715"/>
      <c r="U124" s="717">
        <v>0</v>
      </c>
    </row>
    <row r="125" spans="1:21" ht="14.4" customHeight="1" x14ac:dyDescent="0.3">
      <c r="A125" s="710">
        <v>30</v>
      </c>
      <c r="B125" s="711" t="s">
        <v>501</v>
      </c>
      <c r="C125" s="711">
        <v>89301301</v>
      </c>
      <c r="D125" s="712" t="s">
        <v>2659</v>
      </c>
      <c r="E125" s="713" t="s">
        <v>2096</v>
      </c>
      <c r="F125" s="711" t="s">
        <v>2085</v>
      </c>
      <c r="G125" s="711" t="s">
        <v>2233</v>
      </c>
      <c r="H125" s="711" t="s">
        <v>1480</v>
      </c>
      <c r="I125" s="711" t="s">
        <v>1672</v>
      </c>
      <c r="J125" s="711" t="s">
        <v>1987</v>
      </c>
      <c r="K125" s="711" t="s">
        <v>1988</v>
      </c>
      <c r="L125" s="714">
        <v>156.25</v>
      </c>
      <c r="M125" s="714">
        <v>156.25</v>
      </c>
      <c r="N125" s="711">
        <v>1</v>
      </c>
      <c r="O125" s="715">
        <v>1</v>
      </c>
      <c r="P125" s="714"/>
      <c r="Q125" s="716">
        <v>0</v>
      </c>
      <c r="R125" s="711"/>
      <c r="S125" s="716">
        <v>0</v>
      </c>
      <c r="T125" s="715"/>
      <c r="U125" s="717">
        <v>0</v>
      </c>
    </row>
    <row r="126" spans="1:21" ht="14.4" customHeight="1" x14ac:dyDescent="0.3">
      <c r="A126" s="710">
        <v>30</v>
      </c>
      <c r="B126" s="711" t="s">
        <v>501</v>
      </c>
      <c r="C126" s="711">
        <v>89301301</v>
      </c>
      <c r="D126" s="712" t="s">
        <v>2659</v>
      </c>
      <c r="E126" s="713" t="s">
        <v>2097</v>
      </c>
      <c r="F126" s="711" t="s">
        <v>2085</v>
      </c>
      <c r="G126" s="711" t="s">
        <v>2308</v>
      </c>
      <c r="H126" s="711" t="s">
        <v>500</v>
      </c>
      <c r="I126" s="711" t="s">
        <v>2309</v>
      </c>
      <c r="J126" s="711" t="s">
        <v>2310</v>
      </c>
      <c r="K126" s="711" t="s">
        <v>2311</v>
      </c>
      <c r="L126" s="714">
        <v>44.89</v>
      </c>
      <c r="M126" s="714">
        <v>44.89</v>
      </c>
      <c r="N126" s="711">
        <v>1</v>
      </c>
      <c r="O126" s="715">
        <v>0.5</v>
      </c>
      <c r="P126" s="714">
        <v>44.89</v>
      </c>
      <c r="Q126" s="716">
        <v>1</v>
      </c>
      <c r="R126" s="711">
        <v>1</v>
      </c>
      <c r="S126" s="716">
        <v>1</v>
      </c>
      <c r="T126" s="715">
        <v>0.5</v>
      </c>
      <c r="U126" s="717">
        <v>1</v>
      </c>
    </row>
    <row r="127" spans="1:21" ht="14.4" customHeight="1" x14ac:dyDescent="0.3">
      <c r="A127" s="710">
        <v>30</v>
      </c>
      <c r="B127" s="711" t="s">
        <v>501</v>
      </c>
      <c r="C127" s="711">
        <v>89301301</v>
      </c>
      <c r="D127" s="712" t="s">
        <v>2659</v>
      </c>
      <c r="E127" s="713" t="s">
        <v>2097</v>
      </c>
      <c r="F127" s="711" t="s">
        <v>2085</v>
      </c>
      <c r="G127" s="711" t="s">
        <v>2242</v>
      </c>
      <c r="H127" s="711" t="s">
        <v>1480</v>
      </c>
      <c r="I127" s="711" t="s">
        <v>1499</v>
      </c>
      <c r="J127" s="711" t="s">
        <v>1500</v>
      </c>
      <c r="K127" s="711" t="s">
        <v>1995</v>
      </c>
      <c r="L127" s="714">
        <v>75.28</v>
      </c>
      <c r="M127" s="714">
        <v>150.56</v>
      </c>
      <c r="N127" s="711">
        <v>2</v>
      </c>
      <c r="O127" s="715">
        <v>1</v>
      </c>
      <c r="P127" s="714"/>
      <c r="Q127" s="716">
        <v>0</v>
      </c>
      <c r="R127" s="711"/>
      <c r="S127" s="716">
        <v>0</v>
      </c>
      <c r="T127" s="715"/>
      <c r="U127" s="717">
        <v>0</v>
      </c>
    </row>
    <row r="128" spans="1:21" ht="14.4" customHeight="1" x14ac:dyDescent="0.3">
      <c r="A128" s="710">
        <v>30</v>
      </c>
      <c r="B128" s="711" t="s">
        <v>501</v>
      </c>
      <c r="C128" s="711">
        <v>89301301</v>
      </c>
      <c r="D128" s="712" t="s">
        <v>2659</v>
      </c>
      <c r="E128" s="713" t="s">
        <v>2097</v>
      </c>
      <c r="F128" s="711" t="s">
        <v>2085</v>
      </c>
      <c r="G128" s="711" t="s">
        <v>2312</v>
      </c>
      <c r="H128" s="711" t="s">
        <v>500</v>
      </c>
      <c r="I128" s="711" t="s">
        <v>1798</v>
      </c>
      <c r="J128" s="711" t="s">
        <v>1799</v>
      </c>
      <c r="K128" s="711" t="s">
        <v>2313</v>
      </c>
      <c r="L128" s="714">
        <v>68.819999999999993</v>
      </c>
      <c r="M128" s="714">
        <v>68.819999999999993</v>
      </c>
      <c r="N128" s="711">
        <v>1</v>
      </c>
      <c r="O128" s="715">
        <v>0.5</v>
      </c>
      <c r="P128" s="714"/>
      <c r="Q128" s="716">
        <v>0</v>
      </c>
      <c r="R128" s="711"/>
      <c r="S128" s="716">
        <v>0</v>
      </c>
      <c r="T128" s="715"/>
      <c r="U128" s="717">
        <v>0</v>
      </c>
    </row>
    <row r="129" spans="1:21" ht="14.4" customHeight="1" x14ac:dyDescent="0.3">
      <c r="A129" s="710">
        <v>30</v>
      </c>
      <c r="B129" s="711" t="s">
        <v>501</v>
      </c>
      <c r="C129" s="711">
        <v>89301301</v>
      </c>
      <c r="D129" s="712" t="s">
        <v>2659</v>
      </c>
      <c r="E129" s="713" t="s">
        <v>2097</v>
      </c>
      <c r="F129" s="711" t="s">
        <v>2085</v>
      </c>
      <c r="G129" s="711" t="s">
        <v>2106</v>
      </c>
      <c r="H129" s="711" t="s">
        <v>1480</v>
      </c>
      <c r="I129" s="711" t="s">
        <v>1593</v>
      </c>
      <c r="J129" s="711" t="s">
        <v>1598</v>
      </c>
      <c r="K129" s="711" t="s">
        <v>942</v>
      </c>
      <c r="L129" s="714">
        <v>130.59</v>
      </c>
      <c r="M129" s="714">
        <v>130.59</v>
      </c>
      <c r="N129" s="711">
        <v>1</v>
      </c>
      <c r="O129" s="715">
        <v>0.5</v>
      </c>
      <c r="P129" s="714"/>
      <c r="Q129" s="716">
        <v>0</v>
      </c>
      <c r="R129" s="711"/>
      <c r="S129" s="716">
        <v>0</v>
      </c>
      <c r="T129" s="715"/>
      <c r="U129" s="717">
        <v>0</v>
      </c>
    </row>
    <row r="130" spans="1:21" ht="14.4" customHeight="1" x14ac:dyDescent="0.3">
      <c r="A130" s="710">
        <v>30</v>
      </c>
      <c r="B130" s="711" t="s">
        <v>501</v>
      </c>
      <c r="C130" s="711">
        <v>89301301</v>
      </c>
      <c r="D130" s="712" t="s">
        <v>2659</v>
      </c>
      <c r="E130" s="713" t="s">
        <v>2097</v>
      </c>
      <c r="F130" s="711" t="s">
        <v>2085</v>
      </c>
      <c r="G130" s="711" t="s">
        <v>2244</v>
      </c>
      <c r="H130" s="711" t="s">
        <v>1480</v>
      </c>
      <c r="I130" s="711" t="s">
        <v>1536</v>
      </c>
      <c r="J130" s="711" t="s">
        <v>1537</v>
      </c>
      <c r="K130" s="711" t="s">
        <v>1538</v>
      </c>
      <c r="L130" s="714">
        <v>44.89</v>
      </c>
      <c r="M130" s="714">
        <v>44.89</v>
      </c>
      <c r="N130" s="711">
        <v>1</v>
      </c>
      <c r="O130" s="715">
        <v>0.5</v>
      </c>
      <c r="P130" s="714"/>
      <c r="Q130" s="716">
        <v>0</v>
      </c>
      <c r="R130" s="711"/>
      <c r="S130" s="716">
        <v>0</v>
      </c>
      <c r="T130" s="715"/>
      <c r="U130" s="717">
        <v>0</v>
      </c>
    </row>
    <row r="131" spans="1:21" ht="14.4" customHeight="1" x14ac:dyDescent="0.3">
      <c r="A131" s="710">
        <v>30</v>
      </c>
      <c r="B131" s="711" t="s">
        <v>501</v>
      </c>
      <c r="C131" s="711">
        <v>89301301</v>
      </c>
      <c r="D131" s="712" t="s">
        <v>2659</v>
      </c>
      <c r="E131" s="713" t="s">
        <v>2097</v>
      </c>
      <c r="F131" s="711" t="s">
        <v>2085</v>
      </c>
      <c r="G131" s="711" t="s">
        <v>2247</v>
      </c>
      <c r="H131" s="711" t="s">
        <v>1480</v>
      </c>
      <c r="I131" s="711" t="s">
        <v>1721</v>
      </c>
      <c r="J131" s="711" t="s">
        <v>1722</v>
      </c>
      <c r="K131" s="711" t="s">
        <v>2067</v>
      </c>
      <c r="L131" s="714">
        <v>216.16</v>
      </c>
      <c r="M131" s="714">
        <v>216.16</v>
      </c>
      <c r="N131" s="711">
        <v>1</v>
      </c>
      <c r="O131" s="715">
        <v>0.5</v>
      </c>
      <c r="P131" s="714"/>
      <c r="Q131" s="716">
        <v>0</v>
      </c>
      <c r="R131" s="711"/>
      <c r="S131" s="716">
        <v>0</v>
      </c>
      <c r="T131" s="715"/>
      <c r="U131" s="717">
        <v>0</v>
      </c>
    </row>
    <row r="132" spans="1:21" ht="14.4" customHeight="1" x14ac:dyDescent="0.3">
      <c r="A132" s="710">
        <v>30</v>
      </c>
      <c r="B132" s="711" t="s">
        <v>501</v>
      </c>
      <c r="C132" s="711">
        <v>89301301</v>
      </c>
      <c r="D132" s="712" t="s">
        <v>2659</v>
      </c>
      <c r="E132" s="713" t="s">
        <v>2097</v>
      </c>
      <c r="F132" s="711" t="s">
        <v>2085</v>
      </c>
      <c r="G132" s="711" t="s">
        <v>2314</v>
      </c>
      <c r="H132" s="711" t="s">
        <v>500</v>
      </c>
      <c r="I132" s="711" t="s">
        <v>832</v>
      </c>
      <c r="J132" s="711" t="s">
        <v>2315</v>
      </c>
      <c r="K132" s="711" t="s">
        <v>2316</v>
      </c>
      <c r="L132" s="714">
        <v>36.89</v>
      </c>
      <c r="M132" s="714">
        <v>36.89</v>
      </c>
      <c r="N132" s="711">
        <v>1</v>
      </c>
      <c r="O132" s="715">
        <v>0.5</v>
      </c>
      <c r="P132" s="714"/>
      <c r="Q132" s="716">
        <v>0</v>
      </c>
      <c r="R132" s="711"/>
      <c r="S132" s="716">
        <v>0</v>
      </c>
      <c r="T132" s="715"/>
      <c r="U132" s="717">
        <v>0</v>
      </c>
    </row>
    <row r="133" spans="1:21" ht="14.4" customHeight="1" x14ac:dyDescent="0.3">
      <c r="A133" s="710">
        <v>30</v>
      </c>
      <c r="B133" s="711" t="s">
        <v>501</v>
      </c>
      <c r="C133" s="711">
        <v>89301301</v>
      </c>
      <c r="D133" s="712" t="s">
        <v>2659</v>
      </c>
      <c r="E133" s="713" t="s">
        <v>2097</v>
      </c>
      <c r="F133" s="711" t="s">
        <v>2085</v>
      </c>
      <c r="G133" s="711" t="s">
        <v>2248</v>
      </c>
      <c r="H133" s="711" t="s">
        <v>500</v>
      </c>
      <c r="I133" s="711" t="s">
        <v>668</v>
      </c>
      <c r="J133" s="711" t="s">
        <v>669</v>
      </c>
      <c r="K133" s="711" t="s">
        <v>1984</v>
      </c>
      <c r="L133" s="714">
        <v>115.3</v>
      </c>
      <c r="M133" s="714">
        <v>115.3</v>
      </c>
      <c r="N133" s="711">
        <v>1</v>
      </c>
      <c r="O133" s="715">
        <v>0.5</v>
      </c>
      <c r="P133" s="714"/>
      <c r="Q133" s="716">
        <v>0</v>
      </c>
      <c r="R133" s="711"/>
      <c r="S133" s="716">
        <v>0</v>
      </c>
      <c r="T133" s="715"/>
      <c r="U133" s="717">
        <v>0</v>
      </c>
    </row>
    <row r="134" spans="1:21" ht="14.4" customHeight="1" x14ac:dyDescent="0.3">
      <c r="A134" s="710">
        <v>30</v>
      </c>
      <c r="B134" s="711" t="s">
        <v>501</v>
      </c>
      <c r="C134" s="711">
        <v>89301301</v>
      </c>
      <c r="D134" s="712" t="s">
        <v>2659</v>
      </c>
      <c r="E134" s="713" t="s">
        <v>2097</v>
      </c>
      <c r="F134" s="711" t="s">
        <v>2085</v>
      </c>
      <c r="G134" s="711" t="s">
        <v>2317</v>
      </c>
      <c r="H134" s="711" t="s">
        <v>500</v>
      </c>
      <c r="I134" s="711" t="s">
        <v>2318</v>
      </c>
      <c r="J134" s="711" t="s">
        <v>2319</v>
      </c>
      <c r="K134" s="711" t="s">
        <v>1538</v>
      </c>
      <c r="L134" s="714">
        <v>591.79999999999995</v>
      </c>
      <c r="M134" s="714">
        <v>591.79999999999995</v>
      </c>
      <c r="N134" s="711">
        <v>1</v>
      </c>
      <c r="O134" s="715">
        <v>0.5</v>
      </c>
      <c r="P134" s="714"/>
      <c r="Q134" s="716">
        <v>0</v>
      </c>
      <c r="R134" s="711"/>
      <c r="S134" s="716">
        <v>0</v>
      </c>
      <c r="T134" s="715"/>
      <c r="U134" s="717">
        <v>0</v>
      </c>
    </row>
    <row r="135" spans="1:21" ht="14.4" customHeight="1" x14ac:dyDescent="0.3">
      <c r="A135" s="710">
        <v>30</v>
      </c>
      <c r="B135" s="711" t="s">
        <v>501</v>
      </c>
      <c r="C135" s="711">
        <v>89301301</v>
      </c>
      <c r="D135" s="712" t="s">
        <v>2659</v>
      </c>
      <c r="E135" s="713" t="s">
        <v>2097</v>
      </c>
      <c r="F135" s="711" t="s">
        <v>2085</v>
      </c>
      <c r="G135" s="711" t="s">
        <v>2178</v>
      </c>
      <c r="H135" s="711" t="s">
        <v>500</v>
      </c>
      <c r="I135" s="711" t="s">
        <v>2253</v>
      </c>
      <c r="J135" s="711" t="s">
        <v>2179</v>
      </c>
      <c r="K135" s="711" t="s">
        <v>2196</v>
      </c>
      <c r="L135" s="714">
        <v>0</v>
      </c>
      <c r="M135" s="714">
        <v>0</v>
      </c>
      <c r="N135" s="711">
        <v>4</v>
      </c>
      <c r="O135" s="715">
        <v>2</v>
      </c>
      <c r="P135" s="714">
        <v>0</v>
      </c>
      <c r="Q135" s="716"/>
      <c r="R135" s="711">
        <v>2</v>
      </c>
      <c r="S135" s="716">
        <v>0.5</v>
      </c>
      <c r="T135" s="715">
        <v>1</v>
      </c>
      <c r="U135" s="717">
        <v>0.5</v>
      </c>
    </row>
    <row r="136" spans="1:21" ht="14.4" customHeight="1" x14ac:dyDescent="0.3">
      <c r="A136" s="710">
        <v>30</v>
      </c>
      <c r="B136" s="711" t="s">
        <v>501</v>
      </c>
      <c r="C136" s="711">
        <v>89301301</v>
      </c>
      <c r="D136" s="712" t="s">
        <v>2659</v>
      </c>
      <c r="E136" s="713" t="s">
        <v>2097</v>
      </c>
      <c r="F136" s="711" t="s">
        <v>2085</v>
      </c>
      <c r="G136" s="711" t="s">
        <v>2120</v>
      </c>
      <c r="H136" s="711" t="s">
        <v>1480</v>
      </c>
      <c r="I136" s="711" t="s">
        <v>1580</v>
      </c>
      <c r="J136" s="711" t="s">
        <v>2058</v>
      </c>
      <c r="K136" s="711" t="s">
        <v>2059</v>
      </c>
      <c r="L136" s="714">
        <v>443.52</v>
      </c>
      <c r="M136" s="714">
        <v>443.52</v>
      </c>
      <c r="N136" s="711">
        <v>1</v>
      </c>
      <c r="O136" s="715">
        <v>0.5</v>
      </c>
      <c r="P136" s="714"/>
      <c r="Q136" s="716">
        <v>0</v>
      </c>
      <c r="R136" s="711"/>
      <c r="S136" s="716">
        <v>0</v>
      </c>
      <c r="T136" s="715"/>
      <c r="U136" s="717">
        <v>0</v>
      </c>
    </row>
    <row r="137" spans="1:21" ht="14.4" customHeight="1" x14ac:dyDescent="0.3">
      <c r="A137" s="710">
        <v>30</v>
      </c>
      <c r="B137" s="711" t="s">
        <v>501</v>
      </c>
      <c r="C137" s="711">
        <v>89301301</v>
      </c>
      <c r="D137" s="712" t="s">
        <v>2659</v>
      </c>
      <c r="E137" s="713" t="s">
        <v>2097</v>
      </c>
      <c r="F137" s="711" t="s">
        <v>2085</v>
      </c>
      <c r="G137" s="711" t="s">
        <v>2257</v>
      </c>
      <c r="H137" s="711" t="s">
        <v>500</v>
      </c>
      <c r="I137" s="711" t="s">
        <v>952</v>
      </c>
      <c r="J137" s="711" t="s">
        <v>953</v>
      </c>
      <c r="K137" s="711" t="s">
        <v>954</v>
      </c>
      <c r="L137" s="714">
        <v>24.22</v>
      </c>
      <c r="M137" s="714">
        <v>48.44</v>
      </c>
      <c r="N137" s="711">
        <v>2</v>
      </c>
      <c r="O137" s="715">
        <v>1</v>
      </c>
      <c r="P137" s="714">
        <v>24.22</v>
      </c>
      <c r="Q137" s="716">
        <v>0.5</v>
      </c>
      <c r="R137" s="711">
        <v>1</v>
      </c>
      <c r="S137" s="716">
        <v>0.5</v>
      </c>
      <c r="T137" s="715">
        <v>0.5</v>
      </c>
      <c r="U137" s="717">
        <v>0.5</v>
      </c>
    </row>
    <row r="138" spans="1:21" ht="14.4" customHeight="1" x14ac:dyDescent="0.3">
      <c r="A138" s="710">
        <v>30</v>
      </c>
      <c r="B138" s="711" t="s">
        <v>501</v>
      </c>
      <c r="C138" s="711">
        <v>89301301</v>
      </c>
      <c r="D138" s="712" t="s">
        <v>2659</v>
      </c>
      <c r="E138" s="713" t="s">
        <v>2097</v>
      </c>
      <c r="F138" s="711" t="s">
        <v>2085</v>
      </c>
      <c r="G138" s="711" t="s">
        <v>2187</v>
      </c>
      <c r="H138" s="711" t="s">
        <v>500</v>
      </c>
      <c r="I138" s="711" t="s">
        <v>1287</v>
      </c>
      <c r="J138" s="711" t="s">
        <v>1288</v>
      </c>
      <c r="K138" s="711" t="s">
        <v>2188</v>
      </c>
      <c r="L138" s="714">
        <v>23.72</v>
      </c>
      <c r="M138" s="714">
        <v>23.72</v>
      </c>
      <c r="N138" s="711">
        <v>1</v>
      </c>
      <c r="O138" s="715">
        <v>0.5</v>
      </c>
      <c r="P138" s="714"/>
      <c r="Q138" s="716">
        <v>0</v>
      </c>
      <c r="R138" s="711"/>
      <c r="S138" s="716">
        <v>0</v>
      </c>
      <c r="T138" s="715"/>
      <c r="U138" s="717">
        <v>0</v>
      </c>
    </row>
    <row r="139" spans="1:21" ht="14.4" customHeight="1" x14ac:dyDescent="0.3">
      <c r="A139" s="710">
        <v>30</v>
      </c>
      <c r="B139" s="711" t="s">
        <v>501</v>
      </c>
      <c r="C139" s="711">
        <v>89301301</v>
      </c>
      <c r="D139" s="712" t="s">
        <v>2659</v>
      </c>
      <c r="E139" s="713" t="s">
        <v>2097</v>
      </c>
      <c r="F139" s="711" t="s">
        <v>2085</v>
      </c>
      <c r="G139" s="711" t="s">
        <v>2261</v>
      </c>
      <c r="H139" s="711" t="s">
        <v>1480</v>
      </c>
      <c r="I139" s="711" t="s">
        <v>1855</v>
      </c>
      <c r="J139" s="711" t="s">
        <v>1856</v>
      </c>
      <c r="K139" s="711" t="s">
        <v>2036</v>
      </c>
      <c r="L139" s="714">
        <v>116.8</v>
      </c>
      <c r="M139" s="714">
        <v>116.8</v>
      </c>
      <c r="N139" s="711">
        <v>1</v>
      </c>
      <c r="O139" s="715">
        <v>0.5</v>
      </c>
      <c r="P139" s="714"/>
      <c r="Q139" s="716">
        <v>0</v>
      </c>
      <c r="R139" s="711"/>
      <c r="S139" s="716">
        <v>0</v>
      </c>
      <c r="T139" s="715"/>
      <c r="U139" s="717">
        <v>0</v>
      </c>
    </row>
    <row r="140" spans="1:21" ht="14.4" customHeight="1" x14ac:dyDescent="0.3">
      <c r="A140" s="710">
        <v>30</v>
      </c>
      <c r="B140" s="711" t="s">
        <v>501</v>
      </c>
      <c r="C140" s="711">
        <v>89301301</v>
      </c>
      <c r="D140" s="712" t="s">
        <v>2659</v>
      </c>
      <c r="E140" s="713" t="s">
        <v>2097</v>
      </c>
      <c r="F140" s="711" t="s">
        <v>2085</v>
      </c>
      <c r="G140" s="711" t="s">
        <v>2263</v>
      </c>
      <c r="H140" s="711" t="s">
        <v>500</v>
      </c>
      <c r="I140" s="711" t="s">
        <v>2320</v>
      </c>
      <c r="J140" s="711" t="s">
        <v>806</v>
      </c>
      <c r="K140" s="711" t="s">
        <v>2321</v>
      </c>
      <c r="L140" s="714">
        <v>12.26</v>
      </c>
      <c r="M140" s="714">
        <v>36.78</v>
      </c>
      <c r="N140" s="711">
        <v>3</v>
      </c>
      <c r="O140" s="715">
        <v>0.5</v>
      </c>
      <c r="P140" s="714"/>
      <c r="Q140" s="716">
        <v>0</v>
      </c>
      <c r="R140" s="711"/>
      <c r="S140" s="716">
        <v>0</v>
      </c>
      <c r="T140" s="715"/>
      <c r="U140" s="717">
        <v>0</v>
      </c>
    </row>
    <row r="141" spans="1:21" ht="14.4" customHeight="1" x14ac:dyDescent="0.3">
      <c r="A141" s="710">
        <v>30</v>
      </c>
      <c r="B141" s="711" t="s">
        <v>501</v>
      </c>
      <c r="C141" s="711">
        <v>89301301</v>
      </c>
      <c r="D141" s="712" t="s">
        <v>2659</v>
      </c>
      <c r="E141" s="713" t="s">
        <v>2097</v>
      </c>
      <c r="F141" s="711" t="s">
        <v>2085</v>
      </c>
      <c r="G141" s="711" t="s">
        <v>2263</v>
      </c>
      <c r="H141" s="711" t="s">
        <v>500</v>
      </c>
      <c r="I141" s="711" t="s">
        <v>2322</v>
      </c>
      <c r="J141" s="711" t="s">
        <v>806</v>
      </c>
      <c r="K141" s="711" t="s">
        <v>2323</v>
      </c>
      <c r="L141" s="714">
        <v>30.65</v>
      </c>
      <c r="M141" s="714">
        <v>30.65</v>
      </c>
      <c r="N141" s="711">
        <v>1</v>
      </c>
      <c r="O141" s="715">
        <v>0.5</v>
      </c>
      <c r="P141" s="714"/>
      <c r="Q141" s="716">
        <v>0</v>
      </c>
      <c r="R141" s="711"/>
      <c r="S141" s="716">
        <v>0</v>
      </c>
      <c r="T141" s="715"/>
      <c r="U141" s="717">
        <v>0</v>
      </c>
    </row>
    <row r="142" spans="1:21" ht="14.4" customHeight="1" x14ac:dyDescent="0.3">
      <c r="A142" s="710">
        <v>30</v>
      </c>
      <c r="B142" s="711" t="s">
        <v>501</v>
      </c>
      <c r="C142" s="711">
        <v>89301301</v>
      </c>
      <c r="D142" s="712" t="s">
        <v>2659</v>
      </c>
      <c r="E142" s="713" t="s">
        <v>2097</v>
      </c>
      <c r="F142" s="711" t="s">
        <v>2085</v>
      </c>
      <c r="G142" s="711" t="s">
        <v>2324</v>
      </c>
      <c r="H142" s="711" t="s">
        <v>500</v>
      </c>
      <c r="I142" s="711" t="s">
        <v>2325</v>
      </c>
      <c r="J142" s="711" t="s">
        <v>665</v>
      </c>
      <c r="K142" s="711" t="s">
        <v>2326</v>
      </c>
      <c r="L142" s="714">
        <v>0</v>
      </c>
      <c r="M142" s="714">
        <v>0</v>
      </c>
      <c r="N142" s="711">
        <v>1</v>
      </c>
      <c r="O142" s="715">
        <v>0.5</v>
      </c>
      <c r="P142" s="714">
        <v>0</v>
      </c>
      <c r="Q142" s="716"/>
      <c r="R142" s="711">
        <v>1</v>
      </c>
      <c r="S142" s="716">
        <v>1</v>
      </c>
      <c r="T142" s="715">
        <v>0.5</v>
      </c>
      <c r="U142" s="717">
        <v>1</v>
      </c>
    </row>
    <row r="143" spans="1:21" ht="14.4" customHeight="1" x14ac:dyDescent="0.3">
      <c r="A143" s="710">
        <v>30</v>
      </c>
      <c r="B143" s="711" t="s">
        <v>501</v>
      </c>
      <c r="C143" s="711">
        <v>89301301</v>
      </c>
      <c r="D143" s="712" t="s">
        <v>2659</v>
      </c>
      <c r="E143" s="713" t="s">
        <v>2097</v>
      </c>
      <c r="F143" s="711" t="s">
        <v>2085</v>
      </c>
      <c r="G143" s="711" t="s">
        <v>2131</v>
      </c>
      <c r="H143" s="711" t="s">
        <v>500</v>
      </c>
      <c r="I143" s="711" t="s">
        <v>1070</v>
      </c>
      <c r="J143" s="711" t="s">
        <v>2327</v>
      </c>
      <c r="K143" s="711" t="s">
        <v>2328</v>
      </c>
      <c r="L143" s="714">
        <v>50.57</v>
      </c>
      <c r="M143" s="714">
        <v>50.57</v>
      </c>
      <c r="N143" s="711">
        <v>1</v>
      </c>
      <c r="O143" s="715">
        <v>0.5</v>
      </c>
      <c r="P143" s="714"/>
      <c r="Q143" s="716">
        <v>0</v>
      </c>
      <c r="R143" s="711"/>
      <c r="S143" s="716">
        <v>0</v>
      </c>
      <c r="T143" s="715"/>
      <c r="U143" s="717">
        <v>0</v>
      </c>
    </row>
    <row r="144" spans="1:21" ht="14.4" customHeight="1" x14ac:dyDescent="0.3">
      <c r="A144" s="710">
        <v>30</v>
      </c>
      <c r="B144" s="711" t="s">
        <v>501</v>
      </c>
      <c r="C144" s="711">
        <v>89301301</v>
      </c>
      <c r="D144" s="712" t="s">
        <v>2659</v>
      </c>
      <c r="E144" s="713" t="s">
        <v>2097</v>
      </c>
      <c r="F144" s="711" t="s">
        <v>2085</v>
      </c>
      <c r="G144" s="711" t="s">
        <v>2131</v>
      </c>
      <c r="H144" s="711" t="s">
        <v>500</v>
      </c>
      <c r="I144" s="711" t="s">
        <v>2329</v>
      </c>
      <c r="J144" s="711" t="s">
        <v>2327</v>
      </c>
      <c r="K144" s="711" t="s">
        <v>2330</v>
      </c>
      <c r="L144" s="714">
        <v>0</v>
      </c>
      <c r="M144" s="714">
        <v>0</v>
      </c>
      <c r="N144" s="711">
        <v>1</v>
      </c>
      <c r="O144" s="715">
        <v>0.5</v>
      </c>
      <c r="P144" s="714"/>
      <c r="Q144" s="716"/>
      <c r="R144" s="711"/>
      <c r="S144" s="716">
        <v>0</v>
      </c>
      <c r="T144" s="715"/>
      <c r="U144" s="717">
        <v>0</v>
      </c>
    </row>
    <row r="145" spans="1:21" ht="14.4" customHeight="1" x14ac:dyDescent="0.3">
      <c r="A145" s="710">
        <v>30</v>
      </c>
      <c r="B145" s="711" t="s">
        <v>501</v>
      </c>
      <c r="C145" s="711">
        <v>89301301</v>
      </c>
      <c r="D145" s="712" t="s">
        <v>2659</v>
      </c>
      <c r="E145" s="713" t="s">
        <v>2097</v>
      </c>
      <c r="F145" s="711" t="s">
        <v>2085</v>
      </c>
      <c r="G145" s="711" t="s">
        <v>2140</v>
      </c>
      <c r="H145" s="711" t="s">
        <v>500</v>
      </c>
      <c r="I145" s="711" t="s">
        <v>2141</v>
      </c>
      <c r="J145" s="711" t="s">
        <v>1263</v>
      </c>
      <c r="K145" s="711" t="s">
        <v>1264</v>
      </c>
      <c r="L145" s="714">
        <v>98.31</v>
      </c>
      <c r="M145" s="714">
        <v>196.62</v>
      </c>
      <c r="N145" s="711">
        <v>2</v>
      </c>
      <c r="O145" s="715">
        <v>1</v>
      </c>
      <c r="P145" s="714"/>
      <c r="Q145" s="716">
        <v>0</v>
      </c>
      <c r="R145" s="711"/>
      <c r="S145" s="716">
        <v>0</v>
      </c>
      <c r="T145" s="715"/>
      <c r="U145" s="717">
        <v>0</v>
      </c>
    </row>
    <row r="146" spans="1:21" ht="14.4" customHeight="1" x14ac:dyDescent="0.3">
      <c r="A146" s="710">
        <v>30</v>
      </c>
      <c r="B146" s="711" t="s">
        <v>501</v>
      </c>
      <c r="C146" s="711">
        <v>89301301</v>
      </c>
      <c r="D146" s="712" t="s">
        <v>2659</v>
      </c>
      <c r="E146" s="713" t="s">
        <v>2097</v>
      </c>
      <c r="F146" s="711" t="s">
        <v>2085</v>
      </c>
      <c r="G146" s="711" t="s">
        <v>2142</v>
      </c>
      <c r="H146" s="711" t="s">
        <v>500</v>
      </c>
      <c r="I146" s="711" t="s">
        <v>2331</v>
      </c>
      <c r="J146" s="711" t="s">
        <v>719</v>
      </c>
      <c r="K146" s="711" t="s">
        <v>2332</v>
      </c>
      <c r="L146" s="714">
        <v>0</v>
      </c>
      <c r="M146" s="714">
        <v>0</v>
      </c>
      <c r="N146" s="711">
        <v>1</v>
      </c>
      <c r="O146" s="715">
        <v>0.5</v>
      </c>
      <c r="P146" s="714"/>
      <c r="Q146" s="716"/>
      <c r="R146" s="711"/>
      <c r="S146" s="716">
        <v>0</v>
      </c>
      <c r="T146" s="715"/>
      <c r="U146" s="717">
        <v>0</v>
      </c>
    </row>
    <row r="147" spans="1:21" ht="14.4" customHeight="1" x14ac:dyDescent="0.3">
      <c r="A147" s="710">
        <v>30</v>
      </c>
      <c r="B147" s="711" t="s">
        <v>501</v>
      </c>
      <c r="C147" s="711">
        <v>89301301</v>
      </c>
      <c r="D147" s="712" t="s">
        <v>2659</v>
      </c>
      <c r="E147" s="713" t="s">
        <v>2097</v>
      </c>
      <c r="F147" s="711" t="s">
        <v>2085</v>
      </c>
      <c r="G147" s="711" t="s">
        <v>2142</v>
      </c>
      <c r="H147" s="711" t="s">
        <v>500</v>
      </c>
      <c r="I147" s="711" t="s">
        <v>2333</v>
      </c>
      <c r="J147" s="711" t="s">
        <v>2334</v>
      </c>
      <c r="K147" s="711" t="s">
        <v>2335</v>
      </c>
      <c r="L147" s="714">
        <v>60.02</v>
      </c>
      <c r="M147" s="714">
        <v>180.06</v>
      </c>
      <c r="N147" s="711">
        <v>3</v>
      </c>
      <c r="O147" s="715">
        <v>0.5</v>
      </c>
      <c r="P147" s="714"/>
      <c r="Q147" s="716">
        <v>0</v>
      </c>
      <c r="R147" s="711"/>
      <c r="S147" s="716">
        <v>0</v>
      </c>
      <c r="T147" s="715"/>
      <c r="U147" s="717">
        <v>0</v>
      </c>
    </row>
    <row r="148" spans="1:21" ht="14.4" customHeight="1" x14ac:dyDescent="0.3">
      <c r="A148" s="710">
        <v>30</v>
      </c>
      <c r="B148" s="711" t="s">
        <v>501</v>
      </c>
      <c r="C148" s="711">
        <v>89301301</v>
      </c>
      <c r="D148" s="712" t="s">
        <v>2659</v>
      </c>
      <c r="E148" s="713" t="s">
        <v>2097</v>
      </c>
      <c r="F148" s="711" t="s">
        <v>2085</v>
      </c>
      <c r="G148" s="711" t="s">
        <v>2142</v>
      </c>
      <c r="H148" s="711" t="s">
        <v>500</v>
      </c>
      <c r="I148" s="711" t="s">
        <v>2336</v>
      </c>
      <c r="J148" s="711" t="s">
        <v>2337</v>
      </c>
      <c r="K148" s="711" t="s">
        <v>2338</v>
      </c>
      <c r="L148" s="714">
        <v>0</v>
      </c>
      <c r="M148" s="714">
        <v>0</v>
      </c>
      <c r="N148" s="711">
        <v>2</v>
      </c>
      <c r="O148" s="715">
        <v>1</v>
      </c>
      <c r="P148" s="714">
        <v>0</v>
      </c>
      <c r="Q148" s="716"/>
      <c r="R148" s="711">
        <v>1</v>
      </c>
      <c r="S148" s="716">
        <v>0.5</v>
      </c>
      <c r="T148" s="715">
        <v>0.5</v>
      </c>
      <c r="U148" s="717">
        <v>0.5</v>
      </c>
    </row>
    <row r="149" spans="1:21" ht="14.4" customHeight="1" x14ac:dyDescent="0.3">
      <c r="A149" s="710">
        <v>30</v>
      </c>
      <c r="B149" s="711" t="s">
        <v>501</v>
      </c>
      <c r="C149" s="711">
        <v>89301301</v>
      </c>
      <c r="D149" s="712" t="s">
        <v>2659</v>
      </c>
      <c r="E149" s="713" t="s">
        <v>2097</v>
      </c>
      <c r="F149" s="711" t="s">
        <v>2085</v>
      </c>
      <c r="G149" s="711" t="s">
        <v>2145</v>
      </c>
      <c r="H149" s="711" t="s">
        <v>1480</v>
      </c>
      <c r="I149" s="711" t="s">
        <v>1703</v>
      </c>
      <c r="J149" s="711" t="s">
        <v>1518</v>
      </c>
      <c r="K149" s="711" t="s">
        <v>1704</v>
      </c>
      <c r="L149" s="714">
        <v>625.29</v>
      </c>
      <c r="M149" s="714">
        <v>1250.58</v>
      </c>
      <c r="N149" s="711">
        <v>2</v>
      </c>
      <c r="O149" s="715">
        <v>1</v>
      </c>
      <c r="P149" s="714">
        <v>1250.58</v>
      </c>
      <c r="Q149" s="716">
        <v>1</v>
      </c>
      <c r="R149" s="711">
        <v>2</v>
      </c>
      <c r="S149" s="716">
        <v>1</v>
      </c>
      <c r="T149" s="715">
        <v>1</v>
      </c>
      <c r="U149" s="717">
        <v>1</v>
      </c>
    </row>
    <row r="150" spans="1:21" ht="14.4" customHeight="1" x14ac:dyDescent="0.3">
      <c r="A150" s="710">
        <v>30</v>
      </c>
      <c r="B150" s="711" t="s">
        <v>501</v>
      </c>
      <c r="C150" s="711">
        <v>89301301</v>
      </c>
      <c r="D150" s="712" t="s">
        <v>2659</v>
      </c>
      <c r="E150" s="713" t="s">
        <v>2097</v>
      </c>
      <c r="F150" s="711" t="s">
        <v>2085</v>
      </c>
      <c r="G150" s="711" t="s">
        <v>2145</v>
      </c>
      <c r="H150" s="711" t="s">
        <v>1480</v>
      </c>
      <c r="I150" s="711" t="s">
        <v>1517</v>
      </c>
      <c r="J150" s="711" t="s">
        <v>1518</v>
      </c>
      <c r="K150" s="711" t="s">
        <v>1519</v>
      </c>
      <c r="L150" s="714">
        <v>937.93</v>
      </c>
      <c r="M150" s="714">
        <v>1875.86</v>
      </c>
      <c r="N150" s="711">
        <v>2</v>
      </c>
      <c r="O150" s="715">
        <v>0.5</v>
      </c>
      <c r="P150" s="714">
        <v>1875.86</v>
      </c>
      <c r="Q150" s="716">
        <v>1</v>
      </c>
      <c r="R150" s="711">
        <v>2</v>
      </c>
      <c r="S150" s="716">
        <v>1</v>
      </c>
      <c r="T150" s="715">
        <v>0.5</v>
      </c>
      <c r="U150" s="717">
        <v>1</v>
      </c>
    </row>
    <row r="151" spans="1:21" ht="14.4" customHeight="1" x14ac:dyDescent="0.3">
      <c r="A151" s="710">
        <v>30</v>
      </c>
      <c r="B151" s="711" t="s">
        <v>501</v>
      </c>
      <c r="C151" s="711">
        <v>89301301</v>
      </c>
      <c r="D151" s="712" t="s">
        <v>2659</v>
      </c>
      <c r="E151" s="713" t="s">
        <v>2097</v>
      </c>
      <c r="F151" s="711" t="s">
        <v>2085</v>
      </c>
      <c r="G151" s="711" t="s">
        <v>2145</v>
      </c>
      <c r="H151" s="711" t="s">
        <v>1480</v>
      </c>
      <c r="I151" s="711" t="s">
        <v>1521</v>
      </c>
      <c r="J151" s="711" t="s">
        <v>1518</v>
      </c>
      <c r="K151" s="711" t="s">
        <v>1522</v>
      </c>
      <c r="L151" s="714">
        <v>1166.47</v>
      </c>
      <c r="M151" s="714">
        <v>2332.94</v>
      </c>
      <c r="N151" s="711">
        <v>2</v>
      </c>
      <c r="O151" s="715">
        <v>0.5</v>
      </c>
      <c r="P151" s="714"/>
      <c r="Q151" s="716">
        <v>0</v>
      </c>
      <c r="R151" s="711"/>
      <c r="S151" s="716">
        <v>0</v>
      </c>
      <c r="T151" s="715"/>
      <c r="U151" s="717">
        <v>0</v>
      </c>
    </row>
    <row r="152" spans="1:21" ht="14.4" customHeight="1" x14ac:dyDescent="0.3">
      <c r="A152" s="710">
        <v>30</v>
      </c>
      <c r="B152" s="711" t="s">
        <v>501</v>
      </c>
      <c r="C152" s="711">
        <v>89301301</v>
      </c>
      <c r="D152" s="712" t="s">
        <v>2659</v>
      </c>
      <c r="E152" s="713" t="s">
        <v>2097</v>
      </c>
      <c r="F152" s="711" t="s">
        <v>2085</v>
      </c>
      <c r="G152" s="711" t="s">
        <v>2286</v>
      </c>
      <c r="H152" s="711" t="s">
        <v>1480</v>
      </c>
      <c r="I152" s="711" t="s">
        <v>1731</v>
      </c>
      <c r="J152" s="711" t="s">
        <v>1732</v>
      </c>
      <c r="K152" s="711" t="s">
        <v>1497</v>
      </c>
      <c r="L152" s="714">
        <v>41.53</v>
      </c>
      <c r="M152" s="714">
        <v>41.53</v>
      </c>
      <c r="N152" s="711">
        <v>1</v>
      </c>
      <c r="O152" s="715">
        <v>0.5</v>
      </c>
      <c r="P152" s="714"/>
      <c r="Q152" s="716">
        <v>0</v>
      </c>
      <c r="R152" s="711"/>
      <c r="S152" s="716">
        <v>0</v>
      </c>
      <c r="T152" s="715"/>
      <c r="U152" s="717">
        <v>0</v>
      </c>
    </row>
    <row r="153" spans="1:21" ht="14.4" customHeight="1" x14ac:dyDescent="0.3">
      <c r="A153" s="710">
        <v>30</v>
      </c>
      <c r="B153" s="711" t="s">
        <v>501</v>
      </c>
      <c r="C153" s="711">
        <v>89301301</v>
      </c>
      <c r="D153" s="712" t="s">
        <v>2659</v>
      </c>
      <c r="E153" s="713" t="s">
        <v>2097</v>
      </c>
      <c r="F153" s="711" t="s">
        <v>2085</v>
      </c>
      <c r="G153" s="711" t="s">
        <v>2146</v>
      </c>
      <c r="H153" s="711" t="s">
        <v>500</v>
      </c>
      <c r="I153" s="711" t="s">
        <v>2147</v>
      </c>
      <c r="J153" s="711" t="s">
        <v>2148</v>
      </c>
      <c r="K153" s="711" t="s">
        <v>2149</v>
      </c>
      <c r="L153" s="714">
        <v>97.97</v>
      </c>
      <c r="M153" s="714">
        <v>195.94</v>
      </c>
      <c r="N153" s="711">
        <v>2</v>
      </c>
      <c r="O153" s="715">
        <v>1</v>
      </c>
      <c r="P153" s="714"/>
      <c r="Q153" s="716">
        <v>0</v>
      </c>
      <c r="R153" s="711"/>
      <c r="S153" s="716">
        <v>0</v>
      </c>
      <c r="T153" s="715"/>
      <c r="U153" s="717">
        <v>0</v>
      </c>
    </row>
    <row r="154" spans="1:21" ht="14.4" customHeight="1" x14ac:dyDescent="0.3">
      <c r="A154" s="710">
        <v>30</v>
      </c>
      <c r="B154" s="711" t="s">
        <v>501</v>
      </c>
      <c r="C154" s="711">
        <v>89301301</v>
      </c>
      <c r="D154" s="712" t="s">
        <v>2659</v>
      </c>
      <c r="E154" s="713" t="s">
        <v>2097</v>
      </c>
      <c r="F154" s="711" t="s">
        <v>2085</v>
      </c>
      <c r="G154" s="711" t="s">
        <v>2146</v>
      </c>
      <c r="H154" s="711" t="s">
        <v>500</v>
      </c>
      <c r="I154" s="711" t="s">
        <v>2204</v>
      </c>
      <c r="J154" s="711" t="s">
        <v>696</v>
      </c>
      <c r="K154" s="711" t="s">
        <v>2205</v>
      </c>
      <c r="L154" s="714">
        <v>97.97</v>
      </c>
      <c r="M154" s="714">
        <v>97.97</v>
      </c>
      <c r="N154" s="711">
        <v>1</v>
      </c>
      <c r="O154" s="715">
        <v>0.5</v>
      </c>
      <c r="P154" s="714"/>
      <c r="Q154" s="716">
        <v>0</v>
      </c>
      <c r="R154" s="711"/>
      <c r="S154" s="716">
        <v>0</v>
      </c>
      <c r="T154" s="715"/>
      <c r="U154" s="717">
        <v>0</v>
      </c>
    </row>
    <row r="155" spans="1:21" ht="14.4" customHeight="1" x14ac:dyDescent="0.3">
      <c r="A155" s="710">
        <v>30</v>
      </c>
      <c r="B155" s="711" t="s">
        <v>501</v>
      </c>
      <c r="C155" s="711">
        <v>89301301</v>
      </c>
      <c r="D155" s="712" t="s">
        <v>2659</v>
      </c>
      <c r="E155" s="713" t="s">
        <v>2097</v>
      </c>
      <c r="F155" s="711" t="s">
        <v>2085</v>
      </c>
      <c r="G155" s="711" t="s">
        <v>2209</v>
      </c>
      <c r="H155" s="711" t="s">
        <v>1480</v>
      </c>
      <c r="I155" s="711" t="s">
        <v>1543</v>
      </c>
      <c r="J155" s="711" t="s">
        <v>1482</v>
      </c>
      <c r="K155" s="711" t="s">
        <v>1974</v>
      </c>
      <c r="L155" s="714">
        <v>48.98</v>
      </c>
      <c r="M155" s="714">
        <v>48.98</v>
      </c>
      <c r="N155" s="711">
        <v>1</v>
      </c>
      <c r="O155" s="715">
        <v>0.5</v>
      </c>
      <c r="P155" s="714">
        <v>48.98</v>
      </c>
      <c r="Q155" s="716">
        <v>1</v>
      </c>
      <c r="R155" s="711">
        <v>1</v>
      </c>
      <c r="S155" s="716">
        <v>1</v>
      </c>
      <c r="T155" s="715">
        <v>0.5</v>
      </c>
      <c r="U155" s="717">
        <v>1</v>
      </c>
    </row>
    <row r="156" spans="1:21" ht="14.4" customHeight="1" x14ac:dyDescent="0.3">
      <c r="A156" s="710">
        <v>30</v>
      </c>
      <c r="B156" s="711" t="s">
        <v>501</v>
      </c>
      <c r="C156" s="711">
        <v>89301301</v>
      </c>
      <c r="D156" s="712" t="s">
        <v>2659</v>
      </c>
      <c r="E156" s="713" t="s">
        <v>2097</v>
      </c>
      <c r="F156" s="711" t="s">
        <v>2085</v>
      </c>
      <c r="G156" s="711" t="s">
        <v>2209</v>
      </c>
      <c r="H156" s="711" t="s">
        <v>1480</v>
      </c>
      <c r="I156" s="711" t="s">
        <v>2339</v>
      </c>
      <c r="J156" s="711" t="s">
        <v>1547</v>
      </c>
      <c r="K156" s="711" t="s">
        <v>1548</v>
      </c>
      <c r="L156" s="714">
        <v>0</v>
      </c>
      <c r="M156" s="714">
        <v>0</v>
      </c>
      <c r="N156" s="711">
        <v>1</v>
      </c>
      <c r="O156" s="715">
        <v>0.5</v>
      </c>
      <c r="P156" s="714"/>
      <c r="Q156" s="716"/>
      <c r="R156" s="711"/>
      <c r="S156" s="716">
        <v>0</v>
      </c>
      <c r="T156" s="715"/>
      <c r="U156" s="717">
        <v>0</v>
      </c>
    </row>
    <row r="157" spans="1:21" ht="14.4" customHeight="1" x14ac:dyDescent="0.3">
      <c r="A157" s="710">
        <v>30</v>
      </c>
      <c r="B157" s="711" t="s">
        <v>501</v>
      </c>
      <c r="C157" s="711">
        <v>89301301</v>
      </c>
      <c r="D157" s="712" t="s">
        <v>2659</v>
      </c>
      <c r="E157" s="713" t="s">
        <v>2097</v>
      </c>
      <c r="F157" s="711" t="s">
        <v>2085</v>
      </c>
      <c r="G157" s="711" t="s">
        <v>2150</v>
      </c>
      <c r="H157" s="711" t="s">
        <v>500</v>
      </c>
      <c r="I157" s="711" t="s">
        <v>2287</v>
      </c>
      <c r="J157" s="711" t="s">
        <v>2288</v>
      </c>
      <c r="K157" s="711" t="s">
        <v>1538</v>
      </c>
      <c r="L157" s="714">
        <v>67.42</v>
      </c>
      <c r="M157" s="714">
        <v>337.1</v>
      </c>
      <c r="N157" s="711">
        <v>5</v>
      </c>
      <c r="O157" s="715">
        <v>1.5</v>
      </c>
      <c r="P157" s="714">
        <v>134.84</v>
      </c>
      <c r="Q157" s="716">
        <v>0.39999999999999997</v>
      </c>
      <c r="R157" s="711">
        <v>2</v>
      </c>
      <c r="S157" s="716">
        <v>0.4</v>
      </c>
      <c r="T157" s="715">
        <v>1</v>
      </c>
      <c r="U157" s="717">
        <v>0.66666666666666663</v>
      </c>
    </row>
    <row r="158" spans="1:21" ht="14.4" customHeight="1" x14ac:dyDescent="0.3">
      <c r="A158" s="710">
        <v>30</v>
      </c>
      <c r="B158" s="711" t="s">
        <v>501</v>
      </c>
      <c r="C158" s="711">
        <v>89301301</v>
      </c>
      <c r="D158" s="712" t="s">
        <v>2659</v>
      </c>
      <c r="E158" s="713" t="s">
        <v>2097</v>
      </c>
      <c r="F158" s="711" t="s">
        <v>2085</v>
      </c>
      <c r="G158" s="711" t="s">
        <v>2150</v>
      </c>
      <c r="H158" s="711" t="s">
        <v>1480</v>
      </c>
      <c r="I158" s="711" t="s">
        <v>1639</v>
      </c>
      <c r="J158" s="711" t="s">
        <v>1640</v>
      </c>
      <c r="K158" s="711" t="s">
        <v>1641</v>
      </c>
      <c r="L158" s="714">
        <v>67.42</v>
      </c>
      <c r="M158" s="714">
        <v>67.42</v>
      </c>
      <c r="N158" s="711">
        <v>1</v>
      </c>
      <c r="O158" s="715">
        <v>0.5</v>
      </c>
      <c r="P158" s="714"/>
      <c r="Q158" s="716">
        <v>0</v>
      </c>
      <c r="R158" s="711"/>
      <c r="S158" s="716">
        <v>0</v>
      </c>
      <c r="T158" s="715"/>
      <c r="U158" s="717">
        <v>0</v>
      </c>
    </row>
    <row r="159" spans="1:21" ht="14.4" customHeight="1" x14ac:dyDescent="0.3">
      <c r="A159" s="710">
        <v>30</v>
      </c>
      <c r="B159" s="711" t="s">
        <v>501</v>
      </c>
      <c r="C159" s="711">
        <v>89301301</v>
      </c>
      <c r="D159" s="712" t="s">
        <v>2659</v>
      </c>
      <c r="E159" s="713" t="s">
        <v>2097</v>
      </c>
      <c r="F159" s="711" t="s">
        <v>2085</v>
      </c>
      <c r="G159" s="711" t="s">
        <v>2289</v>
      </c>
      <c r="H159" s="711" t="s">
        <v>500</v>
      </c>
      <c r="I159" s="711" t="s">
        <v>956</v>
      </c>
      <c r="J159" s="711" t="s">
        <v>2340</v>
      </c>
      <c r="K159" s="711" t="s">
        <v>958</v>
      </c>
      <c r="L159" s="714">
        <v>101.68</v>
      </c>
      <c r="M159" s="714">
        <v>203.36</v>
      </c>
      <c r="N159" s="711">
        <v>2</v>
      </c>
      <c r="O159" s="715">
        <v>0.5</v>
      </c>
      <c r="P159" s="714"/>
      <c r="Q159" s="716">
        <v>0</v>
      </c>
      <c r="R159" s="711"/>
      <c r="S159" s="716">
        <v>0</v>
      </c>
      <c r="T159" s="715"/>
      <c r="U159" s="717">
        <v>0</v>
      </c>
    </row>
    <row r="160" spans="1:21" ht="14.4" customHeight="1" x14ac:dyDescent="0.3">
      <c r="A160" s="710">
        <v>30</v>
      </c>
      <c r="B160" s="711" t="s">
        <v>501</v>
      </c>
      <c r="C160" s="711">
        <v>89301301</v>
      </c>
      <c r="D160" s="712" t="s">
        <v>2659</v>
      </c>
      <c r="E160" s="713" t="s">
        <v>2097</v>
      </c>
      <c r="F160" s="711" t="s">
        <v>2085</v>
      </c>
      <c r="G160" s="711" t="s">
        <v>2341</v>
      </c>
      <c r="H160" s="711" t="s">
        <v>500</v>
      </c>
      <c r="I160" s="711" t="s">
        <v>2342</v>
      </c>
      <c r="J160" s="711" t="s">
        <v>2343</v>
      </c>
      <c r="K160" s="711" t="s">
        <v>2344</v>
      </c>
      <c r="L160" s="714">
        <v>0</v>
      </c>
      <c r="M160" s="714">
        <v>0</v>
      </c>
      <c r="N160" s="711">
        <v>1</v>
      </c>
      <c r="O160" s="715">
        <v>0.5</v>
      </c>
      <c r="P160" s="714"/>
      <c r="Q160" s="716"/>
      <c r="R160" s="711"/>
      <c r="S160" s="716">
        <v>0</v>
      </c>
      <c r="T160" s="715"/>
      <c r="U160" s="717">
        <v>0</v>
      </c>
    </row>
    <row r="161" spans="1:21" ht="14.4" customHeight="1" x14ac:dyDescent="0.3">
      <c r="A161" s="710">
        <v>30</v>
      </c>
      <c r="B161" s="711" t="s">
        <v>501</v>
      </c>
      <c r="C161" s="711">
        <v>89301301</v>
      </c>
      <c r="D161" s="712" t="s">
        <v>2659</v>
      </c>
      <c r="E161" s="713" t="s">
        <v>2097</v>
      </c>
      <c r="F161" s="711" t="s">
        <v>2085</v>
      </c>
      <c r="G161" s="711" t="s">
        <v>2151</v>
      </c>
      <c r="H161" s="711" t="s">
        <v>1480</v>
      </c>
      <c r="I161" s="711" t="s">
        <v>2345</v>
      </c>
      <c r="J161" s="711" t="s">
        <v>1485</v>
      </c>
      <c r="K161" s="711" t="s">
        <v>2346</v>
      </c>
      <c r="L161" s="714">
        <v>21.92</v>
      </c>
      <c r="M161" s="714">
        <v>21.92</v>
      </c>
      <c r="N161" s="711">
        <v>1</v>
      </c>
      <c r="O161" s="715">
        <v>0.5</v>
      </c>
      <c r="P161" s="714"/>
      <c r="Q161" s="716">
        <v>0</v>
      </c>
      <c r="R161" s="711"/>
      <c r="S161" s="716">
        <v>0</v>
      </c>
      <c r="T161" s="715"/>
      <c r="U161" s="717">
        <v>0</v>
      </c>
    </row>
    <row r="162" spans="1:21" ht="14.4" customHeight="1" x14ac:dyDescent="0.3">
      <c r="A162" s="710">
        <v>30</v>
      </c>
      <c r="B162" s="711" t="s">
        <v>501</v>
      </c>
      <c r="C162" s="711">
        <v>89301301</v>
      </c>
      <c r="D162" s="712" t="s">
        <v>2659</v>
      </c>
      <c r="E162" s="713" t="s">
        <v>2097</v>
      </c>
      <c r="F162" s="711" t="s">
        <v>2085</v>
      </c>
      <c r="G162" s="711" t="s">
        <v>2222</v>
      </c>
      <c r="H162" s="711" t="s">
        <v>500</v>
      </c>
      <c r="I162" s="711" t="s">
        <v>626</v>
      </c>
      <c r="J162" s="711" t="s">
        <v>627</v>
      </c>
      <c r="K162" s="711" t="s">
        <v>2223</v>
      </c>
      <c r="L162" s="714">
        <v>43.99</v>
      </c>
      <c r="M162" s="714">
        <v>131.97</v>
      </c>
      <c r="N162" s="711">
        <v>3</v>
      </c>
      <c r="O162" s="715">
        <v>1.5</v>
      </c>
      <c r="P162" s="714">
        <v>87.98</v>
      </c>
      <c r="Q162" s="716">
        <v>0.66666666666666674</v>
      </c>
      <c r="R162" s="711">
        <v>2</v>
      </c>
      <c r="S162" s="716">
        <v>0.66666666666666663</v>
      </c>
      <c r="T162" s="715">
        <v>1</v>
      </c>
      <c r="U162" s="717">
        <v>0.66666666666666663</v>
      </c>
    </row>
    <row r="163" spans="1:21" ht="14.4" customHeight="1" x14ac:dyDescent="0.3">
      <c r="A163" s="710">
        <v>30</v>
      </c>
      <c r="B163" s="711" t="s">
        <v>501</v>
      </c>
      <c r="C163" s="711">
        <v>89301301</v>
      </c>
      <c r="D163" s="712" t="s">
        <v>2659</v>
      </c>
      <c r="E163" s="713" t="s">
        <v>2097</v>
      </c>
      <c r="F163" s="711" t="s">
        <v>2085</v>
      </c>
      <c r="G163" s="711" t="s">
        <v>2347</v>
      </c>
      <c r="H163" s="711" t="s">
        <v>500</v>
      </c>
      <c r="I163" s="711" t="s">
        <v>1779</v>
      </c>
      <c r="J163" s="711" t="s">
        <v>1780</v>
      </c>
      <c r="K163" s="711" t="s">
        <v>2348</v>
      </c>
      <c r="L163" s="714">
        <v>23.46</v>
      </c>
      <c r="M163" s="714">
        <v>23.46</v>
      </c>
      <c r="N163" s="711">
        <v>1</v>
      </c>
      <c r="O163" s="715">
        <v>1</v>
      </c>
      <c r="P163" s="714"/>
      <c r="Q163" s="716">
        <v>0</v>
      </c>
      <c r="R163" s="711"/>
      <c r="S163" s="716">
        <v>0</v>
      </c>
      <c r="T163" s="715"/>
      <c r="U163" s="717">
        <v>0</v>
      </c>
    </row>
    <row r="164" spans="1:21" ht="14.4" customHeight="1" x14ac:dyDescent="0.3">
      <c r="A164" s="710">
        <v>30</v>
      </c>
      <c r="B164" s="711" t="s">
        <v>501</v>
      </c>
      <c r="C164" s="711">
        <v>89301301</v>
      </c>
      <c r="D164" s="712" t="s">
        <v>2659</v>
      </c>
      <c r="E164" s="713" t="s">
        <v>2097</v>
      </c>
      <c r="F164" s="711" t="s">
        <v>2085</v>
      </c>
      <c r="G164" s="711" t="s">
        <v>2225</v>
      </c>
      <c r="H164" s="711" t="s">
        <v>500</v>
      </c>
      <c r="I164" s="711" t="s">
        <v>710</v>
      </c>
      <c r="J164" s="711" t="s">
        <v>711</v>
      </c>
      <c r="K164" s="711" t="s">
        <v>2297</v>
      </c>
      <c r="L164" s="714">
        <v>110.66</v>
      </c>
      <c r="M164" s="714">
        <v>110.66</v>
      </c>
      <c r="N164" s="711">
        <v>1</v>
      </c>
      <c r="O164" s="715">
        <v>0.5</v>
      </c>
      <c r="P164" s="714"/>
      <c r="Q164" s="716">
        <v>0</v>
      </c>
      <c r="R164" s="711"/>
      <c r="S164" s="716">
        <v>0</v>
      </c>
      <c r="T164" s="715"/>
      <c r="U164" s="717">
        <v>0</v>
      </c>
    </row>
    <row r="165" spans="1:21" ht="14.4" customHeight="1" x14ac:dyDescent="0.3">
      <c r="A165" s="710">
        <v>30</v>
      </c>
      <c r="B165" s="711" t="s">
        <v>501</v>
      </c>
      <c r="C165" s="711">
        <v>89301301</v>
      </c>
      <c r="D165" s="712" t="s">
        <v>2659</v>
      </c>
      <c r="E165" s="713" t="s">
        <v>2097</v>
      </c>
      <c r="F165" s="711" t="s">
        <v>2085</v>
      </c>
      <c r="G165" s="711" t="s">
        <v>2349</v>
      </c>
      <c r="H165" s="711" t="s">
        <v>500</v>
      </c>
      <c r="I165" s="711" t="s">
        <v>2350</v>
      </c>
      <c r="J165" s="711" t="s">
        <v>1114</v>
      </c>
      <c r="K165" s="711" t="s">
        <v>2351</v>
      </c>
      <c r="L165" s="714">
        <v>40.64</v>
      </c>
      <c r="M165" s="714">
        <v>81.28</v>
      </c>
      <c r="N165" s="711">
        <v>2</v>
      </c>
      <c r="O165" s="715">
        <v>1</v>
      </c>
      <c r="P165" s="714"/>
      <c r="Q165" s="716">
        <v>0</v>
      </c>
      <c r="R165" s="711"/>
      <c r="S165" s="716">
        <v>0</v>
      </c>
      <c r="T165" s="715"/>
      <c r="U165" s="717">
        <v>0</v>
      </c>
    </row>
    <row r="166" spans="1:21" ht="14.4" customHeight="1" x14ac:dyDescent="0.3">
      <c r="A166" s="710">
        <v>30</v>
      </c>
      <c r="B166" s="711" t="s">
        <v>501</v>
      </c>
      <c r="C166" s="711">
        <v>89301301</v>
      </c>
      <c r="D166" s="712" t="s">
        <v>2659</v>
      </c>
      <c r="E166" s="713" t="s">
        <v>2097</v>
      </c>
      <c r="F166" s="711" t="s">
        <v>2085</v>
      </c>
      <c r="G166" s="711" t="s">
        <v>2232</v>
      </c>
      <c r="H166" s="711" t="s">
        <v>500</v>
      </c>
      <c r="I166" s="711" t="s">
        <v>1066</v>
      </c>
      <c r="J166" s="711" t="s">
        <v>1067</v>
      </c>
      <c r="K166" s="711" t="s">
        <v>1068</v>
      </c>
      <c r="L166" s="714">
        <v>286.63</v>
      </c>
      <c r="M166" s="714">
        <v>286.63</v>
      </c>
      <c r="N166" s="711">
        <v>1</v>
      </c>
      <c r="O166" s="715">
        <v>0.5</v>
      </c>
      <c r="P166" s="714"/>
      <c r="Q166" s="716">
        <v>0</v>
      </c>
      <c r="R166" s="711"/>
      <c r="S166" s="716">
        <v>0</v>
      </c>
      <c r="T166" s="715"/>
      <c r="U166" s="717">
        <v>0</v>
      </c>
    </row>
    <row r="167" spans="1:21" ht="14.4" customHeight="1" x14ac:dyDescent="0.3">
      <c r="A167" s="710">
        <v>30</v>
      </c>
      <c r="B167" s="711" t="s">
        <v>501</v>
      </c>
      <c r="C167" s="711">
        <v>89301301</v>
      </c>
      <c r="D167" s="712" t="s">
        <v>2659</v>
      </c>
      <c r="E167" s="713" t="s">
        <v>2097</v>
      </c>
      <c r="F167" s="711" t="s">
        <v>2085</v>
      </c>
      <c r="G167" s="711" t="s">
        <v>2233</v>
      </c>
      <c r="H167" s="711" t="s">
        <v>1480</v>
      </c>
      <c r="I167" s="711" t="s">
        <v>2352</v>
      </c>
      <c r="J167" s="711" t="s">
        <v>2353</v>
      </c>
      <c r="K167" s="711" t="s">
        <v>2354</v>
      </c>
      <c r="L167" s="714">
        <v>96.57</v>
      </c>
      <c r="M167" s="714">
        <v>96.57</v>
      </c>
      <c r="N167" s="711">
        <v>1</v>
      </c>
      <c r="O167" s="715">
        <v>0.5</v>
      </c>
      <c r="P167" s="714"/>
      <c r="Q167" s="716">
        <v>0</v>
      </c>
      <c r="R167" s="711"/>
      <c r="S167" s="716">
        <v>0</v>
      </c>
      <c r="T167" s="715"/>
      <c r="U167" s="717">
        <v>0</v>
      </c>
    </row>
    <row r="168" spans="1:21" ht="14.4" customHeight="1" x14ac:dyDescent="0.3">
      <c r="A168" s="710">
        <v>30</v>
      </c>
      <c r="B168" s="711" t="s">
        <v>501</v>
      </c>
      <c r="C168" s="711">
        <v>89301301</v>
      </c>
      <c r="D168" s="712" t="s">
        <v>2659</v>
      </c>
      <c r="E168" s="713" t="s">
        <v>2097</v>
      </c>
      <c r="F168" s="711" t="s">
        <v>2085</v>
      </c>
      <c r="G168" s="711" t="s">
        <v>2233</v>
      </c>
      <c r="H168" s="711" t="s">
        <v>1480</v>
      </c>
      <c r="I168" s="711" t="s">
        <v>1672</v>
      </c>
      <c r="J168" s="711" t="s">
        <v>1987</v>
      </c>
      <c r="K168" s="711" t="s">
        <v>1988</v>
      </c>
      <c r="L168" s="714">
        <v>156.25</v>
      </c>
      <c r="M168" s="714">
        <v>156.25</v>
      </c>
      <c r="N168" s="711">
        <v>1</v>
      </c>
      <c r="O168" s="715">
        <v>0.5</v>
      </c>
      <c r="P168" s="714"/>
      <c r="Q168" s="716">
        <v>0</v>
      </c>
      <c r="R168" s="711"/>
      <c r="S168" s="716">
        <v>0</v>
      </c>
      <c r="T168" s="715"/>
      <c r="U168" s="717">
        <v>0</v>
      </c>
    </row>
    <row r="169" spans="1:21" ht="14.4" customHeight="1" x14ac:dyDescent="0.3">
      <c r="A169" s="710">
        <v>30</v>
      </c>
      <c r="B169" s="711" t="s">
        <v>501</v>
      </c>
      <c r="C169" s="711">
        <v>89301301</v>
      </c>
      <c r="D169" s="712" t="s">
        <v>2659</v>
      </c>
      <c r="E169" s="713" t="s">
        <v>2097</v>
      </c>
      <c r="F169" s="711" t="s">
        <v>2085</v>
      </c>
      <c r="G169" s="711" t="s">
        <v>2234</v>
      </c>
      <c r="H169" s="711" t="s">
        <v>500</v>
      </c>
      <c r="I169" s="711" t="s">
        <v>2355</v>
      </c>
      <c r="J169" s="711" t="s">
        <v>2236</v>
      </c>
      <c r="K169" s="711" t="s">
        <v>2237</v>
      </c>
      <c r="L169" s="714">
        <v>0</v>
      </c>
      <c r="M169" s="714">
        <v>0</v>
      </c>
      <c r="N169" s="711">
        <v>1</v>
      </c>
      <c r="O169" s="715">
        <v>1</v>
      </c>
      <c r="P169" s="714"/>
      <c r="Q169" s="716"/>
      <c r="R169" s="711"/>
      <c r="S169" s="716">
        <v>0</v>
      </c>
      <c r="T169" s="715"/>
      <c r="U169" s="717">
        <v>0</v>
      </c>
    </row>
    <row r="170" spans="1:21" ht="14.4" customHeight="1" x14ac:dyDescent="0.3">
      <c r="A170" s="710">
        <v>30</v>
      </c>
      <c r="B170" s="711" t="s">
        <v>501</v>
      </c>
      <c r="C170" s="711">
        <v>89301301</v>
      </c>
      <c r="D170" s="712" t="s">
        <v>2659</v>
      </c>
      <c r="E170" s="713" t="s">
        <v>2098</v>
      </c>
      <c r="F170" s="711" t="s">
        <v>2085</v>
      </c>
      <c r="G170" s="711" t="s">
        <v>2100</v>
      </c>
      <c r="H170" s="711" t="s">
        <v>1480</v>
      </c>
      <c r="I170" s="711" t="s">
        <v>1612</v>
      </c>
      <c r="J170" s="711" t="s">
        <v>1613</v>
      </c>
      <c r="K170" s="711" t="s">
        <v>1614</v>
      </c>
      <c r="L170" s="714">
        <v>95.25</v>
      </c>
      <c r="M170" s="714">
        <v>95.25</v>
      </c>
      <c r="N170" s="711">
        <v>1</v>
      </c>
      <c r="O170" s="715">
        <v>0.5</v>
      </c>
      <c r="P170" s="714"/>
      <c r="Q170" s="716">
        <v>0</v>
      </c>
      <c r="R170" s="711"/>
      <c r="S170" s="716">
        <v>0</v>
      </c>
      <c r="T170" s="715"/>
      <c r="U170" s="717">
        <v>0</v>
      </c>
    </row>
    <row r="171" spans="1:21" ht="14.4" customHeight="1" x14ac:dyDescent="0.3">
      <c r="A171" s="710">
        <v>30</v>
      </c>
      <c r="B171" s="711" t="s">
        <v>501</v>
      </c>
      <c r="C171" s="711">
        <v>89301301</v>
      </c>
      <c r="D171" s="712" t="s">
        <v>2659</v>
      </c>
      <c r="E171" s="713" t="s">
        <v>2098</v>
      </c>
      <c r="F171" s="711" t="s">
        <v>2085</v>
      </c>
      <c r="G171" s="711" t="s">
        <v>2242</v>
      </c>
      <c r="H171" s="711" t="s">
        <v>1480</v>
      </c>
      <c r="I171" s="711" t="s">
        <v>1499</v>
      </c>
      <c r="J171" s="711" t="s">
        <v>1500</v>
      </c>
      <c r="K171" s="711" t="s">
        <v>1995</v>
      </c>
      <c r="L171" s="714">
        <v>75.28</v>
      </c>
      <c r="M171" s="714">
        <v>75.28</v>
      </c>
      <c r="N171" s="711">
        <v>1</v>
      </c>
      <c r="O171" s="715">
        <v>0.5</v>
      </c>
      <c r="P171" s="714"/>
      <c r="Q171" s="716">
        <v>0</v>
      </c>
      <c r="R171" s="711"/>
      <c r="S171" s="716">
        <v>0</v>
      </c>
      <c r="T171" s="715"/>
      <c r="U171" s="717">
        <v>0</v>
      </c>
    </row>
    <row r="172" spans="1:21" ht="14.4" customHeight="1" x14ac:dyDescent="0.3">
      <c r="A172" s="710">
        <v>30</v>
      </c>
      <c r="B172" s="711" t="s">
        <v>501</v>
      </c>
      <c r="C172" s="711">
        <v>89301301</v>
      </c>
      <c r="D172" s="712" t="s">
        <v>2659</v>
      </c>
      <c r="E172" s="713" t="s">
        <v>2098</v>
      </c>
      <c r="F172" s="711" t="s">
        <v>2085</v>
      </c>
      <c r="G172" s="711" t="s">
        <v>2104</v>
      </c>
      <c r="H172" s="711" t="s">
        <v>1480</v>
      </c>
      <c r="I172" s="711" t="s">
        <v>2105</v>
      </c>
      <c r="J172" s="711" t="s">
        <v>1630</v>
      </c>
      <c r="K172" s="711" t="s">
        <v>1497</v>
      </c>
      <c r="L172" s="714">
        <v>81.209999999999994</v>
      </c>
      <c r="M172" s="714">
        <v>81.209999999999994</v>
      </c>
      <c r="N172" s="711">
        <v>1</v>
      </c>
      <c r="O172" s="715">
        <v>0.5</v>
      </c>
      <c r="P172" s="714"/>
      <c r="Q172" s="716">
        <v>0</v>
      </c>
      <c r="R172" s="711"/>
      <c r="S172" s="716">
        <v>0</v>
      </c>
      <c r="T172" s="715"/>
      <c r="U172" s="717">
        <v>0</v>
      </c>
    </row>
    <row r="173" spans="1:21" ht="14.4" customHeight="1" x14ac:dyDescent="0.3">
      <c r="A173" s="710">
        <v>30</v>
      </c>
      <c r="B173" s="711" t="s">
        <v>501</v>
      </c>
      <c r="C173" s="711">
        <v>89301301</v>
      </c>
      <c r="D173" s="712" t="s">
        <v>2659</v>
      </c>
      <c r="E173" s="713" t="s">
        <v>2098</v>
      </c>
      <c r="F173" s="711" t="s">
        <v>2085</v>
      </c>
      <c r="G173" s="711" t="s">
        <v>2106</v>
      </c>
      <c r="H173" s="711" t="s">
        <v>1480</v>
      </c>
      <c r="I173" s="711" t="s">
        <v>1590</v>
      </c>
      <c r="J173" s="711" t="s">
        <v>1690</v>
      </c>
      <c r="K173" s="711" t="s">
        <v>818</v>
      </c>
      <c r="L173" s="714">
        <v>65.3</v>
      </c>
      <c r="M173" s="714">
        <v>130.6</v>
      </c>
      <c r="N173" s="711">
        <v>2</v>
      </c>
      <c r="O173" s="715">
        <v>1</v>
      </c>
      <c r="P173" s="714">
        <v>65.3</v>
      </c>
      <c r="Q173" s="716">
        <v>0.5</v>
      </c>
      <c r="R173" s="711">
        <v>1</v>
      </c>
      <c r="S173" s="716">
        <v>0.5</v>
      </c>
      <c r="T173" s="715">
        <v>0.5</v>
      </c>
      <c r="U173" s="717">
        <v>0.5</v>
      </c>
    </row>
    <row r="174" spans="1:21" ht="14.4" customHeight="1" x14ac:dyDescent="0.3">
      <c r="A174" s="710">
        <v>30</v>
      </c>
      <c r="B174" s="711" t="s">
        <v>501</v>
      </c>
      <c r="C174" s="711">
        <v>89301301</v>
      </c>
      <c r="D174" s="712" t="s">
        <v>2659</v>
      </c>
      <c r="E174" s="713" t="s">
        <v>2098</v>
      </c>
      <c r="F174" s="711" t="s">
        <v>2085</v>
      </c>
      <c r="G174" s="711" t="s">
        <v>2172</v>
      </c>
      <c r="H174" s="711" t="s">
        <v>1480</v>
      </c>
      <c r="I174" s="711" t="s">
        <v>1123</v>
      </c>
      <c r="J174" s="711" t="s">
        <v>1675</v>
      </c>
      <c r="K174" s="711" t="s">
        <v>1676</v>
      </c>
      <c r="L174" s="714">
        <v>137.6</v>
      </c>
      <c r="M174" s="714">
        <v>137.6</v>
      </c>
      <c r="N174" s="711">
        <v>1</v>
      </c>
      <c r="O174" s="715">
        <v>0.5</v>
      </c>
      <c r="P174" s="714">
        <v>137.6</v>
      </c>
      <c r="Q174" s="716">
        <v>1</v>
      </c>
      <c r="R174" s="711">
        <v>1</v>
      </c>
      <c r="S174" s="716">
        <v>1</v>
      </c>
      <c r="T174" s="715">
        <v>0.5</v>
      </c>
      <c r="U174" s="717">
        <v>1</v>
      </c>
    </row>
    <row r="175" spans="1:21" ht="14.4" customHeight="1" x14ac:dyDescent="0.3">
      <c r="A175" s="710">
        <v>30</v>
      </c>
      <c r="B175" s="711" t="s">
        <v>501</v>
      </c>
      <c r="C175" s="711">
        <v>89301301</v>
      </c>
      <c r="D175" s="712" t="s">
        <v>2659</v>
      </c>
      <c r="E175" s="713" t="s">
        <v>2098</v>
      </c>
      <c r="F175" s="711" t="s">
        <v>2085</v>
      </c>
      <c r="G175" s="711" t="s">
        <v>2244</v>
      </c>
      <c r="H175" s="711" t="s">
        <v>500</v>
      </c>
      <c r="I175" s="711" t="s">
        <v>2356</v>
      </c>
      <c r="J175" s="711" t="s">
        <v>2357</v>
      </c>
      <c r="K175" s="711" t="s">
        <v>2358</v>
      </c>
      <c r="L175" s="714">
        <v>31.43</v>
      </c>
      <c r="M175" s="714">
        <v>31.43</v>
      </c>
      <c r="N175" s="711">
        <v>1</v>
      </c>
      <c r="O175" s="715">
        <v>0.5</v>
      </c>
      <c r="P175" s="714">
        <v>31.43</v>
      </c>
      <c r="Q175" s="716">
        <v>1</v>
      </c>
      <c r="R175" s="711">
        <v>1</v>
      </c>
      <c r="S175" s="716">
        <v>1</v>
      </c>
      <c r="T175" s="715">
        <v>0.5</v>
      </c>
      <c r="U175" s="717">
        <v>1</v>
      </c>
    </row>
    <row r="176" spans="1:21" ht="14.4" customHeight="1" x14ac:dyDescent="0.3">
      <c r="A176" s="710">
        <v>30</v>
      </c>
      <c r="B176" s="711" t="s">
        <v>501</v>
      </c>
      <c r="C176" s="711">
        <v>89301301</v>
      </c>
      <c r="D176" s="712" t="s">
        <v>2659</v>
      </c>
      <c r="E176" s="713" t="s">
        <v>2098</v>
      </c>
      <c r="F176" s="711" t="s">
        <v>2085</v>
      </c>
      <c r="G176" s="711" t="s">
        <v>2244</v>
      </c>
      <c r="H176" s="711" t="s">
        <v>1480</v>
      </c>
      <c r="I176" s="711" t="s">
        <v>1536</v>
      </c>
      <c r="J176" s="711" t="s">
        <v>1537</v>
      </c>
      <c r="K176" s="711" t="s">
        <v>1538</v>
      </c>
      <c r="L176" s="714">
        <v>44.89</v>
      </c>
      <c r="M176" s="714">
        <v>44.89</v>
      </c>
      <c r="N176" s="711">
        <v>1</v>
      </c>
      <c r="O176" s="715">
        <v>0.5</v>
      </c>
      <c r="P176" s="714"/>
      <c r="Q176" s="716">
        <v>0</v>
      </c>
      <c r="R176" s="711"/>
      <c r="S176" s="716">
        <v>0</v>
      </c>
      <c r="T176" s="715"/>
      <c r="U176" s="717">
        <v>0</v>
      </c>
    </row>
    <row r="177" spans="1:21" ht="14.4" customHeight="1" x14ac:dyDescent="0.3">
      <c r="A177" s="710">
        <v>30</v>
      </c>
      <c r="B177" s="711" t="s">
        <v>501</v>
      </c>
      <c r="C177" s="711">
        <v>89301301</v>
      </c>
      <c r="D177" s="712" t="s">
        <v>2659</v>
      </c>
      <c r="E177" s="713" t="s">
        <v>2098</v>
      </c>
      <c r="F177" s="711" t="s">
        <v>2085</v>
      </c>
      <c r="G177" s="711" t="s">
        <v>2359</v>
      </c>
      <c r="H177" s="711" t="s">
        <v>1480</v>
      </c>
      <c r="I177" s="711" t="s">
        <v>1654</v>
      </c>
      <c r="J177" s="711" t="s">
        <v>1655</v>
      </c>
      <c r="K177" s="711" t="s">
        <v>1656</v>
      </c>
      <c r="L177" s="714">
        <v>1027.5999999999999</v>
      </c>
      <c r="M177" s="714">
        <v>1027.5999999999999</v>
      </c>
      <c r="N177" s="711">
        <v>1</v>
      </c>
      <c r="O177" s="715">
        <v>1</v>
      </c>
      <c r="P177" s="714">
        <v>1027.5999999999999</v>
      </c>
      <c r="Q177" s="716">
        <v>1</v>
      </c>
      <c r="R177" s="711">
        <v>1</v>
      </c>
      <c r="S177" s="716">
        <v>1</v>
      </c>
      <c r="T177" s="715">
        <v>1</v>
      </c>
      <c r="U177" s="717">
        <v>1</v>
      </c>
    </row>
    <row r="178" spans="1:21" ht="14.4" customHeight="1" x14ac:dyDescent="0.3">
      <c r="A178" s="710">
        <v>30</v>
      </c>
      <c r="B178" s="711" t="s">
        <v>501</v>
      </c>
      <c r="C178" s="711">
        <v>89301301</v>
      </c>
      <c r="D178" s="712" t="s">
        <v>2659</v>
      </c>
      <c r="E178" s="713" t="s">
        <v>2098</v>
      </c>
      <c r="F178" s="711" t="s">
        <v>2085</v>
      </c>
      <c r="G178" s="711" t="s">
        <v>2360</v>
      </c>
      <c r="H178" s="711" t="s">
        <v>500</v>
      </c>
      <c r="I178" s="711" t="s">
        <v>1116</v>
      </c>
      <c r="J178" s="711" t="s">
        <v>1117</v>
      </c>
      <c r="K178" s="711" t="s">
        <v>1118</v>
      </c>
      <c r="L178" s="714">
        <v>44.89</v>
      </c>
      <c r="M178" s="714">
        <v>44.89</v>
      </c>
      <c r="N178" s="711">
        <v>1</v>
      </c>
      <c r="O178" s="715">
        <v>0.5</v>
      </c>
      <c r="P178" s="714"/>
      <c r="Q178" s="716">
        <v>0</v>
      </c>
      <c r="R178" s="711"/>
      <c r="S178" s="716">
        <v>0</v>
      </c>
      <c r="T178" s="715"/>
      <c r="U178" s="717">
        <v>0</v>
      </c>
    </row>
    <row r="179" spans="1:21" ht="14.4" customHeight="1" x14ac:dyDescent="0.3">
      <c r="A179" s="710">
        <v>30</v>
      </c>
      <c r="B179" s="711" t="s">
        <v>501</v>
      </c>
      <c r="C179" s="711">
        <v>89301301</v>
      </c>
      <c r="D179" s="712" t="s">
        <v>2659</v>
      </c>
      <c r="E179" s="713" t="s">
        <v>2098</v>
      </c>
      <c r="F179" s="711" t="s">
        <v>2085</v>
      </c>
      <c r="G179" s="711" t="s">
        <v>2314</v>
      </c>
      <c r="H179" s="711" t="s">
        <v>500</v>
      </c>
      <c r="I179" s="711" t="s">
        <v>832</v>
      </c>
      <c r="J179" s="711" t="s">
        <v>2315</v>
      </c>
      <c r="K179" s="711" t="s">
        <v>2316</v>
      </c>
      <c r="L179" s="714">
        <v>36.89</v>
      </c>
      <c r="M179" s="714">
        <v>36.89</v>
      </c>
      <c r="N179" s="711">
        <v>1</v>
      </c>
      <c r="O179" s="715">
        <v>0.5</v>
      </c>
      <c r="P179" s="714"/>
      <c r="Q179" s="716">
        <v>0</v>
      </c>
      <c r="R179" s="711"/>
      <c r="S179" s="716">
        <v>0</v>
      </c>
      <c r="T179" s="715"/>
      <c r="U179" s="717">
        <v>0</v>
      </c>
    </row>
    <row r="180" spans="1:21" ht="14.4" customHeight="1" x14ac:dyDescent="0.3">
      <c r="A180" s="710">
        <v>30</v>
      </c>
      <c r="B180" s="711" t="s">
        <v>501</v>
      </c>
      <c r="C180" s="711">
        <v>89301301</v>
      </c>
      <c r="D180" s="712" t="s">
        <v>2659</v>
      </c>
      <c r="E180" s="713" t="s">
        <v>2098</v>
      </c>
      <c r="F180" s="711" t="s">
        <v>2085</v>
      </c>
      <c r="G180" s="711" t="s">
        <v>2248</v>
      </c>
      <c r="H180" s="711" t="s">
        <v>500</v>
      </c>
      <c r="I180" s="711" t="s">
        <v>668</v>
      </c>
      <c r="J180" s="711" t="s">
        <v>669</v>
      </c>
      <c r="K180" s="711" t="s">
        <v>1984</v>
      </c>
      <c r="L180" s="714">
        <v>115.3</v>
      </c>
      <c r="M180" s="714">
        <v>230.6</v>
      </c>
      <c r="N180" s="711">
        <v>2</v>
      </c>
      <c r="O180" s="715">
        <v>1</v>
      </c>
      <c r="P180" s="714">
        <v>115.3</v>
      </c>
      <c r="Q180" s="716">
        <v>0.5</v>
      </c>
      <c r="R180" s="711">
        <v>1</v>
      </c>
      <c r="S180" s="716">
        <v>0.5</v>
      </c>
      <c r="T180" s="715">
        <v>0.5</v>
      </c>
      <c r="U180" s="717">
        <v>0.5</v>
      </c>
    </row>
    <row r="181" spans="1:21" ht="14.4" customHeight="1" x14ac:dyDescent="0.3">
      <c r="A181" s="710">
        <v>30</v>
      </c>
      <c r="B181" s="711" t="s">
        <v>501</v>
      </c>
      <c r="C181" s="711">
        <v>89301301</v>
      </c>
      <c r="D181" s="712" t="s">
        <v>2659</v>
      </c>
      <c r="E181" s="713" t="s">
        <v>2098</v>
      </c>
      <c r="F181" s="711" t="s">
        <v>2085</v>
      </c>
      <c r="G181" s="711" t="s">
        <v>2248</v>
      </c>
      <c r="H181" s="711" t="s">
        <v>500</v>
      </c>
      <c r="I181" s="711" t="s">
        <v>910</v>
      </c>
      <c r="J181" s="711" t="s">
        <v>669</v>
      </c>
      <c r="K181" s="711" t="s">
        <v>2249</v>
      </c>
      <c r="L181" s="714">
        <v>57.65</v>
      </c>
      <c r="M181" s="714">
        <v>57.65</v>
      </c>
      <c r="N181" s="711">
        <v>1</v>
      </c>
      <c r="O181" s="715">
        <v>0.5</v>
      </c>
      <c r="P181" s="714">
        <v>57.65</v>
      </c>
      <c r="Q181" s="716">
        <v>1</v>
      </c>
      <c r="R181" s="711">
        <v>1</v>
      </c>
      <c r="S181" s="716">
        <v>1</v>
      </c>
      <c r="T181" s="715">
        <v>0.5</v>
      </c>
      <c r="U181" s="717">
        <v>1</v>
      </c>
    </row>
    <row r="182" spans="1:21" ht="14.4" customHeight="1" x14ac:dyDescent="0.3">
      <c r="A182" s="710">
        <v>30</v>
      </c>
      <c r="B182" s="711" t="s">
        <v>501</v>
      </c>
      <c r="C182" s="711">
        <v>89301301</v>
      </c>
      <c r="D182" s="712" t="s">
        <v>2659</v>
      </c>
      <c r="E182" s="713" t="s">
        <v>2098</v>
      </c>
      <c r="F182" s="711" t="s">
        <v>2085</v>
      </c>
      <c r="G182" s="711" t="s">
        <v>2361</v>
      </c>
      <c r="H182" s="711" t="s">
        <v>500</v>
      </c>
      <c r="I182" s="711" t="s">
        <v>2362</v>
      </c>
      <c r="J182" s="711" t="s">
        <v>2363</v>
      </c>
      <c r="K182" s="711" t="s">
        <v>2364</v>
      </c>
      <c r="L182" s="714">
        <v>107.34</v>
      </c>
      <c r="M182" s="714">
        <v>107.34</v>
      </c>
      <c r="N182" s="711">
        <v>1</v>
      </c>
      <c r="O182" s="715">
        <v>0.5</v>
      </c>
      <c r="P182" s="714">
        <v>107.34</v>
      </c>
      <c r="Q182" s="716">
        <v>1</v>
      </c>
      <c r="R182" s="711">
        <v>1</v>
      </c>
      <c r="S182" s="716">
        <v>1</v>
      </c>
      <c r="T182" s="715">
        <v>0.5</v>
      </c>
      <c r="U182" s="717">
        <v>1</v>
      </c>
    </row>
    <row r="183" spans="1:21" ht="14.4" customHeight="1" x14ac:dyDescent="0.3">
      <c r="A183" s="710">
        <v>30</v>
      </c>
      <c r="B183" s="711" t="s">
        <v>501</v>
      </c>
      <c r="C183" s="711">
        <v>89301301</v>
      </c>
      <c r="D183" s="712" t="s">
        <v>2659</v>
      </c>
      <c r="E183" s="713" t="s">
        <v>2098</v>
      </c>
      <c r="F183" s="711" t="s">
        <v>2085</v>
      </c>
      <c r="G183" s="711" t="s">
        <v>2178</v>
      </c>
      <c r="H183" s="711" t="s">
        <v>500</v>
      </c>
      <c r="I183" s="711" t="s">
        <v>2365</v>
      </c>
      <c r="J183" s="711" t="s">
        <v>2366</v>
      </c>
      <c r="K183" s="711" t="s">
        <v>2277</v>
      </c>
      <c r="L183" s="714">
        <v>205.5</v>
      </c>
      <c r="M183" s="714">
        <v>205.5</v>
      </c>
      <c r="N183" s="711">
        <v>1</v>
      </c>
      <c r="O183" s="715">
        <v>0.5</v>
      </c>
      <c r="P183" s="714"/>
      <c r="Q183" s="716">
        <v>0</v>
      </c>
      <c r="R183" s="711"/>
      <c r="S183" s="716">
        <v>0</v>
      </c>
      <c r="T183" s="715"/>
      <c r="U183" s="717">
        <v>0</v>
      </c>
    </row>
    <row r="184" spans="1:21" ht="14.4" customHeight="1" x14ac:dyDescent="0.3">
      <c r="A184" s="710">
        <v>30</v>
      </c>
      <c r="B184" s="711" t="s">
        <v>501</v>
      </c>
      <c r="C184" s="711">
        <v>89301301</v>
      </c>
      <c r="D184" s="712" t="s">
        <v>2659</v>
      </c>
      <c r="E184" s="713" t="s">
        <v>2098</v>
      </c>
      <c r="F184" s="711" t="s">
        <v>2085</v>
      </c>
      <c r="G184" s="711" t="s">
        <v>2178</v>
      </c>
      <c r="H184" s="711" t="s">
        <v>500</v>
      </c>
      <c r="I184" s="711" t="s">
        <v>913</v>
      </c>
      <c r="J184" s="711" t="s">
        <v>2179</v>
      </c>
      <c r="K184" s="711" t="s">
        <v>2180</v>
      </c>
      <c r="L184" s="714">
        <v>66.599999999999994</v>
      </c>
      <c r="M184" s="714">
        <v>66.599999999999994</v>
      </c>
      <c r="N184" s="711">
        <v>1</v>
      </c>
      <c r="O184" s="715">
        <v>0.5</v>
      </c>
      <c r="P184" s="714"/>
      <c r="Q184" s="716">
        <v>0</v>
      </c>
      <c r="R184" s="711"/>
      <c r="S184" s="716">
        <v>0</v>
      </c>
      <c r="T184" s="715"/>
      <c r="U184" s="717">
        <v>0</v>
      </c>
    </row>
    <row r="185" spans="1:21" ht="14.4" customHeight="1" x14ac:dyDescent="0.3">
      <c r="A185" s="710">
        <v>30</v>
      </c>
      <c r="B185" s="711" t="s">
        <v>501</v>
      </c>
      <c r="C185" s="711">
        <v>89301301</v>
      </c>
      <c r="D185" s="712" t="s">
        <v>2659</v>
      </c>
      <c r="E185" s="713" t="s">
        <v>2098</v>
      </c>
      <c r="F185" s="711" t="s">
        <v>2085</v>
      </c>
      <c r="G185" s="711" t="s">
        <v>2367</v>
      </c>
      <c r="H185" s="711" t="s">
        <v>1480</v>
      </c>
      <c r="I185" s="711" t="s">
        <v>1622</v>
      </c>
      <c r="J185" s="711" t="s">
        <v>1623</v>
      </c>
      <c r="K185" s="711" t="s">
        <v>1624</v>
      </c>
      <c r="L185" s="714">
        <v>49.22</v>
      </c>
      <c r="M185" s="714">
        <v>49.22</v>
      </c>
      <c r="N185" s="711">
        <v>1</v>
      </c>
      <c r="O185" s="715">
        <v>0.5</v>
      </c>
      <c r="P185" s="714"/>
      <c r="Q185" s="716">
        <v>0</v>
      </c>
      <c r="R185" s="711"/>
      <c r="S185" s="716">
        <v>0</v>
      </c>
      <c r="T185" s="715"/>
      <c r="U185" s="717">
        <v>0</v>
      </c>
    </row>
    <row r="186" spans="1:21" ht="14.4" customHeight="1" x14ac:dyDescent="0.3">
      <c r="A186" s="710">
        <v>30</v>
      </c>
      <c r="B186" s="711" t="s">
        <v>501</v>
      </c>
      <c r="C186" s="711">
        <v>89301301</v>
      </c>
      <c r="D186" s="712" t="s">
        <v>2659</v>
      </c>
      <c r="E186" s="713" t="s">
        <v>2098</v>
      </c>
      <c r="F186" s="711" t="s">
        <v>2085</v>
      </c>
      <c r="G186" s="711" t="s">
        <v>2257</v>
      </c>
      <c r="H186" s="711" t="s">
        <v>500</v>
      </c>
      <c r="I186" s="711" t="s">
        <v>2258</v>
      </c>
      <c r="J186" s="711" t="s">
        <v>2259</v>
      </c>
      <c r="K186" s="711" t="s">
        <v>2260</v>
      </c>
      <c r="L186" s="714">
        <v>0</v>
      </c>
      <c r="M186" s="714">
        <v>0</v>
      </c>
      <c r="N186" s="711">
        <v>1</v>
      </c>
      <c r="O186" s="715">
        <v>0.5</v>
      </c>
      <c r="P186" s="714"/>
      <c r="Q186" s="716"/>
      <c r="R186" s="711"/>
      <c r="S186" s="716">
        <v>0</v>
      </c>
      <c r="T186" s="715"/>
      <c r="U186" s="717">
        <v>0</v>
      </c>
    </row>
    <row r="187" spans="1:21" ht="14.4" customHeight="1" x14ac:dyDescent="0.3">
      <c r="A187" s="710">
        <v>30</v>
      </c>
      <c r="B187" s="711" t="s">
        <v>501</v>
      </c>
      <c r="C187" s="711">
        <v>89301301</v>
      </c>
      <c r="D187" s="712" t="s">
        <v>2659</v>
      </c>
      <c r="E187" s="713" t="s">
        <v>2098</v>
      </c>
      <c r="F187" s="711" t="s">
        <v>2085</v>
      </c>
      <c r="G187" s="711" t="s">
        <v>2257</v>
      </c>
      <c r="H187" s="711" t="s">
        <v>500</v>
      </c>
      <c r="I187" s="711" t="s">
        <v>2368</v>
      </c>
      <c r="J187" s="711" t="s">
        <v>2259</v>
      </c>
      <c r="K187" s="711" t="s">
        <v>2369</v>
      </c>
      <c r="L187" s="714">
        <v>40.36</v>
      </c>
      <c r="M187" s="714">
        <v>40.36</v>
      </c>
      <c r="N187" s="711">
        <v>1</v>
      </c>
      <c r="O187" s="715">
        <v>0.5</v>
      </c>
      <c r="P187" s="714">
        <v>40.36</v>
      </c>
      <c r="Q187" s="716">
        <v>1</v>
      </c>
      <c r="R187" s="711">
        <v>1</v>
      </c>
      <c r="S187" s="716">
        <v>1</v>
      </c>
      <c r="T187" s="715">
        <v>0.5</v>
      </c>
      <c r="U187" s="717">
        <v>1</v>
      </c>
    </row>
    <row r="188" spans="1:21" ht="14.4" customHeight="1" x14ac:dyDescent="0.3">
      <c r="A188" s="710">
        <v>30</v>
      </c>
      <c r="B188" s="711" t="s">
        <v>501</v>
      </c>
      <c r="C188" s="711">
        <v>89301301</v>
      </c>
      <c r="D188" s="712" t="s">
        <v>2659</v>
      </c>
      <c r="E188" s="713" t="s">
        <v>2098</v>
      </c>
      <c r="F188" s="711" t="s">
        <v>2085</v>
      </c>
      <c r="G188" s="711" t="s">
        <v>2187</v>
      </c>
      <c r="H188" s="711" t="s">
        <v>500</v>
      </c>
      <c r="I188" s="711" t="s">
        <v>1287</v>
      </c>
      <c r="J188" s="711" t="s">
        <v>1288</v>
      </c>
      <c r="K188" s="711" t="s">
        <v>2188</v>
      </c>
      <c r="L188" s="714">
        <v>23.72</v>
      </c>
      <c r="M188" s="714">
        <v>71.16</v>
      </c>
      <c r="N188" s="711">
        <v>3</v>
      </c>
      <c r="O188" s="715">
        <v>1.5</v>
      </c>
      <c r="P188" s="714">
        <v>23.72</v>
      </c>
      <c r="Q188" s="716">
        <v>0.33333333333333331</v>
      </c>
      <c r="R188" s="711">
        <v>1</v>
      </c>
      <c r="S188" s="716">
        <v>0.33333333333333331</v>
      </c>
      <c r="T188" s="715">
        <v>0.5</v>
      </c>
      <c r="U188" s="717">
        <v>0.33333333333333331</v>
      </c>
    </row>
    <row r="189" spans="1:21" ht="14.4" customHeight="1" x14ac:dyDescent="0.3">
      <c r="A189" s="710">
        <v>30</v>
      </c>
      <c r="B189" s="711" t="s">
        <v>501</v>
      </c>
      <c r="C189" s="711">
        <v>89301301</v>
      </c>
      <c r="D189" s="712" t="s">
        <v>2659</v>
      </c>
      <c r="E189" s="713" t="s">
        <v>2098</v>
      </c>
      <c r="F189" s="711" t="s">
        <v>2085</v>
      </c>
      <c r="G189" s="711" t="s">
        <v>2370</v>
      </c>
      <c r="H189" s="711" t="s">
        <v>500</v>
      </c>
      <c r="I189" s="711" t="s">
        <v>2371</v>
      </c>
      <c r="J189" s="711" t="s">
        <v>2372</v>
      </c>
      <c r="K189" s="711" t="s">
        <v>2116</v>
      </c>
      <c r="L189" s="714">
        <v>26.17</v>
      </c>
      <c r="M189" s="714">
        <v>26.17</v>
      </c>
      <c r="N189" s="711">
        <v>1</v>
      </c>
      <c r="O189" s="715">
        <v>1</v>
      </c>
      <c r="P189" s="714"/>
      <c r="Q189" s="716">
        <v>0</v>
      </c>
      <c r="R189" s="711"/>
      <c r="S189" s="716">
        <v>0</v>
      </c>
      <c r="T189" s="715"/>
      <c r="U189" s="717">
        <v>0</v>
      </c>
    </row>
    <row r="190" spans="1:21" ht="14.4" customHeight="1" x14ac:dyDescent="0.3">
      <c r="A190" s="710">
        <v>30</v>
      </c>
      <c r="B190" s="711" t="s">
        <v>501</v>
      </c>
      <c r="C190" s="711">
        <v>89301301</v>
      </c>
      <c r="D190" s="712" t="s">
        <v>2659</v>
      </c>
      <c r="E190" s="713" t="s">
        <v>2098</v>
      </c>
      <c r="F190" s="711" t="s">
        <v>2085</v>
      </c>
      <c r="G190" s="711" t="s">
        <v>2373</v>
      </c>
      <c r="H190" s="711" t="s">
        <v>500</v>
      </c>
      <c r="I190" s="711" t="s">
        <v>2374</v>
      </c>
      <c r="J190" s="711" t="s">
        <v>1371</v>
      </c>
      <c r="K190" s="711" t="s">
        <v>2375</v>
      </c>
      <c r="L190" s="714">
        <v>0</v>
      </c>
      <c r="M190" s="714">
        <v>0</v>
      </c>
      <c r="N190" s="711">
        <v>1</v>
      </c>
      <c r="O190" s="715">
        <v>1</v>
      </c>
      <c r="P190" s="714"/>
      <c r="Q190" s="716"/>
      <c r="R190" s="711"/>
      <c r="S190" s="716">
        <v>0</v>
      </c>
      <c r="T190" s="715"/>
      <c r="U190" s="717">
        <v>0</v>
      </c>
    </row>
    <row r="191" spans="1:21" ht="14.4" customHeight="1" x14ac:dyDescent="0.3">
      <c r="A191" s="710">
        <v>30</v>
      </c>
      <c r="B191" s="711" t="s">
        <v>501</v>
      </c>
      <c r="C191" s="711">
        <v>89301301</v>
      </c>
      <c r="D191" s="712" t="s">
        <v>2659</v>
      </c>
      <c r="E191" s="713" t="s">
        <v>2098</v>
      </c>
      <c r="F191" s="711" t="s">
        <v>2085</v>
      </c>
      <c r="G191" s="711" t="s">
        <v>2376</v>
      </c>
      <c r="H191" s="711" t="s">
        <v>500</v>
      </c>
      <c r="I191" s="711" t="s">
        <v>2377</v>
      </c>
      <c r="J191" s="711" t="s">
        <v>2378</v>
      </c>
      <c r="K191" s="711" t="s">
        <v>2379</v>
      </c>
      <c r="L191" s="714">
        <v>209.33</v>
      </c>
      <c r="M191" s="714">
        <v>209.33</v>
      </c>
      <c r="N191" s="711">
        <v>1</v>
      </c>
      <c r="O191" s="715">
        <v>0.5</v>
      </c>
      <c r="P191" s="714"/>
      <c r="Q191" s="716">
        <v>0</v>
      </c>
      <c r="R191" s="711"/>
      <c r="S191" s="716">
        <v>0</v>
      </c>
      <c r="T191" s="715"/>
      <c r="U191" s="717">
        <v>0</v>
      </c>
    </row>
    <row r="192" spans="1:21" ht="14.4" customHeight="1" x14ac:dyDescent="0.3">
      <c r="A192" s="710">
        <v>30</v>
      </c>
      <c r="B192" s="711" t="s">
        <v>501</v>
      </c>
      <c r="C192" s="711">
        <v>89301301</v>
      </c>
      <c r="D192" s="712" t="s">
        <v>2659</v>
      </c>
      <c r="E192" s="713" t="s">
        <v>2098</v>
      </c>
      <c r="F192" s="711" t="s">
        <v>2085</v>
      </c>
      <c r="G192" s="711" t="s">
        <v>2124</v>
      </c>
      <c r="H192" s="711" t="s">
        <v>500</v>
      </c>
      <c r="I192" s="711" t="s">
        <v>820</v>
      </c>
      <c r="J192" s="711" t="s">
        <v>2125</v>
      </c>
      <c r="K192" s="711" t="s">
        <v>2126</v>
      </c>
      <c r="L192" s="714">
        <v>91.14</v>
      </c>
      <c r="M192" s="714">
        <v>182.28</v>
      </c>
      <c r="N192" s="711">
        <v>2</v>
      </c>
      <c r="O192" s="715">
        <v>1</v>
      </c>
      <c r="P192" s="714"/>
      <c r="Q192" s="716">
        <v>0</v>
      </c>
      <c r="R192" s="711"/>
      <c r="S192" s="716">
        <v>0</v>
      </c>
      <c r="T192" s="715"/>
      <c r="U192" s="717">
        <v>0</v>
      </c>
    </row>
    <row r="193" spans="1:21" ht="14.4" customHeight="1" x14ac:dyDescent="0.3">
      <c r="A193" s="710">
        <v>30</v>
      </c>
      <c r="B193" s="711" t="s">
        <v>501</v>
      </c>
      <c r="C193" s="711">
        <v>89301301</v>
      </c>
      <c r="D193" s="712" t="s">
        <v>2659</v>
      </c>
      <c r="E193" s="713" t="s">
        <v>2098</v>
      </c>
      <c r="F193" s="711" t="s">
        <v>2085</v>
      </c>
      <c r="G193" s="711" t="s">
        <v>2131</v>
      </c>
      <c r="H193" s="711" t="s">
        <v>500</v>
      </c>
      <c r="I193" s="711" t="s">
        <v>1070</v>
      </c>
      <c r="J193" s="711" t="s">
        <v>2327</v>
      </c>
      <c r="K193" s="711" t="s">
        <v>2328</v>
      </c>
      <c r="L193" s="714">
        <v>50.57</v>
      </c>
      <c r="M193" s="714">
        <v>50.57</v>
      </c>
      <c r="N193" s="711">
        <v>1</v>
      </c>
      <c r="O193" s="715">
        <v>0.5</v>
      </c>
      <c r="P193" s="714">
        <v>50.57</v>
      </c>
      <c r="Q193" s="716">
        <v>1</v>
      </c>
      <c r="R193" s="711">
        <v>1</v>
      </c>
      <c r="S193" s="716">
        <v>1</v>
      </c>
      <c r="T193" s="715">
        <v>0.5</v>
      </c>
      <c r="U193" s="717">
        <v>1</v>
      </c>
    </row>
    <row r="194" spans="1:21" ht="14.4" customHeight="1" x14ac:dyDescent="0.3">
      <c r="A194" s="710">
        <v>30</v>
      </c>
      <c r="B194" s="711" t="s">
        <v>501</v>
      </c>
      <c r="C194" s="711">
        <v>89301301</v>
      </c>
      <c r="D194" s="712" t="s">
        <v>2659</v>
      </c>
      <c r="E194" s="713" t="s">
        <v>2098</v>
      </c>
      <c r="F194" s="711" t="s">
        <v>2085</v>
      </c>
      <c r="G194" s="711" t="s">
        <v>2131</v>
      </c>
      <c r="H194" s="711" t="s">
        <v>500</v>
      </c>
      <c r="I194" s="711" t="s">
        <v>1099</v>
      </c>
      <c r="J194" s="711" t="s">
        <v>2274</v>
      </c>
      <c r="K194" s="711" t="s">
        <v>2275</v>
      </c>
      <c r="L194" s="714">
        <v>86.76</v>
      </c>
      <c r="M194" s="714">
        <v>86.76</v>
      </c>
      <c r="N194" s="711">
        <v>1</v>
      </c>
      <c r="O194" s="715">
        <v>0.5</v>
      </c>
      <c r="P194" s="714"/>
      <c r="Q194" s="716">
        <v>0</v>
      </c>
      <c r="R194" s="711"/>
      <c r="S194" s="716">
        <v>0</v>
      </c>
      <c r="T194" s="715"/>
      <c r="U194" s="717">
        <v>0</v>
      </c>
    </row>
    <row r="195" spans="1:21" ht="14.4" customHeight="1" x14ac:dyDescent="0.3">
      <c r="A195" s="710">
        <v>30</v>
      </c>
      <c r="B195" s="711" t="s">
        <v>501</v>
      </c>
      <c r="C195" s="711">
        <v>89301301</v>
      </c>
      <c r="D195" s="712" t="s">
        <v>2659</v>
      </c>
      <c r="E195" s="713" t="s">
        <v>2098</v>
      </c>
      <c r="F195" s="711" t="s">
        <v>2085</v>
      </c>
      <c r="G195" s="711" t="s">
        <v>2137</v>
      </c>
      <c r="H195" s="711" t="s">
        <v>500</v>
      </c>
      <c r="I195" s="711" t="s">
        <v>858</v>
      </c>
      <c r="J195" s="711" t="s">
        <v>2138</v>
      </c>
      <c r="K195" s="711" t="s">
        <v>2139</v>
      </c>
      <c r="L195" s="714">
        <v>0</v>
      </c>
      <c r="M195" s="714">
        <v>0</v>
      </c>
      <c r="N195" s="711">
        <v>2</v>
      </c>
      <c r="O195" s="715">
        <v>1</v>
      </c>
      <c r="P195" s="714">
        <v>0</v>
      </c>
      <c r="Q195" s="716"/>
      <c r="R195" s="711">
        <v>1</v>
      </c>
      <c r="S195" s="716">
        <v>0.5</v>
      </c>
      <c r="T195" s="715">
        <v>0.5</v>
      </c>
      <c r="U195" s="717">
        <v>0.5</v>
      </c>
    </row>
    <row r="196" spans="1:21" ht="14.4" customHeight="1" x14ac:dyDescent="0.3">
      <c r="A196" s="710">
        <v>30</v>
      </c>
      <c r="B196" s="711" t="s">
        <v>501</v>
      </c>
      <c r="C196" s="711">
        <v>89301301</v>
      </c>
      <c r="D196" s="712" t="s">
        <v>2659</v>
      </c>
      <c r="E196" s="713" t="s">
        <v>2098</v>
      </c>
      <c r="F196" s="711" t="s">
        <v>2085</v>
      </c>
      <c r="G196" s="711" t="s">
        <v>2142</v>
      </c>
      <c r="H196" s="711" t="s">
        <v>500</v>
      </c>
      <c r="I196" s="711" t="s">
        <v>702</v>
      </c>
      <c r="J196" s="711" t="s">
        <v>703</v>
      </c>
      <c r="K196" s="711" t="s">
        <v>2380</v>
      </c>
      <c r="L196" s="714">
        <v>23.4</v>
      </c>
      <c r="M196" s="714">
        <v>23.4</v>
      </c>
      <c r="N196" s="711">
        <v>1</v>
      </c>
      <c r="O196" s="715">
        <v>0.5</v>
      </c>
      <c r="P196" s="714"/>
      <c r="Q196" s="716">
        <v>0</v>
      </c>
      <c r="R196" s="711"/>
      <c r="S196" s="716">
        <v>0</v>
      </c>
      <c r="T196" s="715"/>
      <c r="U196" s="717">
        <v>0</v>
      </c>
    </row>
    <row r="197" spans="1:21" ht="14.4" customHeight="1" x14ac:dyDescent="0.3">
      <c r="A197" s="710">
        <v>30</v>
      </c>
      <c r="B197" s="711" t="s">
        <v>501</v>
      </c>
      <c r="C197" s="711">
        <v>89301301</v>
      </c>
      <c r="D197" s="712" t="s">
        <v>2659</v>
      </c>
      <c r="E197" s="713" t="s">
        <v>2098</v>
      </c>
      <c r="F197" s="711" t="s">
        <v>2085</v>
      </c>
      <c r="G197" s="711" t="s">
        <v>2145</v>
      </c>
      <c r="H197" s="711" t="s">
        <v>1480</v>
      </c>
      <c r="I197" s="711" t="s">
        <v>1700</v>
      </c>
      <c r="J197" s="711" t="s">
        <v>1518</v>
      </c>
      <c r="K197" s="711" t="s">
        <v>1701</v>
      </c>
      <c r="L197" s="714">
        <v>468.96</v>
      </c>
      <c r="M197" s="714">
        <v>937.92</v>
      </c>
      <c r="N197" s="711">
        <v>2</v>
      </c>
      <c r="O197" s="715">
        <v>0.5</v>
      </c>
      <c r="P197" s="714"/>
      <c r="Q197" s="716">
        <v>0</v>
      </c>
      <c r="R197" s="711"/>
      <c r="S197" s="716">
        <v>0</v>
      </c>
      <c r="T197" s="715"/>
      <c r="U197" s="717">
        <v>0</v>
      </c>
    </row>
    <row r="198" spans="1:21" ht="14.4" customHeight="1" x14ac:dyDescent="0.3">
      <c r="A198" s="710">
        <v>30</v>
      </c>
      <c r="B198" s="711" t="s">
        <v>501</v>
      </c>
      <c r="C198" s="711">
        <v>89301301</v>
      </c>
      <c r="D198" s="712" t="s">
        <v>2659</v>
      </c>
      <c r="E198" s="713" t="s">
        <v>2098</v>
      </c>
      <c r="F198" s="711" t="s">
        <v>2085</v>
      </c>
      <c r="G198" s="711" t="s">
        <v>2145</v>
      </c>
      <c r="H198" s="711" t="s">
        <v>1480</v>
      </c>
      <c r="I198" s="711" t="s">
        <v>1703</v>
      </c>
      <c r="J198" s="711" t="s">
        <v>1518</v>
      </c>
      <c r="K198" s="711" t="s">
        <v>1704</v>
      </c>
      <c r="L198" s="714">
        <v>625.29</v>
      </c>
      <c r="M198" s="714">
        <v>625.29</v>
      </c>
      <c r="N198" s="711">
        <v>1</v>
      </c>
      <c r="O198" s="715">
        <v>0.5</v>
      </c>
      <c r="P198" s="714">
        <v>625.29</v>
      </c>
      <c r="Q198" s="716">
        <v>1</v>
      </c>
      <c r="R198" s="711">
        <v>1</v>
      </c>
      <c r="S198" s="716">
        <v>1</v>
      </c>
      <c r="T198" s="715">
        <v>0.5</v>
      </c>
      <c r="U198" s="717">
        <v>1</v>
      </c>
    </row>
    <row r="199" spans="1:21" ht="14.4" customHeight="1" x14ac:dyDescent="0.3">
      <c r="A199" s="710">
        <v>30</v>
      </c>
      <c r="B199" s="711" t="s">
        <v>501</v>
      </c>
      <c r="C199" s="711">
        <v>89301301</v>
      </c>
      <c r="D199" s="712" t="s">
        <v>2659</v>
      </c>
      <c r="E199" s="713" t="s">
        <v>2098</v>
      </c>
      <c r="F199" s="711" t="s">
        <v>2085</v>
      </c>
      <c r="G199" s="711" t="s">
        <v>2146</v>
      </c>
      <c r="H199" s="711" t="s">
        <v>500</v>
      </c>
      <c r="I199" s="711" t="s">
        <v>2147</v>
      </c>
      <c r="J199" s="711" t="s">
        <v>2148</v>
      </c>
      <c r="K199" s="711" t="s">
        <v>2149</v>
      </c>
      <c r="L199" s="714">
        <v>97.97</v>
      </c>
      <c r="M199" s="714">
        <v>97.97</v>
      </c>
      <c r="N199" s="711">
        <v>1</v>
      </c>
      <c r="O199" s="715">
        <v>0.5</v>
      </c>
      <c r="P199" s="714"/>
      <c r="Q199" s="716">
        <v>0</v>
      </c>
      <c r="R199" s="711"/>
      <c r="S199" s="716">
        <v>0</v>
      </c>
      <c r="T199" s="715"/>
      <c r="U199" s="717">
        <v>0</v>
      </c>
    </row>
    <row r="200" spans="1:21" ht="14.4" customHeight="1" x14ac:dyDescent="0.3">
      <c r="A200" s="710">
        <v>30</v>
      </c>
      <c r="B200" s="711" t="s">
        <v>501</v>
      </c>
      <c r="C200" s="711">
        <v>89301301</v>
      </c>
      <c r="D200" s="712" t="s">
        <v>2659</v>
      </c>
      <c r="E200" s="713" t="s">
        <v>2098</v>
      </c>
      <c r="F200" s="711" t="s">
        <v>2085</v>
      </c>
      <c r="G200" s="711" t="s">
        <v>2146</v>
      </c>
      <c r="H200" s="711" t="s">
        <v>500</v>
      </c>
      <c r="I200" s="711" t="s">
        <v>2381</v>
      </c>
      <c r="J200" s="711" t="s">
        <v>2382</v>
      </c>
      <c r="K200" s="711" t="s">
        <v>2149</v>
      </c>
      <c r="L200" s="714">
        <v>97.97</v>
      </c>
      <c r="M200" s="714">
        <v>97.97</v>
      </c>
      <c r="N200" s="711">
        <v>1</v>
      </c>
      <c r="O200" s="715">
        <v>0.5</v>
      </c>
      <c r="P200" s="714">
        <v>97.97</v>
      </c>
      <c r="Q200" s="716">
        <v>1</v>
      </c>
      <c r="R200" s="711">
        <v>1</v>
      </c>
      <c r="S200" s="716">
        <v>1</v>
      </c>
      <c r="T200" s="715">
        <v>0.5</v>
      </c>
      <c r="U200" s="717">
        <v>1</v>
      </c>
    </row>
    <row r="201" spans="1:21" ht="14.4" customHeight="1" x14ac:dyDescent="0.3">
      <c r="A201" s="710">
        <v>30</v>
      </c>
      <c r="B201" s="711" t="s">
        <v>501</v>
      </c>
      <c r="C201" s="711">
        <v>89301301</v>
      </c>
      <c r="D201" s="712" t="s">
        <v>2659</v>
      </c>
      <c r="E201" s="713" t="s">
        <v>2098</v>
      </c>
      <c r="F201" s="711" t="s">
        <v>2085</v>
      </c>
      <c r="G201" s="711" t="s">
        <v>2383</v>
      </c>
      <c r="H201" s="711" t="s">
        <v>500</v>
      </c>
      <c r="I201" s="711" t="s">
        <v>2384</v>
      </c>
      <c r="J201" s="711" t="s">
        <v>2385</v>
      </c>
      <c r="K201" s="711" t="s">
        <v>837</v>
      </c>
      <c r="L201" s="714">
        <v>160.6</v>
      </c>
      <c r="M201" s="714">
        <v>160.6</v>
      </c>
      <c r="N201" s="711">
        <v>1</v>
      </c>
      <c r="O201" s="715">
        <v>0.5</v>
      </c>
      <c r="P201" s="714"/>
      <c r="Q201" s="716">
        <v>0</v>
      </c>
      <c r="R201" s="711"/>
      <c r="S201" s="716">
        <v>0</v>
      </c>
      <c r="T201" s="715"/>
      <c r="U201" s="717">
        <v>0</v>
      </c>
    </row>
    <row r="202" spans="1:21" ht="14.4" customHeight="1" x14ac:dyDescent="0.3">
      <c r="A202" s="710">
        <v>30</v>
      </c>
      <c r="B202" s="711" t="s">
        <v>501</v>
      </c>
      <c r="C202" s="711">
        <v>89301301</v>
      </c>
      <c r="D202" s="712" t="s">
        <v>2659</v>
      </c>
      <c r="E202" s="713" t="s">
        <v>2098</v>
      </c>
      <c r="F202" s="711" t="s">
        <v>2085</v>
      </c>
      <c r="G202" s="711" t="s">
        <v>2383</v>
      </c>
      <c r="H202" s="711" t="s">
        <v>500</v>
      </c>
      <c r="I202" s="711" t="s">
        <v>2386</v>
      </c>
      <c r="J202" s="711" t="s">
        <v>2387</v>
      </c>
      <c r="K202" s="711" t="s">
        <v>837</v>
      </c>
      <c r="L202" s="714">
        <v>214.07</v>
      </c>
      <c r="M202" s="714">
        <v>214.07</v>
      </c>
      <c r="N202" s="711">
        <v>1</v>
      </c>
      <c r="O202" s="715">
        <v>0.5</v>
      </c>
      <c r="P202" s="714">
        <v>214.07</v>
      </c>
      <c r="Q202" s="716">
        <v>1</v>
      </c>
      <c r="R202" s="711">
        <v>1</v>
      </c>
      <c r="S202" s="716">
        <v>1</v>
      </c>
      <c r="T202" s="715">
        <v>0.5</v>
      </c>
      <c r="U202" s="717">
        <v>1</v>
      </c>
    </row>
    <row r="203" spans="1:21" ht="14.4" customHeight="1" x14ac:dyDescent="0.3">
      <c r="A203" s="710">
        <v>30</v>
      </c>
      <c r="B203" s="711" t="s">
        <v>501</v>
      </c>
      <c r="C203" s="711">
        <v>89301301</v>
      </c>
      <c r="D203" s="712" t="s">
        <v>2659</v>
      </c>
      <c r="E203" s="713" t="s">
        <v>2098</v>
      </c>
      <c r="F203" s="711" t="s">
        <v>2085</v>
      </c>
      <c r="G203" s="711" t="s">
        <v>2388</v>
      </c>
      <c r="H203" s="711" t="s">
        <v>500</v>
      </c>
      <c r="I203" s="711" t="s">
        <v>1157</v>
      </c>
      <c r="J203" s="711" t="s">
        <v>2389</v>
      </c>
      <c r="K203" s="711" t="s">
        <v>1412</v>
      </c>
      <c r="L203" s="714">
        <v>91.52</v>
      </c>
      <c r="M203" s="714">
        <v>91.52</v>
      </c>
      <c r="N203" s="711">
        <v>1</v>
      </c>
      <c r="O203" s="715">
        <v>0.5</v>
      </c>
      <c r="P203" s="714"/>
      <c r="Q203" s="716">
        <v>0</v>
      </c>
      <c r="R203" s="711"/>
      <c r="S203" s="716">
        <v>0</v>
      </c>
      <c r="T203" s="715"/>
      <c r="U203" s="717">
        <v>0</v>
      </c>
    </row>
    <row r="204" spans="1:21" ht="14.4" customHeight="1" x14ac:dyDescent="0.3">
      <c r="A204" s="710">
        <v>30</v>
      </c>
      <c r="B204" s="711" t="s">
        <v>501</v>
      </c>
      <c r="C204" s="711">
        <v>89301301</v>
      </c>
      <c r="D204" s="712" t="s">
        <v>2659</v>
      </c>
      <c r="E204" s="713" t="s">
        <v>2098</v>
      </c>
      <c r="F204" s="711" t="s">
        <v>2085</v>
      </c>
      <c r="G204" s="711" t="s">
        <v>2151</v>
      </c>
      <c r="H204" s="711" t="s">
        <v>1480</v>
      </c>
      <c r="I204" s="711" t="s">
        <v>1562</v>
      </c>
      <c r="J204" s="711" t="s">
        <v>2005</v>
      </c>
      <c r="K204" s="711" t="s">
        <v>1399</v>
      </c>
      <c r="L204" s="714">
        <v>67.42</v>
      </c>
      <c r="M204" s="714">
        <v>67.42</v>
      </c>
      <c r="N204" s="711">
        <v>1</v>
      </c>
      <c r="O204" s="715">
        <v>0.5</v>
      </c>
      <c r="P204" s="714"/>
      <c r="Q204" s="716">
        <v>0</v>
      </c>
      <c r="R204" s="711"/>
      <c r="S204" s="716">
        <v>0</v>
      </c>
      <c r="T204" s="715"/>
      <c r="U204" s="717">
        <v>0</v>
      </c>
    </row>
    <row r="205" spans="1:21" ht="14.4" customHeight="1" x14ac:dyDescent="0.3">
      <c r="A205" s="710">
        <v>30</v>
      </c>
      <c r="B205" s="711" t="s">
        <v>501</v>
      </c>
      <c r="C205" s="711">
        <v>89301301</v>
      </c>
      <c r="D205" s="712" t="s">
        <v>2659</v>
      </c>
      <c r="E205" s="713" t="s">
        <v>2098</v>
      </c>
      <c r="F205" s="711" t="s">
        <v>2085</v>
      </c>
      <c r="G205" s="711" t="s">
        <v>2219</v>
      </c>
      <c r="H205" s="711" t="s">
        <v>500</v>
      </c>
      <c r="I205" s="711" t="s">
        <v>768</v>
      </c>
      <c r="J205" s="711" t="s">
        <v>2220</v>
      </c>
      <c r="K205" s="711" t="s">
        <v>2221</v>
      </c>
      <c r="L205" s="714">
        <v>0</v>
      </c>
      <c r="M205" s="714">
        <v>0</v>
      </c>
      <c r="N205" s="711">
        <v>1</v>
      </c>
      <c r="O205" s="715">
        <v>0.5</v>
      </c>
      <c r="P205" s="714"/>
      <c r="Q205" s="716"/>
      <c r="R205" s="711"/>
      <c r="S205" s="716">
        <v>0</v>
      </c>
      <c r="T205" s="715"/>
      <c r="U205" s="717">
        <v>0</v>
      </c>
    </row>
    <row r="206" spans="1:21" ht="14.4" customHeight="1" x14ac:dyDescent="0.3">
      <c r="A206" s="710">
        <v>30</v>
      </c>
      <c r="B206" s="711" t="s">
        <v>501</v>
      </c>
      <c r="C206" s="711">
        <v>89301301</v>
      </c>
      <c r="D206" s="712" t="s">
        <v>2659</v>
      </c>
      <c r="E206" s="713" t="s">
        <v>2098</v>
      </c>
      <c r="F206" s="711" t="s">
        <v>2085</v>
      </c>
      <c r="G206" s="711" t="s">
        <v>2222</v>
      </c>
      <c r="H206" s="711" t="s">
        <v>500</v>
      </c>
      <c r="I206" s="711" t="s">
        <v>626</v>
      </c>
      <c r="J206" s="711" t="s">
        <v>627</v>
      </c>
      <c r="K206" s="711" t="s">
        <v>2223</v>
      </c>
      <c r="L206" s="714">
        <v>43.99</v>
      </c>
      <c r="M206" s="714">
        <v>43.99</v>
      </c>
      <c r="N206" s="711">
        <v>1</v>
      </c>
      <c r="O206" s="715">
        <v>0.5</v>
      </c>
      <c r="P206" s="714"/>
      <c r="Q206" s="716">
        <v>0</v>
      </c>
      <c r="R206" s="711"/>
      <c r="S206" s="716">
        <v>0</v>
      </c>
      <c r="T206" s="715"/>
      <c r="U206" s="717">
        <v>0</v>
      </c>
    </row>
    <row r="207" spans="1:21" ht="14.4" customHeight="1" x14ac:dyDescent="0.3">
      <c r="A207" s="710">
        <v>30</v>
      </c>
      <c r="B207" s="711" t="s">
        <v>501</v>
      </c>
      <c r="C207" s="711">
        <v>89301301</v>
      </c>
      <c r="D207" s="712" t="s">
        <v>2659</v>
      </c>
      <c r="E207" s="713" t="s">
        <v>2098</v>
      </c>
      <c r="F207" s="711" t="s">
        <v>2085</v>
      </c>
      <c r="G207" s="711" t="s">
        <v>2156</v>
      </c>
      <c r="H207" s="711" t="s">
        <v>500</v>
      </c>
      <c r="I207" s="711" t="s">
        <v>894</v>
      </c>
      <c r="J207" s="711" t="s">
        <v>895</v>
      </c>
      <c r="K207" s="711" t="s">
        <v>2157</v>
      </c>
      <c r="L207" s="714">
        <v>472.71</v>
      </c>
      <c r="M207" s="714">
        <v>472.71</v>
      </c>
      <c r="N207" s="711">
        <v>1</v>
      </c>
      <c r="O207" s="715">
        <v>0.5</v>
      </c>
      <c r="P207" s="714">
        <v>472.71</v>
      </c>
      <c r="Q207" s="716">
        <v>1</v>
      </c>
      <c r="R207" s="711">
        <v>1</v>
      </c>
      <c r="S207" s="716">
        <v>1</v>
      </c>
      <c r="T207" s="715">
        <v>0.5</v>
      </c>
      <c r="U207" s="717">
        <v>1</v>
      </c>
    </row>
    <row r="208" spans="1:21" ht="14.4" customHeight="1" x14ac:dyDescent="0.3">
      <c r="A208" s="710">
        <v>30</v>
      </c>
      <c r="B208" s="711" t="s">
        <v>501</v>
      </c>
      <c r="C208" s="711">
        <v>89301301</v>
      </c>
      <c r="D208" s="712" t="s">
        <v>2659</v>
      </c>
      <c r="E208" s="713" t="s">
        <v>2098</v>
      </c>
      <c r="F208" s="711" t="s">
        <v>2085</v>
      </c>
      <c r="G208" s="711" t="s">
        <v>2158</v>
      </c>
      <c r="H208" s="711" t="s">
        <v>500</v>
      </c>
      <c r="I208" s="711" t="s">
        <v>729</v>
      </c>
      <c r="J208" s="711" t="s">
        <v>730</v>
      </c>
      <c r="K208" s="711" t="s">
        <v>2103</v>
      </c>
      <c r="L208" s="714">
        <v>98.31</v>
      </c>
      <c r="M208" s="714">
        <v>98.31</v>
      </c>
      <c r="N208" s="711">
        <v>1</v>
      </c>
      <c r="O208" s="715">
        <v>0.5</v>
      </c>
      <c r="P208" s="714">
        <v>98.31</v>
      </c>
      <c r="Q208" s="716">
        <v>1</v>
      </c>
      <c r="R208" s="711">
        <v>1</v>
      </c>
      <c r="S208" s="716">
        <v>1</v>
      </c>
      <c r="T208" s="715">
        <v>0.5</v>
      </c>
      <c r="U208" s="717">
        <v>1</v>
      </c>
    </row>
    <row r="209" spans="1:21" ht="14.4" customHeight="1" x14ac:dyDescent="0.3">
      <c r="A209" s="710">
        <v>30</v>
      </c>
      <c r="B209" s="711" t="s">
        <v>501</v>
      </c>
      <c r="C209" s="711">
        <v>89301301</v>
      </c>
      <c r="D209" s="712" t="s">
        <v>2659</v>
      </c>
      <c r="E209" s="713" t="s">
        <v>2098</v>
      </c>
      <c r="F209" s="711" t="s">
        <v>2085</v>
      </c>
      <c r="G209" s="711" t="s">
        <v>2232</v>
      </c>
      <c r="H209" s="711" t="s">
        <v>500</v>
      </c>
      <c r="I209" s="711" t="s">
        <v>1066</v>
      </c>
      <c r="J209" s="711" t="s">
        <v>1067</v>
      </c>
      <c r="K209" s="711" t="s">
        <v>1068</v>
      </c>
      <c r="L209" s="714">
        <v>286.63</v>
      </c>
      <c r="M209" s="714">
        <v>286.63</v>
      </c>
      <c r="N209" s="711">
        <v>1</v>
      </c>
      <c r="O209" s="715">
        <v>1</v>
      </c>
      <c r="P209" s="714">
        <v>286.63</v>
      </c>
      <c r="Q209" s="716">
        <v>1</v>
      </c>
      <c r="R209" s="711">
        <v>1</v>
      </c>
      <c r="S209" s="716">
        <v>1</v>
      </c>
      <c r="T209" s="715">
        <v>1</v>
      </c>
      <c r="U209" s="717">
        <v>1</v>
      </c>
    </row>
    <row r="210" spans="1:21" ht="14.4" customHeight="1" x14ac:dyDescent="0.3">
      <c r="A210" s="710">
        <v>30</v>
      </c>
      <c r="B210" s="711" t="s">
        <v>501</v>
      </c>
      <c r="C210" s="711">
        <v>89301301</v>
      </c>
      <c r="D210" s="712" t="s">
        <v>2659</v>
      </c>
      <c r="E210" s="713" t="s">
        <v>2098</v>
      </c>
      <c r="F210" s="711" t="s">
        <v>2085</v>
      </c>
      <c r="G210" s="711" t="s">
        <v>2390</v>
      </c>
      <c r="H210" s="711" t="s">
        <v>1480</v>
      </c>
      <c r="I210" s="711" t="s">
        <v>1495</v>
      </c>
      <c r="J210" s="711" t="s">
        <v>1496</v>
      </c>
      <c r="K210" s="711" t="s">
        <v>1497</v>
      </c>
      <c r="L210" s="714">
        <v>0</v>
      </c>
      <c r="M210" s="714">
        <v>0</v>
      </c>
      <c r="N210" s="711">
        <v>1</v>
      </c>
      <c r="O210" s="715">
        <v>0.5</v>
      </c>
      <c r="P210" s="714"/>
      <c r="Q210" s="716"/>
      <c r="R210" s="711"/>
      <c r="S210" s="716">
        <v>0</v>
      </c>
      <c r="T210" s="715"/>
      <c r="U210" s="717">
        <v>0</v>
      </c>
    </row>
    <row r="211" spans="1:21" ht="14.4" customHeight="1" x14ac:dyDescent="0.3">
      <c r="A211" s="710">
        <v>30</v>
      </c>
      <c r="B211" s="711" t="s">
        <v>501</v>
      </c>
      <c r="C211" s="711">
        <v>89301301</v>
      </c>
      <c r="D211" s="712" t="s">
        <v>2659</v>
      </c>
      <c r="E211" s="713" t="s">
        <v>2098</v>
      </c>
      <c r="F211" s="711" t="s">
        <v>2085</v>
      </c>
      <c r="G211" s="711" t="s">
        <v>2390</v>
      </c>
      <c r="H211" s="711" t="s">
        <v>1480</v>
      </c>
      <c r="I211" s="711" t="s">
        <v>2391</v>
      </c>
      <c r="J211" s="711" t="s">
        <v>1735</v>
      </c>
      <c r="K211" s="711" t="s">
        <v>2354</v>
      </c>
      <c r="L211" s="714">
        <v>0</v>
      </c>
      <c r="M211" s="714">
        <v>0</v>
      </c>
      <c r="N211" s="711">
        <v>1</v>
      </c>
      <c r="O211" s="715">
        <v>0.5</v>
      </c>
      <c r="P211" s="714">
        <v>0</v>
      </c>
      <c r="Q211" s="716"/>
      <c r="R211" s="711">
        <v>1</v>
      </c>
      <c r="S211" s="716">
        <v>1</v>
      </c>
      <c r="T211" s="715">
        <v>0.5</v>
      </c>
      <c r="U211" s="717">
        <v>1</v>
      </c>
    </row>
    <row r="212" spans="1:21" ht="14.4" customHeight="1" x14ac:dyDescent="0.3">
      <c r="A212" s="710">
        <v>30</v>
      </c>
      <c r="B212" s="711" t="s">
        <v>501</v>
      </c>
      <c r="C212" s="711">
        <v>89301301</v>
      </c>
      <c r="D212" s="712" t="s">
        <v>2659</v>
      </c>
      <c r="E212" s="713" t="s">
        <v>2098</v>
      </c>
      <c r="F212" s="711" t="s">
        <v>2085</v>
      </c>
      <c r="G212" s="711" t="s">
        <v>2233</v>
      </c>
      <c r="H212" s="711" t="s">
        <v>1480</v>
      </c>
      <c r="I212" s="711" t="s">
        <v>1672</v>
      </c>
      <c r="J212" s="711" t="s">
        <v>1987</v>
      </c>
      <c r="K212" s="711" t="s">
        <v>1988</v>
      </c>
      <c r="L212" s="714">
        <v>156.25</v>
      </c>
      <c r="M212" s="714">
        <v>312.5</v>
      </c>
      <c r="N212" s="711">
        <v>2</v>
      </c>
      <c r="O212" s="715">
        <v>1</v>
      </c>
      <c r="P212" s="714"/>
      <c r="Q212" s="716">
        <v>0</v>
      </c>
      <c r="R212" s="711"/>
      <c r="S212" s="716">
        <v>0</v>
      </c>
      <c r="T212" s="715"/>
      <c r="U212" s="717">
        <v>0</v>
      </c>
    </row>
    <row r="213" spans="1:21" ht="14.4" customHeight="1" x14ac:dyDescent="0.3">
      <c r="A213" s="710">
        <v>30</v>
      </c>
      <c r="B213" s="711" t="s">
        <v>501</v>
      </c>
      <c r="C213" s="711">
        <v>89301301</v>
      </c>
      <c r="D213" s="712" t="s">
        <v>2659</v>
      </c>
      <c r="E213" s="713" t="s">
        <v>2098</v>
      </c>
      <c r="F213" s="711" t="s">
        <v>2086</v>
      </c>
      <c r="G213" s="711" t="s">
        <v>2392</v>
      </c>
      <c r="H213" s="711" t="s">
        <v>500</v>
      </c>
      <c r="I213" s="711" t="s">
        <v>2393</v>
      </c>
      <c r="J213" s="711" t="s">
        <v>2394</v>
      </c>
      <c r="K213" s="711"/>
      <c r="L213" s="714">
        <v>0</v>
      </c>
      <c r="M213" s="714">
        <v>0</v>
      </c>
      <c r="N213" s="711">
        <v>1</v>
      </c>
      <c r="O213" s="715">
        <v>1</v>
      </c>
      <c r="P213" s="714"/>
      <c r="Q213" s="716"/>
      <c r="R213" s="711"/>
      <c r="S213" s="716">
        <v>0</v>
      </c>
      <c r="T213" s="715"/>
      <c r="U213" s="717">
        <v>0</v>
      </c>
    </row>
    <row r="214" spans="1:21" ht="14.4" customHeight="1" x14ac:dyDescent="0.3">
      <c r="A214" s="710">
        <v>30</v>
      </c>
      <c r="B214" s="711" t="s">
        <v>501</v>
      </c>
      <c r="C214" s="711">
        <v>89301301</v>
      </c>
      <c r="D214" s="712" t="s">
        <v>2659</v>
      </c>
      <c r="E214" s="713" t="s">
        <v>2098</v>
      </c>
      <c r="F214" s="711" t="s">
        <v>2086</v>
      </c>
      <c r="G214" s="711" t="s">
        <v>2392</v>
      </c>
      <c r="H214" s="711" t="s">
        <v>500</v>
      </c>
      <c r="I214" s="711" t="s">
        <v>2395</v>
      </c>
      <c r="J214" s="711" t="s">
        <v>2394</v>
      </c>
      <c r="K214" s="711"/>
      <c r="L214" s="714">
        <v>0</v>
      </c>
      <c r="M214" s="714">
        <v>0</v>
      </c>
      <c r="N214" s="711">
        <v>1</v>
      </c>
      <c r="O214" s="715">
        <v>1</v>
      </c>
      <c r="P214" s="714">
        <v>0</v>
      </c>
      <c r="Q214" s="716"/>
      <c r="R214" s="711">
        <v>1</v>
      </c>
      <c r="S214" s="716">
        <v>1</v>
      </c>
      <c r="T214" s="715">
        <v>1</v>
      </c>
      <c r="U214" s="717">
        <v>1</v>
      </c>
    </row>
    <row r="215" spans="1:21" ht="14.4" customHeight="1" x14ac:dyDescent="0.3">
      <c r="A215" s="710">
        <v>30</v>
      </c>
      <c r="B215" s="711" t="s">
        <v>501</v>
      </c>
      <c r="C215" s="711">
        <v>89301303</v>
      </c>
      <c r="D215" s="712" t="s">
        <v>2660</v>
      </c>
      <c r="E215" s="713" t="s">
        <v>2093</v>
      </c>
      <c r="F215" s="711" t="s">
        <v>2085</v>
      </c>
      <c r="G215" s="711" t="s">
        <v>2396</v>
      </c>
      <c r="H215" s="711" t="s">
        <v>500</v>
      </c>
      <c r="I215" s="711" t="s">
        <v>2397</v>
      </c>
      <c r="J215" s="711" t="s">
        <v>2398</v>
      </c>
      <c r="K215" s="711" t="s">
        <v>2399</v>
      </c>
      <c r="L215" s="714">
        <v>418.67</v>
      </c>
      <c r="M215" s="714">
        <v>1256.01</v>
      </c>
      <c r="N215" s="711">
        <v>3</v>
      </c>
      <c r="O215" s="715">
        <v>1</v>
      </c>
      <c r="P215" s="714"/>
      <c r="Q215" s="716">
        <v>0</v>
      </c>
      <c r="R215" s="711"/>
      <c r="S215" s="716">
        <v>0</v>
      </c>
      <c r="T215" s="715"/>
      <c r="U215" s="717">
        <v>0</v>
      </c>
    </row>
    <row r="216" spans="1:21" ht="14.4" customHeight="1" x14ac:dyDescent="0.3">
      <c r="A216" s="710">
        <v>30</v>
      </c>
      <c r="B216" s="711" t="s">
        <v>501</v>
      </c>
      <c r="C216" s="711">
        <v>89301303</v>
      </c>
      <c r="D216" s="712" t="s">
        <v>2660</v>
      </c>
      <c r="E216" s="713" t="s">
        <v>2093</v>
      </c>
      <c r="F216" s="711" t="s">
        <v>2085</v>
      </c>
      <c r="G216" s="711" t="s">
        <v>2100</v>
      </c>
      <c r="H216" s="711" t="s">
        <v>500</v>
      </c>
      <c r="I216" s="711" t="s">
        <v>2165</v>
      </c>
      <c r="J216" s="711" t="s">
        <v>2166</v>
      </c>
      <c r="K216" s="711" t="s">
        <v>2167</v>
      </c>
      <c r="L216" s="714">
        <v>85.72</v>
      </c>
      <c r="M216" s="714">
        <v>514.31999999999994</v>
      </c>
      <c r="N216" s="711">
        <v>6</v>
      </c>
      <c r="O216" s="715">
        <v>1.5</v>
      </c>
      <c r="P216" s="714">
        <v>257.15999999999997</v>
      </c>
      <c r="Q216" s="716">
        <v>0.5</v>
      </c>
      <c r="R216" s="711">
        <v>3</v>
      </c>
      <c r="S216" s="716">
        <v>0.5</v>
      </c>
      <c r="T216" s="715">
        <v>0.5</v>
      </c>
      <c r="U216" s="717">
        <v>0.33333333333333331</v>
      </c>
    </row>
    <row r="217" spans="1:21" ht="14.4" customHeight="1" x14ac:dyDescent="0.3">
      <c r="A217" s="710">
        <v>30</v>
      </c>
      <c r="B217" s="711" t="s">
        <v>501</v>
      </c>
      <c r="C217" s="711">
        <v>89301303</v>
      </c>
      <c r="D217" s="712" t="s">
        <v>2660</v>
      </c>
      <c r="E217" s="713" t="s">
        <v>2093</v>
      </c>
      <c r="F217" s="711" t="s">
        <v>2085</v>
      </c>
      <c r="G217" s="711" t="s">
        <v>2100</v>
      </c>
      <c r="H217" s="711" t="s">
        <v>500</v>
      </c>
      <c r="I217" s="711" t="s">
        <v>2400</v>
      </c>
      <c r="J217" s="711" t="s">
        <v>2102</v>
      </c>
      <c r="K217" s="711" t="s">
        <v>2103</v>
      </c>
      <c r="L217" s="714">
        <v>47.63</v>
      </c>
      <c r="M217" s="714">
        <v>95.26</v>
      </c>
      <c r="N217" s="711">
        <v>2</v>
      </c>
      <c r="O217" s="715">
        <v>0.5</v>
      </c>
      <c r="P217" s="714"/>
      <c r="Q217" s="716">
        <v>0</v>
      </c>
      <c r="R217" s="711"/>
      <c r="S217" s="716">
        <v>0</v>
      </c>
      <c r="T217" s="715"/>
      <c r="U217" s="717">
        <v>0</v>
      </c>
    </row>
    <row r="218" spans="1:21" ht="14.4" customHeight="1" x14ac:dyDescent="0.3">
      <c r="A218" s="710">
        <v>30</v>
      </c>
      <c r="B218" s="711" t="s">
        <v>501</v>
      </c>
      <c r="C218" s="711">
        <v>89301303</v>
      </c>
      <c r="D218" s="712" t="s">
        <v>2660</v>
      </c>
      <c r="E218" s="713" t="s">
        <v>2093</v>
      </c>
      <c r="F218" s="711" t="s">
        <v>2085</v>
      </c>
      <c r="G218" s="711" t="s">
        <v>2168</v>
      </c>
      <c r="H218" s="711" t="s">
        <v>500</v>
      </c>
      <c r="I218" s="711" t="s">
        <v>2401</v>
      </c>
      <c r="J218" s="711" t="s">
        <v>2063</v>
      </c>
      <c r="K218" s="711" t="s">
        <v>2402</v>
      </c>
      <c r="L218" s="714">
        <v>0</v>
      </c>
      <c r="M218" s="714">
        <v>0</v>
      </c>
      <c r="N218" s="711">
        <v>1</v>
      </c>
      <c r="O218" s="715">
        <v>1</v>
      </c>
      <c r="P218" s="714">
        <v>0</v>
      </c>
      <c r="Q218" s="716"/>
      <c r="R218" s="711">
        <v>1</v>
      </c>
      <c r="S218" s="716">
        <v>1</v>
      </c>
      <c r="T218" s="715">
        <v>1</v>
      </c>
      <c r="U218" s="717">
        <v>1</v>
      </c>
    </row>
    <row r="219" spans="1:21" ht="14.4" customHeight="1" x14ac:dyDescent="0.3">
      <c r="A219" s="710">
        <v>30</v>
      </c>
      <c r="B219" s="711" t="s">
        <v>501</v>
      </c>
      <c r="C219" s="711">
        <v>89301303</v>
      </c>
      <c r="D219" s="712" t="s">
        <v>2660</v>
      </c>
      <c r="E219" s="713" t="s">
        <v>2093</v>
      </c>
      <c r="F219" s="711" t="s">
        <v>2085</v>
      </c>
      <c r="G219" s="711" t="s">
        <v>2168</v>
      </c>
      <c r="H219" s="711" t="s">
        <v>1480</v>
      </c>
      <c r="I219" s="711" t="s">
        <v>2403</v>
      </c>
      <c r="J219" s="711" t="s">
        <v>2404</v>
      </c>
      <c r="K219" s="711" t="s">
        <v>2405</v>
      </c>
      <c r="L219" s="714">
        <v>10.73</v>
      </c>
      <c r="M219" s="714">
        <v>32.19</v>
      </c>
      <c r="N219" s="711">
        <v>3</v>
      </c>
      <c r="O219" s="715">
        <v>0.5</v>
      </c>
      <c r="P219" s="714">
        <v>32.19</v>
      </c>
      <c r="Q219" s="716">
        <v>1</v>
      </c>
      <c r="R219" s="711">
        <v>3</v>
      </c>
      <c r="S219" s="716">
        <v>1</v>
      </c>
      <c r="T219" s="715">
        <v>0.5</v>
      </c>
      <c r="U219" s="717">
        <v>1</v>
      </c>
    </row>
    <row r="220" spans="1:21" ht="14.4" customHeight="1" x14ac:dyDescent="0.3">
      <c r="A220" s="710">
        <v>30</v>
      </c>
      <c r="B220" s="711" t="s">
        <v>501</v>
      </c>
      <c r="C220" s="711">
        <v>89301303</v>
      </c>
      <c r="D220" s="712" t="s">
        <v>2660</v>
      </c>
      <c r="E220" s="713" t="s">
        <v>2093</v>
      </c>
      <c r="F220" s="711" t="s">
        <v>2085</v>
      </c>
      <c r="G220" s="711" t="s">
        <v>2104</v>
      </c>
      <c r="H220" s="711" t="s">
        <v>1480</v>
      </c>
      <c r="I220" s="711" t="s">
        <v>2169</v>
      </c>
      <c r="J220" s="711" t="s">
        <v>1627</v>
      </c>
      <c r="K220" s="711" t="s">
        <v>1399</v>
      </c>
      <c r="L220" s="714">
        <v>0</v>
      </c>
      <c r="M220" s="714">
        <v>0</v>
      </c>
      <c r="N220" s="711">
        <v>1</v>
      </c>
      <c r="O220" s="715">
        <v>1</v>
      </c>
      <c r="P220" s="714">
        <v>0</v>
      </c>
      <c r="Q220" s="716"/>
      <c r="R220" s="711">
        <v>1</v>
      </c>
      <c r="S220" s="716">
        <v>1</v>
      </c>
      <c r="T220" s="715">
        <v>1</v>
      </c>
      <c r="U220" s="717">
        <v>1</v>
      </c>
    </row>
    <row r="221" spans="1:21" ht="14.4" customHeight="1" x14ac:dyDescent="0.3">
      <c r="A221" s="710">
        <v>30</v>
      </c>
      <c r="B221" s="711" t="s">
        <v>501</v>
      </c>
      <c r="C221" s="711">
        <v>89301303</v>
      </c>
      <c r="D221" s="712" t="s">
        <v>2660</v>
      </c>
      <c r="E221" s="713" t="s">
        <v>2093</v>
      </c>
      <c r="F221" s="711" t="s">
        <v>2085</v>
      </c>
      <c r="G221" s="711" t="s">
        <v>2104</v>
      </c>
      <c r="H221" s="711" t="s">
        <v>1480</v>
      </c>
      <c r="I221" s="711" t="s">
        <v>1626</v>
      </c>
      <c r="J221" s="711" t="s">
        <v>1627</v>
      </c>
      <c r="K221" s="711" t="s">
        <v>1399</v>
      </c>
      <c r="L221" s="714">
        <v>60.92</v>
      </c>
      <c r="M221" s="714">
        <v>182.76</v>
      </c>
      <c r="N221" s="711">
        <v>3</v>
      </c>
      <c r="O221" s="715">
        <v>0.5</v>
      </c>
      <c r="P221" s="714"/>
      <c r="Q221" s="716">
        <v>0</v>
      </c>
      <c r="R221" s="711"/>
      <c r="S221" s="716">
        <v>0</v>
      </c>
      <c r="T221" s="715"/>
      <c r="U221" s="717">
        <v>0</v>
      </c>
    </row>
    <row r="222" spans="1:21" ht="14.4" customHeight="1" x14ac:dyDescent="0.3">
      <c r="A222" s="710">
        <v>30</v>
      </c>
      <c r="B222" s="711" t="s">
        <v>501</v>
      </c>
      <c r="C222" s="711">
        <v>89301303</v>
      </c>
      <c r="D222" s="712" t="s">
        <v>2660</v>
      </c>
      <c r="E222" s="713" t="s">
        <v>2093</v>
      </c>
      <c r="F222" s="711" t="s">
        <v>2085</v>
      </c>
      <c r="G222" s="711" t="s">
        <v>2406</v>
      </c>
      <c r="H222" s="711" t="s">
        <v>1480</v>
      </c>
      <c r="I222" s="711" t="s">
        <v>1840</v>
      </c>
      <c r="J222" s="711" t="s">
        <v>2023</v>
      </c>
      <c r="K222" s="711" t="s">
        <v>2024</v>
      </c>
      <c r="L222" s="714">
        <v>333.31</v>
      </c>
      <c r="M222" s="714">
        <v>666.62</v>
      </c>
      <c r="N222" s="711">
        <v>2</v>
      </c>
      <c r="O222" s="715">
        <v>1</v>
      </c>
      <c r="P222" s="714">
        <v>666.62</v>
      </c>
      <c r="Q222" s="716">
        <v>1</v>
      </c>
      <c r="R222" s="711">
        <v>2</v>
      </c>
      <c r="S222" s="716">
        <v>1</v>
      </c>
      <c r="T222" s="715">
        <v>1</v>
      </c>
      <c r="U222" s="717">
        <v>1</v>
      </c>
    </row>
    <row r="223" spans="1:21" ht="14.4" customHeight="1" x14ac:dyDescent="0.3">
      <c r="A223" s="710">
        <v>30</v>
      </c>
      <c r="B223" s="711" t="s">
        <v>501</v>
      </c>
      <c r="C223" s="711">
        <v>89301303</v>
      </c>
      <c r="D223" s="712" t="s">
        <v>2660</v>
      </c>
      <c r="E223" s="713" t="s">
        <v>2093</v>
      </c>
      <c r="F223" s="711" t="s">
        <v>2085</v>
      </c>
      <c r="G223" s="711" t="s">
        <v>2407</v>
      </c>
      <c r="H223" s="711" t="s">
        <v>500</v>
      </c>
      <c r="I223" s="711" t="s">
        <v>2408</v>
      </c>
      <c r="J223" s="711" t="s">
        <v>2409</v>
      </c>
      <c r="K223" s="711" t="s">
        <v>2410</v>
      </c>
      <c r="L223" s="714">
        <v>317.26</v>
      </c>
      <c r="M223" s="714">
        <v>951.78</v>
      </c>
      <c r="N223" s="711">
        <v>3</v>
      </c>
      <c r="O223" s="715">
        <v>1</v>
      </c>
      <c r="P223" s="714">
        <v>951.78</v>
      </c>
      <c r="Q223" s="716">
        <v>1</v>
      </c>
      <c r="R223" s="711">
        <v>3</v>
      </c>
      <c r="S223" s="716">
        <v>1</v>
      </c>
      <c r="T223" s="715">
        <v>1</v>
      </c>
      <c r="U223" s="717">
        <v>1</v>
      </c>
    </row>
    <row r="224" spans="1:21" ht="14.4" customHeight="1" x14ac:dyDescent="0.3">
      <c r="A224" s="710">
        <v>30</v>
      </c>
      <c r="B224" s="711" t="s">
        <v>501</v>
      </c>
      <c r="C224" s="711">
        <v>89301303</v>
      </c>
      <c r="D224" s="712" t="s">
        <v>2660</v>
      </c>
      <c r="E224" s="713" t="s">
        <v>2093</v>
      </c>
      <c r="F224" s="711" t="s">
        <v>2085</v>
      </c>
      <c r="G224" s="711" t="s">
        <v>2106</v>
      </c>
      <c r="H224" s="711" t="s">
        <v>1480</v>
      </c>
      <c r="I224" s="711" t="s">
        <v>1593</v>
      </c>
      <c r="J224" s="711" t="s">
        <v>1598</v>
      </c>
      <c r="K224" s="711" t="s">
        <v>942</v>
      </c>
      <c r="L224" s="714">
        <v>130.59</v>
      </c>
      <c r="M224" s="714">
        <v>1175.31</v>
      </c>
      <c r="N224" s="711">
        <v>9</v>
      </c>
      <c r="O224" s="715">
        <v>2.5</v>
      </c>
      <c r="P224" s="714">
        <v>391.77</v>
      </c>
      <c r="Q224" s="716">
        <v>0.33333333333333331</v>
      </c>
      <c r="R224" s="711">
        <v>3</v>
      </c>
      <c r="S224" s="716">
        <v>0.33333333333333331</v>
      </c>
      <c r="T224" s="715">
        <v>0.5</v>
      </c>
      <c r="U224" s="717">
        <v>0.2</v>
      </c>
    </row>
    <row r="225" spans="1:21" ht="14.4" customHeight="1" x14ac:dyDescent="0.3">
      <c r="A225" s="710">
        <v>30</v>
      </c>
      <c r="B225" s="711" t="s">
        <v>501</v>
      </c>
      <c r="C225" s="711">
        <v>89301303</v>
      </c>
      <c r="D225" s="712" t="s">
        <v>2660</v>
      </c>
      <c r="E225" s="713" t="s">
        <v>2093</v>
      </c>
      <c r="F225" s="711" t="s">
        <v>2085</v>
      </c>
      <c r="G225" s="711" t="s">
        <v>2106</v>
      </c>
      <c r="H225" s="711" t="s">
        <v>1480</v>
      </c>
      <c r="I225" s="711" t="s">
        <v>1669</v>
      </c>
      <c r="J225" s="711" t="s">
        <v>2015</v>
      </c>
      <c r="K225" s="711" t="s">
        <v>2016</v>
      </c>
      <c r="L225" s="714">
        <v>201.88</v>
      </c>
      <c r="M225" s="714">
        <v>1211.28</v>
      </c>
      <c r="N225" s="711">
        <v>6</v>
      </c>
      <c r="O225" s="715">
        <v>1.5</v>
      </c>
      <c r="P225" s="714">
        <v>807.52</v>
      </c>
      <c r="Q225" s="716">
        <v>0.66666666666666663</v>
      </c>
      <c r="R225" s="711">
        <v>4</v>
      </c>
      <c r="S225" s="716">
        <v>0.66666666666666663</v>
      </c>
      <c r="T225" s="715">
        <v>1</v>
      </c>
      <c r="U225" s="717">
        <v>0.66666666666666663</v>
      </c>
    </row>
    <row r="226" spans="1:21" ht="14.4" customHeight="1" x14ac:dyDescent="0.3">
      <c r="A226" s="710">
        <v>30</v>
      </c>
      <c r="B226" s="711" t="s">
        <v>501</v>
      </c>
      <c r="C226" s="711">
        <v>89301303</v>
      </c>
      <c r="D226" s="712" t="s">
        <v>2660</v>
      </c>
      <c r="E226" s="713" t="s">
        <v>2093</v>
      </c>
      <c r="F226" s="711" t="s">
        <v>2085</v>
      </c>
      <c r="G226" s="711" t="s">
        <v>2110</v>
      </c>
      <c r="H226" s="711" t="s">
        <v>1480</v>
      </c>
      <c r="I226" s="711" t="s">
        <v>2111</v>
      </c>
      <c r="J226" s="711" t="s">
        <v>2112</v>
      </c>
      <c r="K226" s="711" t="s">
        <v>2113</v>
      </c>
      <c r="L226" s="714">
        <v>41.89</v>
      </c>
      <c r="M226" s="714">
        <v>209.45</v>
      </c>
      <c r="N226" s="711">
        <v>5</v>
      </c>
      <c r="O226" s="715">
        <v>1.5</v>
      </c>
      <c r="P226" s="714">
        <v>83.78</v>
      </c>
      <c r="Q226" s="716">
        <v>0.4</v>
      </c>
      <c r="R226" s="711">
        <v>2</v>
      </c>
      <c r="S226" s="716">
        <v>0.4</v>
      </c>
      <c r="T226" s="715">
        <v>1</v>
      </c>
      <c r="U226" s="717">
        <v>0.66666666666666663</v>
      </c>
    </row>
    <row r="227" spans="1:21" ht="14.4" customHeight="1" x14ac:dyDescent="0.3">
      <c r="A227" s="710">
        <v>30</v>
      </c>
      <c r="B227" s="711" t="s">
        <v>501</v>
      </c>
      <c r="C227" s="711">
        <v>89301303</v>
      </c>
      <c r="D227" s="712" t="s">
        <v>2660</v>
      </c>
      <c r="E227" s="713" t="s">
        <v>2093</v>
      </c>
      <c r="F227" s="711" t="s">
        <v>2085</v>
      </c>
      <c r="G227" s="711" t="s">
        <v>2244</v>
      </c>
      <c r="H227" s="711" t="s">
        <v>500</v>
      </c>
      <c r="I227" s="711" t="s">
        <v>2356</v>
      </c>
      <c r="J227" s="711" t="s">
        <v>2357</v>
      </c>
      <c r="K227" s="711" t="s">
        <v>2358</v>
      </c>
      <c r="L227" s="714">
        <v>31.43</v>
      </c>
      <c r="M227" s="714">
        <v>94.289999999999992</v>
      </c>
      <c r="N227" s="711">
        <v>3</v>
      </c>
      <c r="O227" s="715">
        <v>1</v>
      </c>
      <c r="P227" s="714">
        <v>94.289999999999992</v>
      </c>
      <c r="Q227" s="716">
        <v>1</v>
      </c>
      <c r="R227" s="711">
        <v>3</v>
      </c>
      <c r="S227" s="716">
        <v>1</v>
      </c>
      <c r="T227" s="715">
        <v>1</v>
      </c>
      <c r="U227" s="717">
        <v>1</v>
      </c>
    </row>
    <row r="228" spans="1:21" ht="14.4" customHeight="1" x14ac:dyDescent="0.3">
      <c r="A228" s="710">
        <v>30</v>
      </c>
      <c r="B228" s="711" t="s">
        <v>501</v>
      </c>
      <c r="C228" s="711">
        <v>89301303</v>
      </c>
      <c r="D228" s="712" t="s">
        <v>2660</v>
      </c>
      <c r="E228" s="713" t="s">
        <v>2093</v>
      </c>
      <c r="F228" s="711" t="s">
        <v>2085</v>
      </c>
      <c r="G228" s="711" t="s">
        <v>2244</v>
      </c>
      <c r="H228" s="711" t="s">
        <v>1480</v>
      </c>
      <c r="I228" s="711" t="s">
        <v>1536</v>
      </c>
      <c r="J228" s="711" t="s">
        <v>1537</v>
      </c>
      <c r="K228" s="711" t="s">
        <v>1538</v>
      </c>
      <c r="L228" s="714">
        <v>44.89</v>
      </c>
      <c r="M228" s="714">
        <v>134.67000000000002</v>
      </c>
      <c r="N228" s="711">
        <v>3</v>
      </c>
      <c r="O228" s="715">
        <v>1</v>
      </c>
      <c r="P228" s="714"/>
      <c r="Q228" s="716">
        <v>0</v>
      </c>
      <c r="R228" s="711"/>
      <c r="S228" s="716">
        <v>0</v>
      </c>
      <c r="T228" s="715"/>
      <c r="U228" s="717">
        <v>0</v>
      </c>
    </row>
    <row r="229" spans="1:21" ht="14.4" customHeight="1" x14ac:dyDescent="0.3">
      <c r="A229" s="710">
        <v>30</v>
      </c>
      <c r="B229" s="711" t="s">
        <v>501</v>
      </c>
      <c r="C229" s="711">
        <v>89301303</v>
      </c>
      <c r="D229" s="712" t="s">
        <v>2660</v>
      </c>
      <c r="E229" s="713" t="s">
        <v>2093</v>
      </c>
      <c r="F229" s="711" t="s">
        <v>2085</v>
      </c>
      <c r="G229" s="711" t="s">
        <v>2244</v>
      </c>
      <c r="H229" s="711" t="s">
        <v>500</v>
      </c>
      <c r="I229" s="711" t="s">
        <v>2411</v>
      </c>
      <c r="J229" s="711" t="s">
        <v>2412</v>
      </c>
      <c r="K229" s="711" t="s">
        <v>1538</v>
      </c>
      <c r="L229" s="714">
        <v>44.89</v>
      </c>
      <c r="M229" s="714">
        <v>134.67000000000002</v>
      </c>
      <c r="N229" s="711">
        <v>3</v>
      </c>
      <c r="O229" s="715">
        <v>1</v>
      </c>
      <c r="P229" s="714">
        <v>134.67000000000002</v>
      </c>
      <c r="Q229" s="716">
        <v>1</v>
      </c>
      <c r="R229" s="711">
        <v>3</v>
      </c>
      <c r="S229" s="716">
        <v>1</v>
      </c>
      <c r="T229" s="715">
        <v>1</v>
      </c>
      <c r="U229" s="717">
        <v>1</v>
      </c>
    </row>
    <row r="230" spans="1:21" ht="14.4" customHeight="1" x14ac:dyDescent="0.3">
      <c r="A230" s="710">
        <v>30</v>
      </c>
      <c r="B230" s="711" t="s">
        <v>501</v>
      </c>
      <c r="C230" s="711">
        <v>89301303</v>
      </c>
      <c r="D230" s="712" t="s">
        <v>2660</v>
      </c>
      <c r="E230" s="713" t="s">
        <v>2093</v>
      </c>
      <c r="F230" s="711" t="s">
        <v>2085</v>
      </c>
      <c r="G230" s="711" t="s">
        <v>2413</v>
      </c>
      <c r="H230" s="711" t="s">
        <v>500</v>
      </c>
      <c r="I230" s="711" t="s">
        <v>835</v>
      </c>
      <c r="J230" s="711" t="s">
        <v>836</v>
      </c>
      <c r="K230" s="711" t="s">
        <v>837</v>
      </c>
      <c r="L230" s="714">
        <v>105.83</v>
      </c>
      <c r="M230" s="714">
        <v>317.49</v>
      </c>
      <c r="N230" s="711">
        <v>3</v>
      </c>
      <c r="O230" s="715">
        <v>0.5</v>
      </c>
      <c r="P230" s="714"/>
      <c r="Q230" s="716">
        <v>0</v>
      </c>
      <c r="R230" s="711"/>
      <c r="S230" s="716">
        <v>0</v>
      </c>
      <c r="T230" s="715"/>
      <c r="U230" s="717">
        <v>0</v>
      </c>
    </row>
    <row r="231" spans="1:21" ht="14.4" customHeight="1" x14ac:dyDescent="0.3">
      <c r="A231" s="710">
        <v>30</v>
      </c>
      <c r="B231" s="711" t="s">
        <v>501</v>
      </c>
      <c r="C231" s="711">
        <v>89301303</v>
      </c>
      <c r="D231" s="712" t="s">
        <v>2660</v>
      </c>
      <c r="E231" s="713" t="s">
        <v>2093</v>
      </c>
      <c r="F231" s="711" t="s">
        <v>2085</v>
      </c>
      <c r="G231" s="711" t="s">
        <v>2413</v>
      </c>
      <c r="H231" s="711" t="s">
        <v>500</v>
      </c>
      <c r="I231" s="711" t="s">
        <v>2414</v>
      </c>
      <c r="J231" s="711" t="s">
        <v>2415</v>
      </c>
      <c r="K231" s="711" t="s">
        <v>837</v>
      </c>
      <c r="L231" s="714">
        <v>120.95</v>
      </c>
      <c r="M231" s="714">
        <v>120.95</v>
      </c>
      <c r="N231" s="711">
        <v>1</v>
      </c>
      <c r="O231" s="715">
        <v>1</v>
      </c>
      <c r="P231" s="714"/>
      <c r="Q231" s="716">
        <v>0</v>
      </c>
      <c r="R231" s="711"/>
      <c r="S231" s="716">
        <v>0</v>
      </c>
      <c r="T231" s="715"/>
      <c r="U231" s="717">
        <v>0</v>
      </c>
    </row>
    <row r="232" spans="1:21" ht="14.4" customHeight="1" x14ac:dyDescent="0.3">
      <c r="A232" s="710">
        <v>30</v>
      </c>
      <c r="B232" s="711" t="s">
        <v>501</v>
      </c>
      <c r="C232" s="711">
        <v>89301303</v>
      </c>
      <c r="D232" s="712" t="s">
        <v>2660</v>
      </c>
      <c r="E232" s="713" t="s">
        <v>2093</v>
      </c>
      <c r="F232" s="711" t="s">
        <v>2085</v>
      </c>
      <c r="G232" s="711" t="s">
        <v>2416</v>
      </c>
      <c r="H232" s="711" t="s">
        <v>500</v>
      </c>
      <c r="I232" s="711" t="s">
        <v>847</v>
      </c>
      <c r="J232" s="711" t="s">
        <v>2417</v>
      </c>
      <c r="K232" s="711" t="s">
        <v>2418</v>
      </c>
      <c r="L232" s="714">
        <v>0</v>
      </c>
      <c r="M232" s="714">
        <v>0</v>
      </c>
      <c r="N232" s="711">
        <v>2</v>
      </c>
      <c r="O232" s="715">
        <v>1</v>
      </c>
      <c r="P232" s="714"/>
      <c r="Q232" s="716"/>
      <c r="R232" s="711"/>
      <c r="S232" s="716">
        <v>0</v>
      </c>
      <c r="T232" s="715"/>
      <c r="U232" s="717">
        <v>0</v>
      </c>
    </row>
    <row r="233" spans="1:21" ht="14.4" customHeight="1" x14ac:dyDescent="0.3">
      <c r="A233" s="710">
        <v>30</v>
      </c>
      <c r="B233" s="711" t="s">
        <v>501</v>
      </c>
      <c r="C233" s="711">
        <v>89301303</v>
      </c>
      <c r="D233" s="712" t="s">
        <v>2660</v>
      </c>
      <c r="E233" s="713" t="s">
        <v>2093</v>
      </c>
      <c r="F233" s="711" t="s">
        <v>2085</v>
      </c>
      <c r="G233" s="711" t="s">
        <v>2247</v>
      </c>
      <c r="H233" s="711" t="s">
        <v>1480</v>
      </c>
      <c r="I233" s="711" t="s">
        <v>1646</v>
      </c>
      <c r="J233" s="711" t="s">
        <v>1647</v>
      </c>
      <c r="K233" s="711" t="s">
        <v>2066</v>
      </c>
      <c r="L233" s="714">
        <v>162.13</v>
      </c>
      <c r="M233" s="714">
        <v>162.13</v>
      </c>
      <c r="N233" s="711">
        <v>1</v>
      </c>
      <c r="O233" s="715">
        <v>0.5</v>
      </c>
      <c r="P233" s="714">
        <v>162.13</v>
      </c>
      <c r="Q233" s="716">
        <v>1</v>
      </c>
      <c r="R233" s="711">
        <v>1</v>
      </c>
      <c r="S233" s="716">
        <v>1</v>
      </c>
      <c r="T233" s="715">
        <v>0.5</v>
      </c>
      <c r="U233" s="717">
        <v>1</v>
      </c>
    </row>
    <row r="234" spans="1:21" ht="14.4" customHeight="1" x14ac:dyDescent="0.3">
      <c r="A234" s="710">
        <v>30</v>
      </c>
      <c r="B234" s="711" t="s">
        <v>501</v>
      </c>
      <c r="C234" s="711">
        <v>89301303</v>
      </c>
      <c r="D234" s="712" t="s">
        <v>2660</v>
      </c>
      <c r="E234" s="713" t="s">
        <v>2093</v>
      </c>
      <c r="F234" s="711" t="s">
        <v>2085</v>
      </c>
      <c r="G234" s="711" t="s">
        <v>2419</v>
      </c>
      <c r="H234" s="711" t="s">
        <v>500</v>
      </c>
      <c r="I234" s="711" t="s">
        <v>2420</v>
      </c>
      <c r="J234" s="711" t="s">
        <v>2421</v>
      </c>
      <c r="K234" s="711" t="s">
        <v>1538</v>
      </c>
      <c r="L234" s="714">
        <v>137.75</v>
      </c>
      <c r="M234" s="714">
        <v>137.75</v>
      </c>
      <c r="N234" s="711">
        <v>1</v>
      </c>
      <c r="O234" s="715">
        <v>1</v>
      </c>
      <c r="P234" s="714">
        <v>137.75</v>
      </c>
      <c r="Q234" s="716">
        <v>1</v>
      </c>
      <c r="R234" s="711">
        <v>1</v>
      </c>
      <c r="S234" s="716">
        <v>1</v>
      </c>
      <c r="T234" s="715">
        <v>1</v>
      </c>
      <c r="U234" s="717">
        <v>1</v>
      </c>
    </row>
    <row r="235" spans="1:21" ht="14.4" customHeight="1" x14ac:dyDescent="0.3">
      <c r="A235" s="710">
        <v>30</v>
      </c>
      <c r="B235" s="711" t="s">
        <v>501</v>
      </c>
      <c r="C235" s="711">
        <v>89301303</v>
      </c>
      <c r="D235" s="712" t="s">
        <v>2660</v>
      </c>
      <c r="E235" s="713" t="s">
        <v>2093</v>
      </c>
      <c r="F235" s="711" t="s">
        <v>2085</v>
      </c>
      <c r="G235" s="711" t="s">
        <v>2314</v>
      </c>
      <c r="H235" s="711" t="s">
        <v>500</v>
      </c>
      <c r="I235" s="711" t="s">
        <v>832</v>
      </c>
      <c r="J235" s="711" t="s">
        <v>2315</v>
      </c>
      <c r="K235" s="711" t="s">
        <v>2316</v>
      </c>
      <c r="L235" s="714">
        <v>36.89</v>
      </c>
      <c r="M235" s="714">
        <v>332.01</v>
      </c>
      <c r="N235" s="711">
        <v>9</v>
      </c>
      <c r="O235" s="715">
        <v>1.5</v>
      </c>
      <c r="P235" s="714">
        <v>221.34</v>
      </c>
      <c r="Q235" s="716">
        <v>0.66666666666666674</v>
      </c>
      <c r="R235" s="711">
        <v>6</v>
      </c>
      <c r="S235" s="716">
        <v>0.66666666666666663</v>
      </c>
      <c r="T235" s="715">
        <v>1</v>
      </c>
      <c r="U235" s="717">
        <v>0.66666666666666663</v>
      </c>
    </row>
    <row r="236" spans="1:21" ht="14.4" customHeight="1" x14ac:dyDescent="0.3">
      <c r="A236" s="710">
        <v>30</v>
      </c>
      <c r="B236" s="711" t="s">
        <v>501</v>
      </c>
      <c r="C236" s="711">
        <v>89301303</v>
      </c>
      <c r="D236" s="712" t="s">
        <v>2660</v>
      </c>
      <c r="E236" s="713" t="s">
        <v>2093</v>
      </c>
      <c r="F236" s="711" t="s">
        <v>2085</v>
      </c>
      <c r="G236" s="711" t="s">
        <v>2422</v>
      </c>
      <c r="H236" s="711" t="s">
        <v>500</v>
      </c>
      <c r="I236" s="711" t="s">
        <v>2423</v>
      </c>
      <c r="J236" s="711" t="s">
        <v>2424</v>
      </c>
      <c r="K236" s="711" t="s">
        <v>2425</v>
      </c>
      <c r="L236" s="714">
        <v>147.36000000000001</v>
      </c>
      <c r="M236" s="714">
        <v>147.36000000000001</v>
      </c>
      <c r="N236" s="711">
        <v>1</v>
      </c>
      <c r="O236" s="715">
        <v>0.5</v>
      </c>
      <c r="P236" s="714">
        <v>147.36000000000001</v>
      </c>
      <c r="Q236" s="716">
        <v>1</v>
      </c>
      <c r="R236" s="711">
        <v>1</v>
      </c>
      <c r="S236" s="716">
        <v>1</v>
      </c>
      <c r="T236" s="715">
        <v>0.5</v>
      </c>
      <c r="U236" s="717">
        <v>1</v>
      </c>
    </row>
    <row r="237" spans="1:21" ht="14.4" customHeight="1" x14ac:dyDescent="0.3">
      <c r="A237" s="710">
        <v>30</v>
      </c>
      <c r="B237" s="711" t="s">
        <v>501</v>
      </c>
      <c r="C237" s="711">
        <v>89301303</v>
      </c>
      <c r="D237" s="712" t="s">
        <v>2660</v>
      </c>
      <c r="E237" s="713" t="s">
        <v>2093</v>
      </c>
      <c r="F237" s="711" t="s">
        <v>2085</v>
      </c>
      <c r="G237" s="711" t="s">
        <v>2426</v>
      </c>
      <c r="H237" s="711" t="s">
        <v>500</v>
      </c>
      <c r="I237" s="711" t="s">
        <v>1107</v>
      </c>
      <c r="J237" s="711" t="s">
        <v>1108</v>
      </c>
      <c r="K237" s="711" t="s">
        <v>1109</v>
      </c>
      <c r="L237" s="714">
        <v>84.78</v>
      </c>
      <c r="M237" s="714">
        <v>169.56</v>
      </c>
      <c r="N237" s="711">
        <v>2</v>
      </c>
      <c r="O237" s="715">
        <v>1</v>
      </c>
      <c r="P237" s="714">
        <v>169.56</v>
      </c>
      <c r="Q237" s="716">
        <v>1</v>
      </c>
      <c r="R237" s="711">
        <v>2</v>
      </c>
      <c r="S237" s="716">
        <v>1</v>
      </c>
      <c r="T237" s="715">
        <v>1</v>
      </c>
      <c r="U237" s="717">
        <v>1</v>
      </c>
    </row>
    <row r="238" spans="1:21" ht="14.4" customHeight="1" x14ac:dyDescent="0.3">
      <c r="A238" s="710">
        <v>30</v>
      </c>
      <c r="B238" s="711" t="s">
        <v>501</v>
      </c>
      <c r="C238" s="711">
        <v>89301303</v>
      </c>
      <c r="D238" s="712" t="s">
        <v>2660</v>
      </c>
      <c r="E238" s="713" t="s">
        <v>2093</v>
      </c>
      <c r="F238" s="711" t="s">
        <v>2085</v>
      </c>
      <c r="G238" s="711" t="s">
        <v>2426</v>
      </c>
      <c r="H238" s="711" t="s">
        <v>500</v>
      </c>
      <c r="I238" s="711" t="s">
        <v>2427</v>
      </c>
      <c r="J238" s="711" t="s">
        <v>2428</v>
      </c>
      <c r="K238" s="711" t="s">
        <v>2429</v>
      </c>
      <c r="L238" s="714">
        <v>106.49</v>
      </c>
      <c r="M238" s="714">
        <v>319.46999999999997</v>
      </c>
      <c r="N238" s="711">
        <v>3</v>
      </c>
      <c r="O238" s="715">
        <v>0.5</v>
      </c>
      <c r="P238" s="714">
        <v>319.46999999999997</v>
      </c>
      <c r="Q238" s="716">
        <v>1</v>
      </c>
      <c r="R238" s="711">
        <v>3</v>
      </c>
      <c r="S238" s="716">
        <v>1</v>
      </c>
      <c r="T238" s="715">
        <v>0.5</v>
      </c>
      <c r="U238" s="717">
        <v>1</v>
      </c>
    </row>
    <row r="239" spans="1:21" ht="14.4" customHeight="1" x14ac:dyDescent="0.3">
      <c r="A239" s="710">
        <v>30</v>
      </c>
      <c r="B239" s="711" t="s">
        <v>501</v>
      </c>
      <c r="C239" s="711">
        <v>89301303</v>
      </c>
      <c r="D239" s="712" t="s">
        <v>2660</v>
      </c>
      <c r="E239" s="713" t="s">
        <v>2093</v>
      </c>
      <c r="F239" s="711" t="s">
        <v>2085</v>
      </c>
      <c r="G239" s="711" t="s">
        <v>2248</v>
      </c>
      <c r="H239" s="711" t="s">
        <v>500</v>
      </c>
      <c r="I239" s="711" t="s">
        <v>2430</v>
      </c>
      <c r="J239" s="711" t="s">
        <v>669</v>
      </c>
      <c r="K239" s="711" t="s">
        <v>1984</v>
      </c>
      <c r="L239" s="714">
        <v>115.3</v>
      </c>
      <c r="M239" s="714">
        <v>461.2</v>
      </c>
      <c r="N239" s="711">
        <v>4</v>
      </c>
      <c r="O239" s="715">
        <v>1</v>
      </c>
      <c r="P239" s="714">
        <v>461.2</v>
      </c>
      <c r="Q239" s="716">
        <v>1</v>
      </c>
      <c r="R239" s="711">
        <v>4</v>
      </c>
      <c r="S239" s="716">
        <v>1</v>
      </c>
      <c r="T239" s="715">
        <v>1</v>
      </c>
      <c r="U239" s="717">
        <v>1</v>
      </c>
    </row>
    <row r="240" spans="1:21" ht="14.4" customHeight="1" x14ac:dyDescent="0.3">
      <c r="A240" s="710">
        <v>30</v>
      </c>
      <c r="B240" s="711" t="s">
        <v>501</v>
      </c>
      <c r="C240" s="711">
        <v>89301303</v>
      </c>
      <c r="D240" s="712" t="s">
        <v>2660</v>
      </c>
      <c r="E240" s="713" t="s">
        <v>2093</v>
      </c>
      <c r="F240" s="711" t="s">
        <v>2085</v>
      </c>
      <c r="G240" s="711" t="s">
        <v>2431</v>
      </c>
      <c r="H240" s="711" t="s">
        <v>500</v>
      </c>
      <c r="I240" s="711" t="s">
        <v>2432</v>
      </c>
      <c r="J240" s="711" t="s">
        <v>2433</v>
      </c>
      <c r="K240" s="711" t="s">
        <v>2434</v>
      </c>
      <c r="L240" s="714">
        <v>41.55</v>
      </c>
      <c r="M240" s="714">
        <v>41.55</v>
      </c>
      <c r="N240" s="711">
        <v>1</v>
      </c>
      <c r="O240" s="715">
        <v>1</v>
      </c>
      <c r="P240" s="714"/>
      <c r="Q240" s="716">
        <v>0</v>
      </c>
      <c r="R240" s="711"/>
      <c r="S240" s="716">
        <v>0</v>
      </c>
      <c r="T240" s="715"/>
      <c r="U240" s="717">
        <v>0</v>
      </c>
    </row>
    <row r="241" spans="1:21" ht="14.4" customHeight="1" x14ac:dyDescent="0.3">
      <c r="A241" s="710">
        <v>30</v>
      </c>
      <c r="B241" s="711" t="s">
        <v>501</v>
      </c>
      <c r="C241" s="711">
        <v>89301303</v>
      </c>
      <c r="D241" s="712" t="s">
        <v>2660</v>
      </c>
      <c r="E241" s="713" t="s">
        <v>2093</v>
      </c>
      <c r="F241" s="711" t="s">
        <v>2085</v>
      </c>
      <c r="G241" s="711" t="s">
        <v>2178</v>
      </c>
      <c r="H241" s="711" t="s">
        <v>500</v>
      </c>
      <c r="I241" s="711" t="s">
        <v>913</v>
      </c>
      <c r="J241" s="711" t="s">
        <v>2179</v>
      </c>
      <c r="K241" s="711" t="s">
        <v>2180</v>
      </c>
      <c r="L241" s="714">
        <v>66.599999999999994</v>
      </c>
      <c r="M241" s="714">
        <v>66.599999999999994</v>
      </c>
      <c r="N241" s="711">
        <v>1</v>
      </c>
      <c r="O241" s="715">
        <v>0.5</v>
      </c>
      <c r="P241" s="714">
        <v>66.599999999999994</v>
      </c>
      <c r="Q241" s="716">
        <v>1</v>
      </c>
      <c r="R241" s="711">
        <v>1</v>
      </c>
      <c r="S241" s="716">
        <v>1</v>
      </c>
      <c r="T241" s="715">
        <v>0.5</v>
      </c>
      <c r="U241" s="717">
        <v>1</v>
      </c>
    </row>
    <row r="242" spans="1:21" ht="14.4" customHeight="1" x14ac:dyDescent="0.3">
      <c r="A242" s="710">
        <v>30</v>
      </c>
      <c r="B242" s="711" t="s">
        <v>501</v>
      </c>
      <c r="C242" s="711">
        <v>89301303</v>
      </c>
      <c r="D242" s="712" t="s">
        <v>2660</v>
      </c>
      <c r="E242" s="713" t="s">
        <v>2093</v>
      </c>
      <c r="F242" s="711" t="s">
        <v>2085</v>
      </c>
      <c r="G242" s="711" t="s">
        <v>2367</v>
      </c>
      <c r="H242" s="711" t="s">
        <v>1480</v>
      </c>
      <c r="I242" s="711" t="s">
        <v>2435</v>
      </c>
      <c r="J242" s="711" t="s">
        <v>2436</v>
      </c>
      <c r="K242" s="711" t="s">
        <v>2437</v>
      </c>
      <c r="L242" s="714">
        <v>58.29</v>
      </c>
      <c r="M242" s="714">
        <v>174.87</v>
      </c>
      <c r="N242" s="711">
        <v>3</v>
      </c>
      <c r="O242" s="715">
        <v>0.5</v>
      </c>
      <c r="P242" s="714"/>
      <c r="Q242" s="716">
        <v>0</v>
      </c>
      <c r="R242" s="711"/>
      <c r="S242" s="716">
        <v>0</v>
      </c>
      <c r="T242" s="715"/>
      <c r="U242" s="717">
        <v>0</v>
      </c>
    </row>
    <row r="243" spans="1:21" ht="14.4" customHeight="1" x14ac:dyDescent="0.3">
      <c r="A243" s="710">
        <v>30</v>
      </c>
      <c r="B243" s="711" t="s">
        <v>501</v>
      </c>
      <c r="C243" s="711">
        <v>89301303</v>
      </c>
      <c r="D243" s="712" t="s">
        <v>2660</v>
      </c>
      <c r="E243" s="713" t="s">
        <v>2093</v>
      </c>
      <c r="F243" s="711" t="s">
        <v>2085</v>
      </c>
      <c r="G243" s="711" t="s">
        <v>2438</v>
      </c>
      <c r="H243" s="711" t="s">
        <v>500</v>
      </c>
      <c r="I243" s="711" t="s">
        <v>795</v>
      </c>
      <c r="J243" s="711" t="s">
        <v>2439</v>
      </c>
      <c r="K243" s="711" t="s">
        <v>2440</v>
      </c>
      <c r="L243" s="714">
        <v>110.63</v>
      </c>
      <c r="M243" s="714">
        <v>221.26</v>
      </c>
      <c r="N243" s="711">
        <v>2</v>
      </c>
      <c r="O243" s="715">
        <v>1</v>
      </c>
      <c r="P243" s="714">
        <v>221.26</v>
      </c>
      <c r="Q243" s="716">
        <v>1</v>
      </c>
      <c r="R243" s="711">
        <v>2</v>
      </c>
      <c r="S243" s="716">
        <v>1</v>
      </c>
      <c r="T243" s="715">
        <v>1</v>
      </c>
      <c r="U243" s="717">
        <v>1</v>
      </c>
    </row>
    <row r="244" spans="1:21" ht="14.4" customHeight="1" x14ac:dyDescent="0.3">
      <c r="A244" s="710">
        <v>30</v>
      </c>
      <c r="B244" s="711" t="s">
        <v>501</v>
      </c>
      <c r="C244" s="711">
        <v>89301303</v>
      </c>
      <c r="D244" s="712" t="s">
        <v>2660</v>
      </c>
      <c r="E244" s="713" t="s">
        <v>2093</v>
      </c>
      <c r="F244" s="711" t="s">
        <v>2085</v>
      </c>
      <c r="G244" s="711" t="s">
        <v>2185</v>
      </c>
      <c r="H244" s="711" t="s">
        <v>500</v>
      </c>
      <c r="I244" s="711" t="s">
        <v>813</v>
      </c>
      <c r="J244" s="711" t="s">
        <v>814</v>
      </c>
      <c r="K244" s="711" t="s">
        <v>2186</v>
      </c>
      <c r="L244" s="714">
        <v>163.9</v>
      </c>
      <c r="M244" s="714">
        <v>983.40000000000009</v>
      </c>
      <c r="N244" s="711">
        <v>6</v>
      </c>
      <c r="O244" s="715">
        <v>1</v>
      </c>
      <c r="P244" s="714"/>
      <c r="Q244" s="716">
        <v>0</v>
      </c>
      <c r="R244" s="711"/>
      <c r="S244" s="716">
        <v>0</v>
      </c>
      <c r="T244" s="715"/>
      <c r="U244" s="717">
        <v>0</v>
      </c>
    </row>
    <row r="245" spans="1:21" ht="14.4" customHeight="1" x14ac:dyDescent="0.3">
      <c r="A245" s="710">
        <v>30</v>
      </c>
      <c r="B245" s="711" t="s">
        <v>501</v>
      </c>
      <c r="C245" s="711">
        <v>89301303</v>
      </c>
      <c r="D245" s="712" t="s">
        <v>2660</v>
      </c>
      <c r="E245" s="713" t="s">
        <v>2093</v>
      </c>
      <c r="F245" s="711" t="s">
        <v>2085</v>
      </c>
      <c r="G245" s="711" t="s">
        <v>2441</v>
      </c>
      <c r="H245" s="711" t="s">
        <v>500</v>
      </c>
      <c r="I245" s="711" t="s">
        <v>2442</v>
      </c>
      <c r="J245" s="711" t="s">
        <v>2443</v>
      </c>
      <c r="K245" s="711" t="s">
        <v>754</v>
      </c>
      <c r="L245" s="714">
        <v>33.36</v>
      </c>
      <c r="M245" s="714">
        <v>266.88</v>
      </c>
      <c r="N245" s="711">
        <v>8</v>
      </c>
      <c r="O245" s="715">
        <v>2</v>
      </c>
      <c r="P245" s="714">
        <v>266.88</v>
      </c>
      <c r="Q245" s="716">
        <v>1</v>
      </c>
      <c r="R245" s="711">
        <v>8</v>
      </c>
      <c r="S245" s="716">
        <v>1</v>
      </c>
      <c r="T245" s="715">
        <v>2</v>
      </c>
      <c r="U245" s="717">
        <v>1</v>
      </c>
    </row>
    <row r="246" spans="1:21" ht="14.4" customHeight="1" x14ac:dyDescent="0.3">
      <c r="A246" s="710">
        <v>30</v>
      </c>
      <c r="B246" s="711" t="s">
        <v>501</v>
      </c>
      <c r="C246" s="711">
        <v>89301303</v>
      </c>
      <c r="D246" s="712" t="s">
        <v>2660</v>
      </c>
      <c r="E246" s="713" t="s">
        <v>2093</v>
      </c>
      <c r="F246" s="711" t="s">
        <v>2085</v>
      </c>
      <c r="G246" s="711" t="s">
        <v>2444</v>
      </c>
      <c r="H246" s="711" t="s">
        <v>500</v>
      </c>
      <c r="I246" s="711" t="s">
        <v>2445</v>
      </c>
      <c r="J246" s="711" t="s">
        <v>2446</v>
      </c>
      <c r="K246" s="711" t="s">
        <v>2266</v>
      </c>
      <c r="L246" s="714">
        <v>56.23</v>
      </c>
      <c r="M246" s="714">
        <v>56.23</v>
      </c>
      <c r="N246" s="711">
        <v>1</v>
      </c>
      <c r="O246" s="715">
        <v>1</v>
      </c>
      <c r="P246" s="714">
        <v>56.23</v>
      </c>
      <c r="Q246" s="716">
        <v>1</v>
      </c>
      <c r="R246" s="711">
        <v>1</v>
      </c>
      <c r="S246" s="716">
        <v>1</v>
      </c>
      <c r="T246" s="715">
        <v>1</v>
      </c>
      <c r="U246" s="717">
        <v>1</v>
      </c>
    </row>
    <row r="247" spans="1:21" ht="14.4" customHeight="1" x14ac:dyDescent="0.3">
      <c r="A247" s="710">
        <v>30</v>
      </c>
      <c r="B247" s="711" t="s">
        <v>501</v>
      </c>
      <c r="C247" s="711">
        <v>89301303</v>
      </c>
      <c r="D247" s="712" t="s">
        <v>2660</v>
      </c>
      <c r="E247" s="713" t="s">
        <v>2093</v>
      </c>
      <c r="F247" s="711" t="s">
        <v>2085</v>
      </c>
      <c r="G247" s="711" t="s">
        <v>2444</v>
      </c>
      <c r="H247" s="711" t="s">
        <v>500</v>
      </c>
      <c r="I247" s="711" t="s">
        <v>2447</v>
      </c>
      <c r="J247" s="711" t="s">
        <v>2448</v>
      </c>
      <c r="K247" s="711" t="s">
        <v>837</v>
      </c>
      <c r="L247" s="714">
        <v>33.729999999999997</v>
      </c>
      <c r="M247" s="714">
        <v>101.19</v>
      </c>
      <c r="N247" s="711">
        <v>3</v>
      </c>
      <c r="O247" s="715">
        <v>0.5</v>
      </c>
      <c r="P247" s="714"/>
      <c r="Q247" s="716">
        <v>0</v>
      </c>
      <c r="R247" s="711"/>
      <c r="S247" s="716">
        <v>0</v>
      </c>
      <c r="T247" s="715"/>
      <c r="U247" s="717">
        <v>0</v>
      </c>
    </row>
    <row r="248" spans="1:21" ht="14.4" customHeight="1" x14ac:dyDescent="0.3">
      <c r="A248" s="710">
        <v>30</v>
      </c>
      <c r="B248" s="711" t="s">
        <v>501</v>
      </c>
      <c r="C248" s="711">
        <v>89301303</v>
      </c>
      <c r="D248" s="712" t="s">
        <v>2660</v>
      </c>
      <c r="E248" s="713" t="s">
        <v>2093</v>
      </c>
      <c r="F248" s="711" t="s">
        <v>2085</v>
      </c>
      <c r="G248" s="711" t="s">
        <v>2187</v>
      </c>
      <c r="H248" s="711" t="s">
        <v>500</v>
      </c>
      <c r="I248" s="711" t="s">
        <v>1287</v>
      </c>
      <c r="J248" s="711" t="s">
        <v>1288</v>
      </c>
      <c r="K248" s="711" t="s">
        <v>2188</v>
      </c>
      <c r="L248" s="714">
        <v>23.72</v>
      </c>
      <c r="M248" s="714">
        <v>166.04</v>
      </c>
      <c r="N248" s="711">
        <v>7</v>
      </c>
      <c r="O248" s="715">
        <v>5.5</v>
      </c>
      <c r="P248" s="714">
        <v>118.6</v>
      </c>
      <c r="Q248" s="716">
        <v>0.7142857142857143</v>
      </c>
      <c r="R248" s="711">
        <v>5</v>
      </c>
      <c r="S248" s="716">
        <v>0.7142857142857143</v>
      </c>
      <c r="T248" s="715">
        <v>3.5</v>
      </c>
      <c r="U248" s="717">
        <v>0.63636363636363635</v>
      </c>
    </row>
    <row r="249" spans="1:21" ht="14.4" customHeight="1" x14ac:dyDescent="0.3">
      <c r="A249" s="710">
        <v>30</v>
      </c>
      <c r="B249" s="711" t="s">
        <v>501</v>
      </c>
      <c r="C249" s="711">
        <v>89301303</v>
      </c>
      <c r="D249" s="712" t="s">
        <v>2660</v>
      </c>
      <c r="E249" s="713" t="s">
        <v>2093</v>
      </c>
      <c r="F249" s="711" t="s">
        <v>2085</v>
      </c>
      <c r="G249" s="711" t="s">
        <v>2449</v>
      </c>
      <c r="H249" s="711" t="s">
        <v>1480</v>
      </c>
      <c r="I249" s="711" t="s">
        <v>2450</v>
      </c>
      <c r="J249" s="711" t="s">
        <v>2451</v>
      </c>
      <c r="K249" s="711" t="s">
        <v>1698</v>
      </c>
      <c r="L249" s="714">
        <v>886.91</v>
      </c>
      <c r="M249" s="714">
        <v>886.91</v>
      </c>
      <c r="N249" s="711">
        <v>1</v>
      </c>
      <c r="O249" s="715">
        <v>0.5</v>
      </c>
      <c r="P249" s="714">
        <v>886.91</v>
      </c>
      <c r="Q249" s="716">
        <v>1</v>
      </c>
      <c r="R249" s="711">
        <v>1</v>
      </c>
      <c r="S249" s="716">
        <v>1</v>
      </c>
      <c r="T249" s="715">
        <v>0.5</v>
      </c>
      <c r="U249" s="717">
        <v>1</v>
      </c>
    </row>
    <row r="250" spans="1:21" ht="14.4" customHeight="1" x14ac:dyDescent="0.3">
      <c r="A250" s="710">
        <v>30</v>
      </c>
      <c r="B250" s="711" t="s">
        <v>501</v>
      </c>
      <c r="C250" s="711">
        <v>89301303</v>
      </c>
      <c r="D250" s="712" t="s">
        <v>2660</v>
      </c>
      <c r="E250" s="713" t="s">
        <v>2093</v>
      </c>
      <c r="F250" s="711" t="s">
        <v>2085</v>
      </c>
      <c r="G250" s="711" t="s">
        <v>2452</v>
      </c>
      <c r="H250" s="711" t="s">
        <v>500</v>
      </c>
      <c r="I250" s="711" t="s">
        <v>802</v>
      </c>
      <c r="J250" s="711" t="s">
        <v>803</v>
      </c>
      <c r="K250" s="711" t="s">
        <v>2453</v>
      </c>
      <c r="L250" s="714">
        <v>0</v>
      </c>
      <c r="M250" s="714">
        <v>0</v>
      </c>
      <c r="N250" s="711">
        <v>1</v>
      </c>
      <c r="O250" s="715">
        <v>1</v>
      </c>
      <c r="P250" s="714">
        <v>0</v>
      </c>
      <c r="Q250" s="716"/>
      <c r="R250" s="711">
        <v>1</v>
      </c>
      <c r="S250" s="716">
        <v>1</v>
      </c>
      <c r="T250" s="715">
        <v>1</v>
      </c>
      <c r="U250" s="717">
        <v>1</v>
      </c>
    </row>
    <row r="251" spans="1:21" ht="14.4" customHeight="1" x14ac:dyDescent="0.3">
      <c r="A251" s="710">
        <v>30</v>
      </c>
      <c r="B251" s="711" t="s">
        <v>501</v>
      </c>
      <c r="C251" s="711">
        <v>89301303</v>
      </c>
      <c r="D251" s="712" t="s">
        <v>2660</v>
      </c>
      <c r="E251" s="713" t="s">
        <v>2093</v>
      </c>
      <c r="F251" s="711" t="s">
        <v>2085</v>
      </c>
      <c r="G251" s="711" t="s">
        <v>2263</v>
      </c>
      <c r="H251" s="711" t="s">
        <v>500</v>
      </c>
      <c r="I251" s="711" t="s">
        <v>2264</v>
      </c>
      <c r="J251" s="711" t="s">
        <v>2265</v>
      </c>
      <c r="K251" s="711" t="s">
        <v>2266</v>
      </c>
      <c r="L251" s="714">
        <v>30.65</v>
      </c>
      <c r="M251" s="714">
        <v>153.25</v>
      </c>
      <c r="N251" s="711">
        <v>5</v>
      </c>
      <c r="O251" s="715">
        <v>3</v>
      </c>
      <c r="P251" s="714">
        <v>61.3</v>
      </c>
      <c r="Q251" s="716">
        <v>0.39999999999999997</v>
      </c>
      <c r="R251" s="711">
        <v>2</v>
      </c>
      <c r="S251" s="716">
        <v>0.4</v>
      </c>
      <c r="T251" s="715">
        <v>1</v>
      </c>
      <c r="U251" s="717">
        <v>0.33333333333333331</v>
      </c>
    </row>
    <row r="252" spans="1:21" ht="14.4" customHeight="1" x14ac:dyDescent="0.3">
      <c r="A252" s="710">
        <v>30</v>
      </c>
      <c r="B252" s="711" t="s">
        <v>501</v>
      </c>
      <c r="C252" s="711">
        <v>89301303</v>
      </c>
      <c r="D252" s="712" t="s">
        <v>2660</v>
      </c>
      <c r="E252" s="713" t="s">
        <v>2093</v>
      </c>
      <c r="F252" s="711" t="s">
        <v>2085</v>
      </c>
      <c r="G252" s="711" t="s">
        <v>2263</v>
      </c>
      <c r="H252" s="711" t="s">
        <v>500</v>
      </c>
      <c r="I252" s="711" t="s">
        <v>2322</v>
      </c>
      <c r="J252" s="711" t="s">
        <v>806</v>
      </c>
      <c r="K252" s="711" t="s">
        <v>2323</v>
      </c>
      <c r="L252" s="714">
        <v>30.65</v>
      </c>
      <c r="M252" s="714">
        <v>61.3</v>
      </c>
      <c r="N252" s="711">
        <v>2</v>
      </c>
      <c r="O252" s="715">
        <v>1</v>
      </c>
      <c r="P252" s="714">
        <v>61.3</v>
      </c>
      <c r="Q252" s="716">
        <v>1</v>
      </c>
      <c r="R252" s="711">
        <v>2</v>
      </c>
      <c r="S252" s="716">
        <v>1</v>
      </c>
      <c r="T252" s="715">
        <v>1</v>
      </c>
      <c r="U252" s="717">
        <v>1</v>
      </c>
    </row>
    <row r="253" spans="1:21" ht="14.4" customHeight="1" x14ac:dyDescent="0.3">
      <c r="A253" s="710">
        <v>30</v>
      </c>
      <c r="B253" s="711" t="s">
        <v>501</v>
      </c>
      <c r="C253" s="711">
        <v>89301303</v>
      </c>
      <c r="D253" s="712" t="s">
        <v>2660</v>
      </c>
      <c r="E253" s="713" t="s">
        <v>2093</v>
      </c>
      <c r="F253" s="711" t="s">
        <v>2085</v>
      </c>
      <c r="G253" s="711" t="s">
        <v>2131</v>
      </c>
      <c r="H253" s="711" t="s">
        <v>1480</v>
      </c>
      <c r="I253" s="711" t="s">
        <v>2454</v>
      </c>
      <c r="J253" s="711" t="s">
        <v>530</v>
      </c>
      <c r="K253" s="711" t="s">
        <v>2455</v>
      </c>
      <c r="L253" s="714">
        <v>50.57</v>
      </c>
      <c r="M253" s="714">
        <v>50.57</v>
      </c>
      <c r="N253" s="711">
        <v>1</v>
      </c>
      <c r="O253" s="715">
        <v>1</v>
      </c>
      <c r="P253" s="714"/>
      <c r="Q253" s="716">
        <v>0</v>
      </c>
      <c r="R253" s="711"/>
      <c r="S253" s="716">
        <v>0</v>
      </c>
      <c r="T253" s="715"/>
      <c r="U253" s="717">
        <v>0</v>
      </c>
    </row>
    <row r="254" spans="1:21" ht="14.4" customHeight="1" x14ac:dyDescent="0.3">
      <c r="A254" s="710">
        <v>30</v>
      </c>
      <c r="B254" s="711" t="s">
        <v>501</v>
      </c>
      <c r="C254" s="711">
        <v>89301303</v>
      </c>
      <c r="D254" s="712" t="s">
        <v>2660</v>
      </c>
      <c r="E254" s="713" t="s">
        <v>2093</v>
      </c>
      <c r="F254" s="711" t="s">
        <v>2085</v>
      </c>
      <c r="G254" s="711" t="s">
        <v>2131</v>
      </c>
      <c r="H254" s="711" t="s">
        <v>1480</v>
      </c>
      <c r="I254" s="711" t="s">
        <v>2132</v>
      </c>
      <c r="J254" s="711" t="s">
        <v>2133</v>
      </c>
      <c r="K254" s="711" t="s">
        <v>2134</v>
      </c>
      <c r="L254" s="714">
        <v>86.76</v>
      </c>
      <c r="M254" s="714">
        <v>86.76</v>
      </c>
      <c r="N254" s="711">
        <v>1</v>
      </c>
      <c r="O254" s="715">
        <v>1</v>
      </c>
      <c r="P254" s="714"/>
      <c r="Q254" s="716">
        <v>0</v>
      </c>
      <c r="R254" s="711"/>
      <c r="S254" s="716">
        <v>0</v>
      </c>
      <c r="T254" s="715"/>
      <c r="U254" s="717">
        <v>0</v>
      </c>
    </row>
    <row r="255" spans="1:21" ht="14.4" customHeight="1" x14ac:dyDescent="0.3">
      <c r="A255" s="710">
        <v>30</v>
      </c>
      <c r="B255" s="711" t="s">
        <v>501</v>
      </c>
      <c r="C255" s="711">
        <v>89301303</v>
      </c>
      <c r="D255" s="712" t="s">
        <v>2660</v>
      </c>
      <c r="E255" s="713" t="s">
        <v>2093</v>
      </c>
      <c r="F255" s="711" t="s">
        <v>2085</v>
      </c>
      <c r="G255" s="711" t="s">
        <v>2131</v>
      </c>
      <c r="H255" s="711" t="s">
        <v>500</v>
      </c>
      <c r="I255" s="711" t="s">
        <v>2456</v>
      </c>
      <c r="J255" s="711" t="s">
        <v>2457</v>
      </c>
      <c r="K255" s="711" t="s">
        <v>2458</v>
      </c>
      <c r="L255" s="714">
        <v>130.15</v>
      </c>
      <c r="M255" s="714">
        <v>130.15</v>
      </c>
      <c r="N255" s="711">
        <v>1</v>
      </c>
      <c r="O255" s="715">
        <v>0.5</v>
      </c>
      <c r="P255" s="714"/>
      <c r="Q255" s="716">
        <v>0</v>
      </c>
      <c r="R255" s="711"/>
      <c r="S255" s="716">
        <v>0</v>
      </c>
      <c r="T255" s="715"/>
      <c r="U255" s="717">
        <v>0</v>
      </c>
    </row>
    <row r="256" spans="1:21" ht="14.4" customHeight="1" x14ac:dyDescent="0.3">
      <c r="A256" s="710">
        <v>30</v>
      </c>
      <c r="B256" s="711" t="s">
        <v>501</v>
      </c>
      <c r="C256" s="711">
        <v>89301303</v>
      </c>
      <c r="D256" s="712" t="s">
        <v>2660</v>
      </c>
      <c r="E256" s="713" t="s">
        <v>2093</v>
      </c>
      <c r="F256" s="711" t="s">
        <v>2085</v>
      </c>
      <c r="G256" s="711" t="s">
        <v>2131</v>
      </c>
      <c r="H256" s="711" t="s">
        <v>500</v>
      </c>
      <c r="I256" s="711" t="s">
        <v>1099</v>
      </c>
      <c r="J256" s="711" t="s">
        <v>2274</v>
      </c>
      <c r="K256" s="711" t="s">
        <v>2275</v>
      </c>
      <c r="L256" s="714">
        <v>86.76</v>
      </c>
      <c r="M256" s="714">
        <v>86.76</v>
      </c>
      <c r="N256" s="711">
        <v>1</v>
      </c>
      <c r="O256" s="715">
        <v>0.5</v>
      </c>
      <c r="P256" s="714"/>
      <c r="Q256" s="716">
        <v>0</v>
      </c>
      <c r="R256" s="711"/>
      <c r="S256" s="716">
        <v>0</v>
      </c>
      <c r="T256" s="715"/>
      <c r="U256" s="717">
        <v>0</v>
      </c>
    </row>
    <row r="257" spans="1:21" ht="14.4" customHeight="1" x14ac:dyDescent="0.3">
      <c r="A257" s="710">
        <v>30</v>
      </c>
      <c r="B257" s="711" t="s">
        <v>501</v>
      </c>
      <c r="C257" s="711">
        <v>89301303</v>
      </c>
      <c r="D257" s="712" t="s">
        <v>2660</v>
      </c>
      <c r="E257" s="713" t="s">
        <v>2093</v>
      </c>
      <c r="F257" s="711" t="s">
        <v>2085</v>
      </c>
      <c r="G257" s="711" t="s">
        <v>2135</v>
      </c>
      <c r="H257" s="711" t="s">
        <v>500</v>
      </c>
      <c r="I257" s="711" t="s">
        <v>2459</v>
      </c>
      <c r="J257" s="711" t="s">
        <v>2460</v>
      </c>
      <c r="K257" s="711" t="s">
        <v>528</v>
      </c>
      <c r="L257" s="714">
        <v>0</v>
      </c>
      <c r="M257" s="714">
        <v>0</v>
      </c>
      <c r="N257" s="711">
        <v>3</v>
      </c>
      <c r="O257" s="715">
        <v>0.5</v>
      </c>
      <c r="P257" s="714"/>
      <c r="Q257" s="716"/>
      <c r="R257" s="711"/>
      <c r="S257" s="716">
        <v>0</v>
      </c>
      <c r="T257" s="715"/>
      <c r="U257" s="717">
        <v>0</v>
      </c>
    </row>
    <row r="258" spans="1:21" ht="14.4" customHeight="1" x14ac:dyDescent="0.3">
      <c r="A258" s="710">
        <v>30</v>
      </c>
      <c r="B258" s="711" t="s">
        <v>501</v>
      </c>
      <c r="C258" s="711">
        <v>89301303</v>
      </c>
      <c r="D258" s="712" t="s">
        <v>2660</v>
      </c>
      <c r="E258" s="713" t="s">
        <v>2093</v>
      </c>
      <c r="F258" s="711" t="s">
        <v>2085</v>
      </c>
      <c r="G258" s="711" t="s">
        <v>2461</v>
      </c>
      <c r="H258" s="711" t="s">
        <v>1480</v>
      </c>
      <c r="I258" s="711" t="s">
        <v>2462</v>
      </c>
      <c r="J258" s="711" t="s">
        <v>1511</v>
      </c>
      <c r="K258" s="711" t="s">
        <v>1068</v>
      </c>
      <c r="L258" s="714">
        <v>250.62</v>
      </c>
      <c r="M258" s="714">
        <v>250.62</v>
      </c>
      <c r="N258" s="711">
        <v>1</v>
      </c>
      <c r="O258" s="715">
        <v>0.5</v>
      </c>
      <c r="P258" s="714">
        <v>250.62</v>
      </c>
      <c r="Q258" s="716">
        <v>1</v>
      </c>
      <c r="R258" s="711">
        <v>1</v>
      </c>
      <c r="S258" s="716">
        <v>1</v>
      </c>
      <c r="T258" s="715">
        <v>0.5</v>
      </c>
      <c r="U258" s="717">
        <v>1</v>
      </c>
    </row>
    <row r="259" spans="1:21" ht="14.4" customHeight="1" x14ac:dyDescent="0.3">
      <c r="A259" s="710">
        <v>30</v>
      </c>
      <c r="B259" s="711" t="s">
        <v>501</v>
      </c>
      <c r="C259" s="711">
        <v>89301303</v>
      </c>
      <c r="D259" s="712" t="s">
        <v>2660</v>
      </c>
      <c r="E259" s="713" t="s">
        <v>2093</v>
      </c>
      <c r="F259" s="711" t="s">
        <v>2085</v>
      </c>
      <c r="G259" s="711" t="s">
        <v>2461</v>
      </c>
      <c r="H259" s="711" t="s">
        <v>500</v>
      </c>
      <c r="I259" s="711" t="s">
        <v>2463</v>
      </c>
      <c r="J259" s="711" t="s">
        <v>2464</v>
      </c>
      <c r="K259" s="711" t="s">
        <v>2465</v>
      </c>
      <c r="L259" s="714">
        <v>0</v>
      </c>
      <c r="M259" s="714">
        <v>0</v>
      </c>
      <c r="N259" s="711">
        <v>1</v>
      </c>
      <c r="O259" s="715">
        <v>0.5</v>
      </c>
      <c r="P259" s="714"/>
      <c r="Q259" s="716"/>
      <c r="R259" s="711"/>
      <c r="S259" s="716">
        <v>0</v>
      </c>
      <c r="T259" s="715"/>
      <c r="U259" s="717">
        <v>0</v>
      </c>
    </row>
    <row r="260" spans="1:21" ht="14.4" customHeight="1" x14ac:dyDescent="0.3">
      <c r="A260" s="710">
        <v>30</v>
      </c>
      <c r="B260" s="711" t="s">
        <v>501</v>
      </c>
      <c r="C260" s="711">
        <v>89301303</v>
      </c>
      <c r="D260" s="712" t="s">
        <v>2660</v>
      </c>
      <c r="E260" s="713" t="s">
        <v>2093</v>
      </c>
      <c r="F260" s="711" t="s">
        <v>2085</v>
      </c>
      <c r="G260" s="711" t="s">
        <v>2466</v>
      </c>
      <c r="H260" s="711" t="s">
        <v>500</v>
      </c>
      <c r="I260" s="711" t="s">
        <v>2467</v>
      </c>
      <c r="J260" s="711" t="s">
        <v>2468</v>
      </c>
      <c r="K260" s="711" t="s">
        <v>2469</v>
      </c>
      <c r="L260" s="714">
        <v>189.92</v>
      </c>
      <c r="M260" s="714">
        <v>379.84</v>
      </c>
      <c r="N260" s="711">
        <v>2</v>
      </c>
      <c r="O260" s="715">
        <v>2</v>
      </c>
      <c r="P260" s="714">
        <v>189.92</v>
      </c>
      <c r="Q260" s="716">
        <v>0.5</v>
      </c>
      <c r="R260" s="711">
        <v>1</v>
      </c>
      <c r="S260" s="716">
        <v>0.5</v>
      </c>
      <c r="T260" s="715">
        <v>1</v>
      </c>
      <c r="U260" s="717">
        <v>0.5</v>
      </c>
    </row>
    <row r="261" spans="1:21" ht="14.4" customHeight="1" x14ac:dyDescent="0.3">
      <c r="A261" s="710">
        <v>30</v>
      </c>
      <c r="B261" s="711" t="s">
        <v>501</v>
      </c>
      <c r="C261" s="711">
        <v>89301303</v>
      </c>
      <c r="D261" s="712" t="s">
        <v>2660</v>
      </c>
      <c r="E261" s="713" t="s">
        <v>2093</v>
      </c>
      <c r="F261" s="711" t="s">
        <v>2085</v>
      </c>
      <c r="G261" s="711" t="s">
        <v>2470</v>
      </c>
      <c r="H261" s="711" t="s">
        <v>500</v>
      </c>
      <c r="I261" s="711" t="s">
        <v>2471</v>
      </c>
      <c r="J261" s="711" t="s">
        <v>2472</v>
      </c>
      <c r="K261" s="711" t="s">
        <v>2473</v>
      </c>
      <c r="L261" s="714">
        <v>193.26</v>
      </c>
      <c r="M261" s="714">
        <v>579.78</v>
      </c>
      <c r="N261" s="711">
        <v>3</v>
      </c>
      <c r="O261" s="715">
        <v>1</v>
      </c>
      <c r="P261" s="714"/>
      <c r="Q261" s="716">
        <v>0</v>
      </c>
      <c r="R261" s="711"/>
      <c r="S261" s="716">
        <v>0</v>
      </c>
      <c r="T261" s="715"/>
      <c r="U261" s="717">
        <v>0</v>
      </c>
    </row>
    <row r="262" spans="1:21" ht="14.4" customHeight="1" x14ac:dyDescent="0.3">
      <c r="A262" s="710">
        <v>30</v>
      </c>
      <c r="B262" s="711" t="s">
        <v>501</v>
      </c>
      <c r="C262" s="711">
        <v>89301303</v>
      </c>
      <c r="D262" s="712" t="s">
        <v>2660</v>
      </c>
      <c r="E262" s="713" t="s">
        <v>2093</v>
      </c>
      <c r="F262" s="711" t="s">
        <v>2085</v>
      </c>
      <c r="G262" s="711" t="s">
        <v>2474</v>
      </c>
      <c r="H262" s="711" t="s">
        <v>1480</v>
      </c>
      <c r="I262" s="711" t="s">
        <v>2475</v>
      </c>
      <c r="J262" s="711" t="s">
        <v>1555</v>
      </c>
      <c r="K262" s="711" t="s">
        <v>2476</v>
      </c>
      <c r="L262" s="714">
        <v>172.82</v>
      </c>
      <c r="M262" s="714">
        <v>172.82</v>
      </c>
      <c r="N262" s="711">
        <v>1</v>
      </c>
      <c r="O262" s="715">
        <v>1</v>
      </c>
      <c r="P262" s="714"/>
      <c r="Q262" s="716">
        <v>0</v>
      </c>
      <c r="R262" s="711"/>
      <c r="S262" s="716">
        <v>0</v>
      </c>
      <c r="T262" s="715"/>
      <c r="U262" s="717">
        <v>0</v>
      </c>
    </row>
    <row r="263" spans="1:21" ht="14.4" customHeight="1" x14ac:dyDescent="0.3">
      <c r="A263" s="710">
        <v>30</v>
      </c>
      <c r="B263" s="711" t="s">
        <v>501</v>
      </c>
      <c r="C263" s="711">
        <v>89301303</v>
      </c>
      <c r="D263" s="712" t="s">
        <v>2660</v>
      </c>
      <c r="E263" s="713" t="s">
        <v>2093</v>
      </c>
      <c r="F263" s="711" t="s">
        <v>2085</v>
      </c>
      <c r="G263" s="711" t="s">
        <v>2474</v>
      </c>
      <c r="H263" s="711" t="s">
        <v>1480</v>
      </c>
      <c r="I263" s="711" t="s">
        <v>1513</v>
      </c>
      <c r="J263" s="711" t="s">
        <v>1514</v>
      </c>
      <c r="K263" s="711" t="s">
        <v>1745</v>
      </c>
      <c r="L263" s="714">
        <v>115.18</v>
      </c>
      <c r="M263" s="714">
        <v>230.36</v>
      </c>
      <c r="N263" s="711">
        <v>2</v>
      </c>
      <c r="O263" s="715">
        <v>1</v>
      </c>
      <c r="P263" s="714">
        <v>230.36</v>
      </c>
      <c r="Q263" s="716">
        <v>1</v>
      </c>
      <c r="R263" s="711">
        <v>2</v>
      </c>
      <c r="S263" s="716">
        <v>1</v>
      </c>
      <c r="T263" s="715">
        <v>1</v>
      </c>
      <c r="U263" s="717">
        <v>1</v>
      </c>
    </row>
    <row r="264" spans="1:21" ht="14.4" customHeight="1" x14ac:dyDescent="0.3">
      <c r="A264" s="710">
        <v>30</v>
      </c>
      <c r="B264" s="711" t="s">
        <v>501</v>
      </c>
      <c r="C264" s="711">
        <v>89301303</v>
      </c>
      <c r="D264" s="712" t="s">
        <v>2660</v>
      </c>
      <c r="E264" s="713" t="s">
        <v>2093</v>
      </c>
      <c r="F264" s="711" t="s">
        <v>2085</v>
      </c>
      <c r="G264" s="711" t="s">
        <v>2474</v>
      </c>
      <c r="H264" s="711" t="s">
        <v>1480</v>
      </c>
      <c r="I264" s="711" t="s">
        <v>1554</v>
      </c>
      <c r="J264" s="711" t="s">
        <v>1555</v>
      </c>
      <c r="K264" s="711" t="s">
        <v>1984</v>
      </c>
      <c r="L264" s="714">
        <v>86.41</v>
      </c>
      <c r="M264" s="714">
        <v>86.41</v>
      </c>
      <c r="N264" s="711">
        <v>1</v>
      </c>
      <c r="O264" s="715">
        <v>0.5</v>
      </c>
      <c r="P264" s="714">
        <v>86.41</v>
      </c>
      <c r="Q264" s="716">
        <v>1</v>
      </c>
      <c r="R264" s="711">
        <v>1</v>
      </c>
      <c r="S264" s="716">
        <v>1</v>
      </c>
      <c r="T264" s="715">
        <v>0.5</v>
      </c>
      <c r="U264" s="717">
        <v>1</v>
      </c>
    </row>
    <row r="265" spans="1:21" ht="14.4" customHeight="1" x14ac:dyDescent="0.3">
      <c r="A265" s="710">
        <v>30</v>
      </c>
      <c r="B265" s="711" t="s">
        <v>501</v>
      </c>
      <c r="C265" s="711">
        <v>89301303</v>
      </c>
      <c r="D265" s="712" t="s">
        <v>2660</v>
      </c>
      <c r="E265" s="713" t="s">
        <v>2093</v>
      </c>
      <c r="F265" s="711" t="s">
        <v>2085</v>
      </c>
      <c r="G265" s="711" t="s">
        <v>2474</v>
      </c>
      <c r="H265" s="711" t="s">
        <v>1480</v>
      </c>
      <c r="I265" s="711" t="s">
        <v>1558</v>
      </c>
      <c r="J265" s="711" t="s">
        <v>1559</v>
      </c>
      <c r="K265" s="711" t="s">
        <v>2477</v>
      </c>
      <c r="L265" s="714">
        <v>107.66</v>
      </c>
      <c r="M265" s="714">
        <v>968.93999999999994</v>
      </c>
      <c r="N265" s="711">
        <v>9</v>
      </c>
      <c r="O265" s="715">
        <v>2</v>
      </c>
      <c r="P265" s="714">
        <v>430.64</v>
      </c>
      <c r="Q265" s="716">
        <v>0.44444444444444448</v>
      </c>
      <c r="R265" s="711">
        <v>4</v>
      </c>
      <c r="S265" s="716">
        <v>0.44444444444444442</v>
      </c>
      <c r="T265" s="715">
        <v>1</v>
      </c>
      <c r="U265" s="717">
        <v>0.5</v>
      </c>
    </row>
    <row r="266" spans="1:21" ht="14.4" customHeight="1" x14ac:dyDescent="0.3">
      <c r="A266" s="710">
        <v>30</v>
      </c>
      <c r="B266" s="711" t="s">
        <v>501</v>
      </c>
      <c r="C266" s="711">
        <v>89301303</v>
      </c>
      <c r="D266" s="712" t="s">
        <v>2660</v>
      </c>
      <c r="E266" s="713" t="s">
        <v>2093</v>
      </c>
      <c r="F266" s="711" t="s">
        <v>2085</v>
      </c>
      <c r="G266" s="711" t="s">
        <v>2142</v>
      </c>
      <c r="H266" s="711" t="s">
        <v>500</v>
      </c>
      <c r="I266" s="711" t="s">
        <v>2333</v>
      </c>
      <c r="J266" s="711" t="s">
        <v>2334</v>
      </c>
      <c r="K266" s="711" t="s">
        <v>2335</v>
      </c>
      <c r="L266" s="714">
        <v>60.02</v>
      </c>
      <c r="M266" s="714">
        <v>180.06</v>
      </c>
      <c r="N266" s="711">
        <v>3</v>
      </c>
      <c r="O266" s="715">
        <v>0.5</v>
      </c>
      <c r="P266" s="714">
        <v>180.06</v>
      </c>
      <c r="Q266" s="716">
        <v>1</v>
      </c>
      <c r="R266" s="711">
        <v>3</v>
      </c>
      <c r="S266" s="716">
        <v>1</v>
      </c>
      <c r="T266" s="715">
        <v>0.5</v>
      </c>
      <c r="U266" s="717">
        <v>1</v>
      </c>
    </row>
    <row r="267" spans="1:21" ht="14.4" customHeight="1" x14ac:dyDescent="0.3">
      <c r="A267" s="710">
        <v>30</v>
      </c>
      <c r="B267" s="711" t="s">
        <v>501</v>
      </c>
      <c r="C267" s="711">
        <v>89301303</v>
      </c>
      <c r="D267" s="712" t="s">
        <v>2660</v>
      </c>
      <c r="E267" s="713" t="s">
        <v>2093</v>
      </c>
      <c r="F267" s="711" t="s">
        <v>2085</v>
      </c>
      <c r="G267" s="711" t="s">
        <v>2142</v>
      </c>
      <c r="H267" s="711" t="s">
        <v>500</v>
      </c>
      <c r="I267" s="711" t="s">
        <v>2143</v>
      </c>
      <c r="J267" s="711" t="s">
        <v>703</v>
      </c>
      <c r="K267" s="711" t="s">
        <v>2144</v>
      </c>
      <c r="L267" s="714">
        <v>0</v>
      </c>
      <c r="M267" s="714">
        <v>0</v>
      </c>
      <c r="N267" s="711">
        <v>6</v>
      </c>
      <c r="O267" s="715">
        <v>1.5</v>
      </c>
      <c r="P267" s="714"/>
      <c r="Q267" s="716"/>
      <c r="R267" s="711"/>
      <c r="S267" s="716">
        <v>0</v>
      </c>
      <c r="T267" s="715"/>
      <c r="U267" s="717">
        <v>0</v>
      </c>
    </row>
    <row r="268" spans="1:21" ht="14.4" customHeight="1" x14ac:dyDescent="0.3">
      <c r="A268" s="710">
        <v>30</v>
      </c>
      <c r="B268" s="711" t="s">
        <v>501</v>
      </c>
      <c r="C268" s="711">
        <v>89301303</v>
      </c>
      <c r="D268" s="712" t="s">
        <v>2660</v>
      </c>
      <c r="E268" s="713" t="s">
        <v>2093</v>
      </c>
      <c r="F268" s="711" t="s">
        <v>2085</v>
      </c>
      <c r="G268" s="711" t="s">
        <v>2142</v>
      </c>
      <c r="H268" s="711" t="s">
        <v>500</v>
      </c>
      <c r="I268" s="711" t="s">
        <v>791</v>
      </c>
      <c r="J268" s="711" t="s">
        <v>2337</v>
      </c>
      <c r="K268" s="711" t="s">
        <v>2478</v>
      </c>
      <c r="L268" s="714">
        <v>33.68</v>
      </c>
      <c r="M268" s="714">
        <v>101.03999999999999</v>
      </c>
      <c r="N268" s="711">
        <v>3</v>
      </c>
      <c r="O268" s="715">
        <v>0.5</v>
      </c>
      <c r="P268" s="714"/>
      <c r="Q268" s="716">
        <v>0</v>
      </c>
      <c r="R268" s="711"/>
      <c r="S268" s="716">
        <v>0</v>
      </c>
      <c r="T268" s="715"/>
      <c r="U268" s="717">
        <v>0</v>
      </c>
    </row>
    <row r="269" spans="1:21" ht="14.4" customHeight="1" x14ac:dyDescent="0.3">
      <c r="A269" s="710">
        <v>30</v>
      </c>
      <c r="B269" s="711" t="s">
        <v>501</v>
      </c>
      <c r="C269" s="711">
        <v>89301303</v>
      </c>
      <c r="D269" s="712" t="s">
        <v>2660</v>
      </c>
      <c r="E269" s="713" t="s">
        <v>2093</v>
      </c>
      <c r="F269" s="711" t="s">
        <v>2085</v>
      </c>
      <c r="G269" s="711" t="s">
        <v>2142</v>
      </c>
      <c r="H269" s="711" t="s">
        <v>500</v>
      </c>
      <c r="I269" s="711" t="s">
        <v>2479</v>
      </c>
      <c r="J269" s="711" t="s">
        <v>2480</v>
      </c>
      <c r="K269" s="711" t="s">
        <v>2481</v>
      </c>
      <c r="L269" s="714">
        <v>0</v>
      </c>
      <c r="M269" s="714">
        <v>0</v>
      </c>
      <c r="N269" s="711">
        <v>3</v>
      </c>
      <c r="O269" s="715">
        <v>0.5</v>
      </c>
      <c r="P269" s="714"/>
      <c r="Q269" s="716"/>
      <c r="R269" s="711"/>
      <c r="S269" s="716">
        <v>0</v>
      </c>
      <c r="T269" s="715"/>
      <c r="U269" s="717">
        <v>0</v>
      </c>
    </row>
    <row r="270" spans="1:21" ht="14.4" customHeight="1" x14ac:dyDescent="0.3">
      <c r="A270" s="710">
        <v>30</v>
      </c>
      <c r="B270" s="711" t="s">
        <v>501</v>
      </c>
      <c r="C270" s="711">
        <v>89301303</v>
      </c>
      <c r="D270" s="712" t="s">
        <v>2660</v>
      </c>
      <c r="E270" s="713" t="s">
        <v>2093</v>
      </c>
      <c r="F270" s="711" t="s">
        <v>2085</v>
      </c>
      <c r="G270" s="711" t="s">
        <v>2482</v>
      </c>
      <c r="H270" s="711" t="s">
        <v>1480</v>
      </c>
      <c r="I270" s="711" t="s">
        <v>2483</v>
      </c>
      <c r="J270" s="711" t="s">
        <v>661</v>
      </c>
      <c r="K270" s="711" t="s">
        <v>2484</v>
      </c>
      <c r="L270" s="714">
        <v>48.31</v>
      </c>
      <c r="M270" s="714">
        <v>48.31</v>
      </c>
      <c r="N270" s="711">
        <v>1</v>
      </c>
      <c r="O270" s="715">
        <v>1</v>
      </c>
      <c r="P270" s="714">
        <v>48.31</v>
      </c>
      <c r="Q270" s="716">
        <v>1</v>
      </c>
      <c r="R270" s="711">
        <v>1</v>
      </c>
      <c r="S270" s="716">
        <v>1</v>
      </c>
      <c r="T270" s="715">
        <v>1</v>
      </c>
      <c r="U270" s="717">
        <v>1</v>
      </c>
    </row>
    <row r="271" spans="1:21" ht="14.4" customHeight="1" x14ac:dyDescent="0.3">
      <c r="A271" s="710">
        <v>30</v>
      </c>
      <c r="B271" s="711" t="s">
        <v>501</v>
      </c>
      <c r="C271" s="711">
        <v>89301303</v>
      </c>
      <c r="D271" s="712" t="s">
        <v>2660</v>
      </c>
      <c r="E271" s="713" t="s">
        <v>2093</v>
      </c>
      <c r="F271" s="711" t="s">
        <v>2085</v>
      </c>
      <c r="G271" s="711" t="s">
        <v>2482</v>
      </c>
      <c r="H271" s="711" t="s">
        <v>1480</v>
      </c>
      <c r="I271" s="711" t="s">
        <v>2485</v>
      </c>
      <c r="J271" s="711" t="s">
        <v>661</v>
      </c>
      <c r="K271" s="711" t="s">
        <v>2486</v>
      </c>
      <c r="L271" s="714">
        <v>96.63</v>
      </c>
      <c r="M271" s="714">
        <v>386.52</v>
      </c>
      <c r="N271" s="711">
        <v>4</v>
      </c>
      <c r="O271" s="715">
        <v>2</v>
      </c>
      <c r="P271" s="714">
        <v>96.63</v>
      </c>
      <c r="Q271" s="716">
        <v>0.25</v>
      </c>
      <c r="R271" s="711">
        <v>1</v>
      </c>
      <c r="S271" s="716">
        <v>0.25</v>
      </c>
      <c r="T271" s="715">
        <v>1</v>
      </c>
      <c r="U271" s="717">
        <v>0.5</v>
      </c>
    </row>
    <row r="272" spans="1:21" ht="14.4" customHeight="1" x14ac:dyDescent="0.3">
      <c r="A272" s="710">
        <v>30</v>
      </c>
      <c r="B272" s="711" t="s">
        <v>501</v>
      </c>
      <c r="C272" s="711">
        <v>89301303</v>
      </c>
      <c r="D272" s="712" t="s">
        <v>2660</v>
      </c>
      <c r="E272" s="713" t="s">
        <v>2093</v>
      </c>
      <c r="F272" s="711" t="s">
        <v>2085</v>
      </c>
      <c r="G272" s="711" t="s">
        <v>2286</v>
      </c>
      <c r="H272" s="711" t="s">
        <v>500</v>
      </c>
      <c r="I272" s="711" t="s">
        <v>2487</v>
      </c>
      <c r="J272" s="711" t="s">
        <v>2488</v>
      </c>
      <c r="K272" s="711" t="s">
        <v>2489</v>
      </c>
      <c r="L272" s="714">
        <v>51.69</v>
      </c>
      <c r="M272" s="714">
        <v>103.38</v>
      </c>
      <c r="N272" s="711">
        <v>2</v>
      </c>
      <c r="O272" s="715">
        <v>1</v>
      </c>
      <c r="P272" s="714"/>
      <c r="Q272" s="716">
        <v>0</v>
      </c>
      <c r="R272" s="711"/>
      <c r="S272" s="716">
        <v>0</v>
      </c>
      <c r="T272" s="715"/>
      <c r="U272" s="717">
        <v>0</v>
      </c>
    </row>
    <row r="273" spans="1:21" ht="14.4" customHeight="1" x14ac:dyDescent="0.3">
      <c r="A273" s="710">
        <v>30</v>
      </c>
      <c r="B273" s="711" t="s">
        <v>501</v>
      </c>
      <c r="C273" s="711">
        <v>89301303</v>
      </c>
      <c r="D273" s="712" t="s">
        <v>2660</v>
      </c>
      <c r="E273" s="713" t="s">
        <v>2093</v>
      </c>
      <c r="F273" s="711" t="s">
        <v>2085</v>
      </c>
      <c r="G273" s="711" t="s">
        <v>2146</v>
      </c>
      <c r="H273" s="711" t="s">
        <v>500</v>
      </c>
      <c r="I273" s="711" t="s">
        <v>2147</v>
      </c>
      <c r="J273" s="711" t="s">
        <v>2148</v>
      </c>
      <c r="K273" s="711" t="s">
        <v>2149</v>
      </c>
      <c r="L273" s="714">
        <v>97.97</v>
      </c>
      <c r="M273" s="714">
        <v>293.90999999999997</v>
      </c>
      <c r="N273" s="711">
        <v>3</v>
      </c>
      <c r="O273" s="715">
        <v>1</v>
      </c>
      <c r="P273" s="714"/>
      <c r="Q273" s="716">
        <v>0</v>
      </c>
      <c r="R273" s="711"/>
      <c r="S273" s="716">
        <v>0</v>
      </c>
      <c r="T273" s="715"/>
      <c r="U273" s="717">
        <v>0</v>
      </c>
    </row>
    <row r="274" spans="1:21" ht="14.4" customHeight="1" x14ac:dyDescent="0.3">
      <c r="A274" s="710">
        <v>30</v>
      </c>
      <c r="B274" s="711" t="s">
        <v>501</v>
      </c>
      <c r="C274" s="711">
        <v>89301303</v>
      </c>
      <c r="D274" s="712" t="s">
        <v>2660</v>
      </c>
      <c r="E274" s="713" t="s">
        <v>2093</v>
      </c>
      <c r="F274" s="711" t="s">
        <v>2085</v>
      </c>
      <c r="G274" s="711" t="s">
        <v>2146</v>
      </c>
      <c r="H274" s="711" t="s">
        <v>500</v>
      </c>
      <c r="I274" s="711" t="s">
        <v>2490</v>
      </c>
      <c r="J274" s="711" t="s">
        <v>2148</v>
      </c>
      <c r="K274" s="711" t="s">
        <v>697</v>
      </c>
      <c r="L274" s="714">
        <v>314.89999999999998</v>
      </c>
      <c r="M274" s="714">
        <v>629.79999999999995</v>
      </c>
      <c r="N274" s="711">
        <v>2</v>
      </c>
      <c r="O274" s="715">
        <v>1</v>
      </c>
      <c r="P274" s="714"/>
      <c r="Q274" s="716">
        <v>0</v>
      </c>
      <c r="R274" s="711"/>
      <c r="S274" s="716">
        <v>0</v>
      </c>
      <c r="T274" s="715"/>
      <c r="U274" s="717">
        <v>0</v>
      </c>
    </row>
    <row r="275" spans="1:21" ht="14.4" customHeight="1" x14ac:dyDescent="0.3">
      <c r="A275" s="710">
        <v>30</v>
      </c>
      <c r="B275" s="711" t="s">
        <v>501</v>
      </c>
      <c r="C275" s="711">
        <v>89301303</v>
      </c>
      <c r="D275" s="712" t="s">
        <v>2660</v>
      </c>
      <c r="E275" s="713" t="s">
        <v>2093</v>
      </c>
      <c r="F275" s="711" t="s">
        <v>2085</v>
      </c>
      <c r="G275" s="711" t="s">
        <v>2491</v>
      </c>
      <c r="H275" s="711" t="s">
        <v>500</v>
      </c>
      <c r="I275" s="711" t="s">
        <v>2492</v>
      </c>
      <c r="J275" s="711" t="s">
        <v>2493</v>
      </c>
      <c r="K275" s="711" t="s">
        <v>2494</v>
      </c>
      <c r="L275" s="714">
        <v>169</v>
      </c>
      <c r="M275" s="714">
        <v>169</v>
      </c>
      <c r="N275" s="711">
        <v>1</v>
      </c>
      <c r="O275" s="715">
        <v>0.5</v>
      </c>
      <c r="P275" s="714">
        <v>169</v>
      </c>
      <c r="Q275" s="716">
        <v>1</v>
      </c>
      <c r="R275" s="711">
        <v>1</v>
      </c>
      <c r="S275" s="716">
        <v>1</v>
      </c>
      <c r="T275" s="715">
        <v>0.5</v>
      </c>
      <c r="U275" s="717">
        <v>1</v>
      </c>
    </row>
    <row r="276" spans="1:21" ht="14.4" customHeight="1" x14ac:dyDescent="0.3">
      <c r="A276" s="710">
        <v>30</v>
      </c>
      <c r="B276" s="711" t="s">
        <v>501</v>
      </c>
      <c r="C276" s="711">
        <v>89301303</v>
      </c>
      <c r="D276" s="712" t="s">
        <v>2660</v>
      </c>
      <c r="E276" s="713" t="s">
        <v>2093</v>
      </c>
      <c r="F276" s="711" t="s">
        <v>2085</v>
      </c>
      <c r="G276" s="711" t="s">
        <v>2289</v>
      </c>
      <c r="H276" s="711" t="s">
        <v>500</v>
      </c>
      <c r="I276" s="711" t="s">
        <v>956</v>
      </c>
      <c r="J276" s="711" t="s">
        <v>2340</v>
      </c>
      <c r="K276" s="711" t="s">
        <v>958</v>
      </c>
      <c r="L276" s="714">
        <v>101.68</v>
      </c>
      <c r="M276" s="714">
        <v>101.68</v>
      </c>
      <c r="N276" s="711">
        <v>1</v>
      </c>
      <c r="O276" s="715">
        <v>1</v>
      </c>
      <c r="P276" s="714"/>
      <c r="Q276" s="716">
        <v>0</v>
      </c>
      <c r="R276" s="711"/>
      <c r="S276" s="716">
        <v>0</v>
      </c>
      <c r="T276" s="715"/>
      <c r="U276" s="717">
        <v>0</v>
      </c>
    </row>
    <row r="277" spans="1:21" ht="14.4" customHeight="1" x14ac:dyDescent="0.3">
      <c r="A277" s="710">
        <v>30</v>
      </c>
      <c r="B277" s="711" t="s">
        <v>501</v>
      </c>
      <c r="C277" s="711">
        <v>89301303</v>
      </c>
      <c r="D277" s="712" t="s">
        <v>2660</v>
      </c>
      <c r="E277" s="713" t="s">
        <v>2093</v>
      </c>
      <c r="F277" s="711" t="s">
        <v>2085</v>
      </c>
      <c r="G277" s="711" t="s">
        <v>2289</v>
      </c>
      <c r="H277" s="711" t="s">
        <v>500</v>
      </c>
      <c r="I277" s="711" t="s">
        <v>2495</v>
      </c>
      <c r="J277" s="711" t="s">
        <v>2340</v>
      </c>
      <c r="K277" s="711" t="s">
        <v>1068</v>
      </c>
      <c r="L277" s="714">
        <v>305.08</v>
      </c>
      <c r="M277" s="714">
        <v>305.08</v>
      </c>
      <c r="N277" s="711">
        <v>1</v>
      </c>
      <c r="O277" s="715">
        <v>1</v>
      </c>
      <c r="P277" s="714"/>
      <c r="Q277" s="716">
        <v>0</v>
      </c>
      <c r="R277" s="711"/>
      <c r="S277" s="716">
        <v>0</v>
      </c>
      <c r="T277" s="715"/>
      <c r="U277" s="717">
        <v>0</v>
      </c>
    </row>
    <row r="278" spans="1:21" ht="14.4" customHeight="1" x14ac:dyDescent="0.3">
      <c r="A278" s="710">
        <v>30</v>
      </c>
      <c r="B278" s="711" t="s">
        <v>501</v>
      </c>
      <c r="C278" s="711">
        <v>89301303</v>
      </c>
      <c r="D278" s="712" t="s">
        <v>2660</v>
      </c>
      <c r="E278" s="713" t="s">
        <v>2093</v>
      </c>
      <c r="F278" s="711" t="s">
        <v>2085</v>
      </c>
      <c r="G278" s="711" t="s">
        <v>2289</v>
      </c>
      <c r="H278" s="711" t="s">
        <v>500</v>
      </c>
      <c r="I278" s="711" t="s">
        <v>2290</v>
      </c>
      <c r="J278" s="711" t="s">
        <v>1271</v>
      </c>
      <c r="K278" s="711" t="s">
        <v>958</v>
      </c>
      <c r="L278" s="714">
        <v>203.38</v>
      </c>
      <c r="M278" s="714">
        <v>203.38</v>
      </c>
      <c r="N278" s="711">
        <v>1</v>
      </c>
      <c r="O278" s="715">
        <v>1</v>
      </c>
      <c r="P278" s="714">
        <v>203.38</v>
      </c>
      <c r="Q278" s="716">
        <v>1</v>
      </c>
      <c r="R278" s="711">
        <v>1</v>
      </c>
      <c r="S278" s="716">
        <v>1</v>
      </c>
      <c r="T278" s="715">
        <v>1</v>
      </c>
      <c r="U278" s="717">
        <v>1</v>
      </c>
    </row>
    <row r="279" spans="1:21" ht="14.4" customHeight="1" x14ac:dyDescent="0.3">
      <c r="A279" s="710">
        <v>30</v>
      </c>
      <c r="B279" s="711" t="s">
        <v>501</v>
      </c>
      <c r="C279" s="711">
        <v>89301303</v>
      </c>
      <c r="D279" s="712" t="s">
        <v>2660</v>
      </c>
      <c r="E279" s="713" t="s">
        <v>2093</v>
      </c>
      <c r="F279" s="711" t="s">
        <v>2085</v>
      </c>
      <c r="G279" s="711" t="s">
        <v>2289</v>
      </c>
      <c r="H279" s="711" t="s">
        <v>500</v>
      </c>
      <c r="I279" s="711" t="s">
        <v>1270</v>
      </c>
      <c r="J279" s="711" t="s">
        <v>1271</v>
      </c>
      <c r="K279" s="711" t="s">
        <v>1068</v>
      </c>
      <c r="L279" s="714">
        <v>610.14</v>
      </c>
      <c r="M279" s="714">
        <v>610.14</v>
      </c>
      <c r="N279" s="711">
        <v>1</v>
      </c>
      <c r="O279" s="715">
        <v>0.5</v>
      </c>
      <c r="P279" s="714"/>
      <c r="Q279" s="716">
        <v>0</v>
      </c>
      <c r="R279" s="711"/>
      <c r="S279" s="716">
        <v>0</v>
      </c>
      <c r="T279" s="715"/>
      <c r="U279" s="717">
        <v>0</v>
      </c>
    </row>
    <row r="280" spans="1:21" ht="14.4" customHeight="1" x14ac:dyDescent="0.3">
      <c r="A280" s="710">
        <v>30</v>
      </c>
      <c r="B280" s="711" t="s">
        <v>501</v>
      </c>
      <c r="C280" s="711">
        <v>89301303</v>
      </c>
      <c r="D280" s="712" t="s">
        <v>2660</v>
      </c>
      <c r="E280" s="713" t="s">
        <v>2093</v>
      </c>
      <c r="F280" s="711" t="s">
        <v>2085</v>
      </c>
      <c r="G280" s="711" t="s">
        <v>2496</v>
      </c>
      <c r="H280" s="711" t="s">
        <v>500</v>
      </c>
      <c r="I280" s="711" t="s">
        <v>752</v>
      </c>
      <c r="J280" s="711" t="s">
        <v>753</v>
      </c>
      <c r="K280" s="711" t="s">
        <v>754</v>
      </c>
      <c r="L280" s="714">
        <v>56.69</v>
      </c>
      <c r="M280" s="714">
        <v>56.69</v>
      </c>
      <c r="N280" s="711">
        <v>1</v>
      </c>
      <c r="O280" s="715">
        <v>0.5</v>
      </c>
      <c r="P280" s="714">
        <v>56.69</v>
      </c>
      <c r="Q280" s="716">
        <v>1</v>
      </c>
      <c r="R280" s="711">
        <v>1</v>
      </c>
      <c r="S280" s="716">
        <v>1</v>
      </c>
      <c r="T280" s="715">
        <v>0.5</v>
      </c>
      <c r="U280" s="717">
        <v>1</v>
      </c>
    </row>
    <row r="281" spans="1:21" ht="14.4" customHeight="1" x14ac:dyDescent="0.3">
      <c r="A281" s="710">
        <v>30</v>
      </c>
      <c r="B281" s="711" t="s">
        <v>501</v>
      </c>
      <c r="C281" s="711">
        <v>89301303</v>
      </c>
      <c r="D281" s="712" t="s">
        <v>2660</v>
      </c>
      <c r="E281" s="713" t="s">
        <v>2093</v>
      </c>
      <c r="F281" s="711" t="s">
        <v>2085</v>
      </c>
      <c r="G281" s="711" t="s">
        <v>2212</v>
      </c>
      <c r="H281" s="711" t="s">
        <v>500</v>
      </c>
      <c r="I281" s="711" t="s">
        <v>2213</v>
      </c>
      <c r="J281" s="711" t="s">
        <v>1327</v>
      </c>
      <c r="K281" s="711" t="s">
        <v>2214</v>
      </c>
      <c r="L281" s="714">
        <v>0</v>
      </c>
      <c r="M281" s="714">
        <v>0</v>
      </c>
      <c r="N281" s="711">
        <v>1</v>
      </c>
      <c r="O281" s="715">
        <v>0.5</v>
      </c>
      <c r="P281" s="714"/>
      <c r="Q281" s="716"/>
      <c r="R281" s="711"/>
      <c r="S281" s="716">
        <v>0</v>
      </c>
      <c r="T281" s="715"/>
      <c r="U281" s="717">
        <v>0</v>
      </c>
    </row>
    <row r="282" spans="1:21" ht="14.4" customHeight="1" x14ac:dyDescent="0.3">
      <c r="A282" s="710">
        <v>30</v>
      </c>
      <c r="B282" s="711" t="s">
        <v>501</v>
      </c>
      <c r="C282" s="711">
        <v>89301303</v>
      </c>
      <c r="D282" s="712" t="s">
        <v>2660</v>
      </c>
      <c r="E282" s="713" t="s">
        <v>2093</v>
      </c>
      <c r="F282" s="711" t="s">
        <v>2085</v>
      </c>
      <c r="G282" s="711" t="s">
        <v>2151</v>
      </c>
      <c r="H282" s="711" t="s">
        <v>1480</v>
      </c>
      <c r="I282" s="711" t="s">
        <v>2345</v>
      </c>
      <c r="J282" s="711" t="s">
        <v>1485</v>
      </c>
      <c r="K282" s="711" t="s">
        <v>2346</v>
      </c>
      <c r="L282" s="714">
        <v>21.92</v>
      </c>
      <c r="M282" s="714">
        <v>65.760000000000005</v>
      </c>
      <c r="N282" s="711">
        <v>3</v>
      </c>
      <c r="O282" s="715">
        <v>1</v>
      </c>
      <c r="P282" s="714"/>
      <c r="Q282" s="716">
        <v>0</v>
      </c>
      <c r="R282" s="711"/>
      <c r="S282" s="716">
        <v>0</v>
      </c>
      <c r="T282" s="715"/>
      <c r="U282" s="717">
        <v>0</v>
      </c>
    </row>
    <row r="283" spans="1:21" ht="14.4" customHeight="1" x14ac:dyDescent="0.3">
      <c r="A283" s="710">
        <v>30</v>
      </c>
      <c r="B283" s="711" t="s">
        <v>501</v>
      </c>
      <c r="C283" s="711">
        <v>89301303</v>
      </c>
      <c r="D283" s="712" t="s">
        <v>2660</v>
      </c>
      <c r="E283" s="713" t="s">
        <v>2093</v>
      </c>
      <c r="F283" s="711" t="s">
        <v>2085</v>
      </c>
      <c r="G283" s="711" t="s">
        <v>2151</v>
      </c>
      <c r="H283" s="711" t="s">
        <v>1480</v>
      </c>
      <c r="I283" s="711" t="s">
        <v>2497</v>
      </c>
      <c r="J283" s="711" t="s">
        <v>1488</v>
      </c>
      <c r="K283" s="711" t="s">
        <v>2498</v>
      </c>
      <c r="L283" s="714">
        <v>33.72</v>
      </c>
      <c r="M283" s="714">
        <v>33.72</v>
      </c>
      <c r="N283" s="711">
        <v>1</v>
      </c>
      <c r="O283" s="715">
        <v>1</v>
      </c>
      <c r="P283" s="714"/>
      <c r="Q283" s="716">
        <v>0</v>
      </c>
      <c r="R283" s="711"/>
      <c r="S283" s="716">
        <v>0</v>
      </c>
      <c r="T283" s="715"/>
      <c r="U283" s="717">
        <v>0</v>
      </c>
    </row>
    <row r="284" spans="1:21" ht="14.4" customHeight="1" x14ac:dyDescent="0.3">
      <c r="A284" s="710">
        <v>30</v>
      </c>
      <c r="B284" s="711" t="s">
        <v>501</v>
      </c>
      <c r="C284" s="711">
        <v>89301303</v>
      </c>
      <c r="D284" s="712" t="s">
        <v>2660</v>
      </c>
      <c r="E284" s="713" t="s">
        <v>2093</v>
      </c>
      <c r="F284" s="711" t="s">
        <v>2085</v>
      </c>
      <c r="G284" s="711" t="s">
        <v>2151</v>
      </c>
      <c r="H284" s="711" t="s">
        <v>1480</v>
      </c>
      <c r="I284" s="711" t="s">
        <v>2499</v>
      </c>
      <c r="J284" s="711" t="s">
        <v>1488</v>
      </c>
      <c r="K284" s="711" t="s">
        <v>2500</v>
      </c>
      <c r="L284" s="714">
        <v>56.18</v>
      </c>
      <c r="M284" s="714">
        <v>56.18</v>
      </c>
      <c r="N284" s="711">
        <v>1</v>
      </c>
      <c r="O284" s="715">
        <v>1</v>
      </c>
      <c r="P284" s="714"/>
      <c r="Q284" s="716">
        <v>0</v>
      </c>
      <c r="R284" s="711"/>
      <c r="S284" s="716">
        <v>0</v>
      </c>
      <c r="T284" s="715"/>
      <c r="U284" s="717">
        <v>0</v>
      </c>
    </row>
    <row r="285" spans="1:21" ht="14.4" customHeight="1" x14ac:dyDescent="0.3">
      <c r="A285" s="710">
        <v>30</v>
      </c>
      <c r="B285" s="711" t="s">
        <v>501</v>
      </c>
      <c r="C285" s="711">
        <v>89301303</v>
      </c>
      <c r="D285" s="712" t="s">
        <v>2660</v>
      </c>
      <c r="E285" s="713" t="s">
        <v>2093</v>
      </c>
      <c r="F285" s="711" t="s">
        <v>2085</v>
      </c>
      <c r="G285" s="711" t="s">
        <v>2501</v>
      </c>
      <c r="H285" s="711" t="s">
        <v>500</v>
      </c>
      <c r="I285" s="711" t="s">
        <v>748</v>
      </c>
      <c r="J285" s="711" t="s">
        <v>749</v>
      </c>
      <c r="K285" s="711" t="s">
        <v>750</v>
      </c>
      <c r="L285" s="714">
        <v>156.54</v>
      </c>
      <c r="M285" s="714">
        <v>2035.02</v>
      </c>
      <c r="N285" s="711">
        <v>13</v>
      </c>
      <c r="O285" s="715">
        <v>3</v>
      </c>
      <c r="P285" s="714">
        <v>626.16</v>
      </c>
      <c r="Q285" s="716">
        <v>0.30769230769230765</v>
      </c>
      <c r="R285" s="711">
        <v>4</v>
      </c>
      <c r="S285" s="716">
        <v>0.30769230769230771</v>
      </c>
      <c r="T285" s="715">
        <v>1.5</v>
      </c>
      <c r="U285" s="717">
        <v>0.5</v>
      </c>
    </row>
    <row r="286" spans="1:21" ht="14.4" customHeight="1" x14ac:dyDescent="0.3">
      <c r="A286" s="710">
        <v>30</v>
      </c>
      <c r="B286" s="711" t="s">
        <v>501</v>
      </c>
      <c r="C286" s="711">
        <v>89301303</v>
      </c>
      <c r="D286" s="712" t="s">
        <v>2660</v>
      </c>
      <c r="E286" s="713" t="s">
        <v>2093</v>
      </c>
      <c r="F286" s="711" t="s">
        <v>2085</v>
      </c>
      <c r="G286" s="711" t="s">
        <v>2501</v>
      </c>
      <c r="H286" s="711" t="s">
        <v>500</v>
      </c>
      <c r="I286" s="711" t="s">
        <v>1205</v>
      </c>
      <c r="J286" s="711" t="s">
        <v>2502</v>
      </c>
      <c r="K286" s="711" t="s">
        <v>750</v>
      </c>
      <c r="L286" s="714">
        <v>117.41</v>
      </c>
      <c r="M286" s="714">
        <v>352.23</v>
      </c>
      <c r="N286" s="711">
        <v>3</v>
      </c>
      <c r="O286" s="715">
        <v>0.5</v>
      </c>
      <c r="P286" s="714">
        <v>352.23</v>
      </c>
      <c r="Q286" s="716">
        <v>1</v>
      </c>
      <c r="R286" s="711">
        <v>3</v>
      </c>
      <c r="S286" s="716">
        <v>1</v>
      </c>
      <c r="T286" s="715">
        <v>0.5</v>
      </c>
      <c r="U286" s="717">
        <v>1</v>
      </c>
    </row>
    <row r="287" spans="1:21" ht="14.4" customHeight="1" x14ac:dyDescent="0.3">
      <c r="A287" s="710">
        <v>30</v>
      </c>
      <c r="B287" s="711" t="s">
        <v>501</v>
      </c>
      <c r="C287" s="711">
        <v>89301303</v>
      </c>
      <c r="D287" s="712" t="s">
        <v>2660</v>
      </c>
      <c r="E287" s="713" t="s">
        <v>2093</v>
      </c>
      <c r="F287" s="711" t="s">
        <v>2085</v>
      </c>
      <c r="G287" s="711" t="s">
        <v>2503</v>
      </c>
      <c r="H287" s="711" t="s">
        <v>1480</v>
      </c>
      <c r="I287" s="711" t="s">
        <v>2504</v>
      </c>
      <c r="J287" s="711" t="s">
        <v>2505</v>
      </c>
      <c r="K287" s="711" t="s">
        <v>1694</v>
      </c>
      <c r="L287" s="714">
        <v>391.77</v>
      </c>
      <c r="M287" s="714">
        <v>391.77</v>
      </c>
      <c r="N287" s="711">
        <v>1</v>
      </c>
      <c r="O287" s="715">
        <v>0.5</v>
      </c>
      <c r="P287" s="714"/>
      <c r="Q287" s="716">
        <v>0</v>
      </c>
      <c r="R287" s="711"/>
      <c r="S287" s="716">
        <v>0</v>
      </c>
      <c r="T287" s="715"/>
      <c r="U287" s="717">
        <v>0</v>
      </c>
    </row>
    <row r="288" spans="1:21" ht="14.4" customHeight="1" x14ac:dyDescent="0.3">
      <c r="A288" s="710">
        <v>30</v>
      </c>
      <c r="B288" s="711" t="s">
        <v>501</v>
      </c>
      <c r="C288" s="711">
        <v>89301303</v>
      </c>
      <c r="D288" s="712" t="s">
        <v>2660</v>
      </c>
      <c r="E288" s="713" t="s">
        <v>2093</v>
      </c>
      <c r="F288" s="711" t="s">
        <v>2085</v>
      </c>
      <c r="G288" s="711" t="s">
        <v>2219</v>
      </c>
      <c r="H288" s="711" t="s">
        <v>500</v>
      </c>
      <c r="I288" s="711" t="s">
        <v>2506</v>
      </c>
      <c r="J288" s="711" t="s">
        <v>2507</v>
      </c>
      <c r="K288" s="711" t="s">
        <v>2508</v>
      </c>
      <c r="L288" s="714">
        <v>77.14</v>
      </c>
      <c r="M288" s="714">
        <v>231.42000000000002</v>
      </c>
      <c r="N288" s="711">
        <v>3</v>
      </c>
      <c r="O288" s="715">
        <v>2</v>
      </c>
      <c r="P288" s="714">
        <v>231.42000000000002</v>
      </c>
      <c r="Q288" s="716">
        <v>1</v>
      </c>
      <c r="R288" s="711">
        <v>3</v>
      </c>
      <c r="S288" s="716">
        <v>1</v>
      </c>
      <c r="T288" s="715">
        <v>2</v>
      </c>
      <c r="U288" s="717">
        <v>1</v>
      </c>
    </row>
    <row r="289" spans="1:21" ht="14.4" customHeight="1" x14ac:dyDescent="0.3">
      <c r="A289" s="710">
        <v>30</v>
      </c>
      <c r="B289" s="711" t="s">
        <v>501</v>
      </c>
      <c r="C289" s="711">
        <v>89301303</v>
      </c>
      <c r="D289" s="712" t="s">
        <v>2660</v>
      </c>
      <c r="E289" s="713" t="s">
        <v>2093</v>
      </c>
      <c r="F289" s="711" t="s">
        <v>2085</v>
      </c>
      <c r="G289" s="711" t="s">
        <v>2219</v>
      </c>
      <c r="H289" s="711" t="s">
        <v>500</v>
      </c>
      <c r="I289" s="711" t="s">
        <v>640</v>
      </c>
      <c r="J289" s="711" t="s">
        <v>2507</v>
      </c>
      <c r="K289" s="711" t="s">
        <v>2509</v>
      </c>
      <c r="L289" s="714">
        <v>105.46</v>
      </c>
      <c r="M289" s="714">
        <v>105.46</v>
      </c>
      <c r="N289" s="711">
        <v>1</v>
      </c>
      <c r="O289" s="715">
        <v>1</v>
      </c>
      <c r="P289" s="714"/>
      <c r="Q289" s="716">
        <v>0</v>
      </c>
      <c r="R289" s="711"/>
      <c r="S289" s="716">
        <v>0</v>
      </c>
      <c r="T289" s="715"/>
      <c r="U289" s="717">
        <v>0</v>
      </c>
    </row>
    <row r="290" spans="1:21" ht="14.4" customHeight="1" x14ac:dyDescent="0.3">
      <c r="A290" s="710">
        <v>30</v>
      </c>
      <c r="B290" s="711" t="s">
        <v>501</v>
      </c>
      <c r="C290" s="711">
        <v>89301303</v>
      </c>
      <c r="D290" s="712" t="s">
        <v>2660</v>
      </c>
      <c r="E290" s="713" t="s">
        <v>2093</v>
      </c>
      <c r="F290" s="711" t="s">
        <v>2085</v>
      </c>
      <c r="G290" s="711" t="s">
        <v>2510</v>
      </c>
      <c r="H290" s="711" t="s">
        <v>500</v>
      </c>
      <c r="I290" s="711" t="s">
        <v>741</v>
      </c>
      <c r="J290" s="711" t="s">
        <v>738</v>
      </c>
      <c r="K290" s="711" t="s">
        <v>742</v>
      </c>
      <c r="L290" s="714">
        <v>62.8</v>
      </c>
      <c r="M290" s="714">
        <v>125.6</v>
      </c>
      <c r="N290" s="711">
        <v>2</v>
      </c>
      <c r="O290" s="715">
        <v>2</v>
      </c>
      <c r="P290" s="714"/>
      <c r="Q290" s="716">
        <v>0</v>
      </c>
      <c r="R290" s="711"/>
      <c r="S290" s="716">
        <v>0</v>
      </c>
      <c r="T290" s="715"/>
      <c r="U290" s="717">
        <v>0</v>
      </c>
    </row>
    <row r="291" spans="1:21" ht="14.4" customHeight="1" x14ac:dyDescent="0.3">
      <c r="A291" s="710">
        <v>30</v>
      </c>
      <c r="B291" s="711" t="s">
        <v>501</v>
      </c>
      <c r="C291" s="711">
        <v>89301303</v>
      </c>
      <c r="D291" s="712" t="s">
        <v>2660</v>
      </c>
      <c r="E291" s="713" t="s">
        <v>2093</v>
      </c>
      <c r="F291" s="711" t="s">
        <v>2085</v>
      </c>
      <c r="G291" s="711" t="s">
        <v>2510</v>
      </c>
      <c r="H291" s="711" t="s">
        <v>500</v>
      </c>
      <c r="I291" s="711" t="s">
        <v>737</v>
      </c>
      <c r="J291" s="711" t="s">
        <v>738</v>
      </c>
      <c r="K291" s="711" t="s">
        <v>739</v>
      </c>
      <c r="L291" s="714">
        <v>25.12</v>
      </c>
      <c r="M291" s="714">
        <v>25.12</v>
      </c>
      <c r="N291" s="711">
        <v>1</v>
      </c>
      <c r="O291" s="715">
        <v>1</v>
      </c>
      <c r="P291" s="714"/>
      <c r="Q291" s="716">
        <v>0</v>
      </c>
      <c r="R291" s="711"/>
      <c r="S291" s="716">
        <v>0</v>
      </c>
      <c r="T291" s="715"/>
      <c r="U291" s="717">
        <v>0</v>
      </c>
    </row>
    <row r="292" spans="1:21" ht="14.4" customHeight="1" x14ac:dyDescent="0.3">
      <c r="A292" s="710">
        <v>30</v>
      </c>
      <c r="B292" s="711" t="s">
        <v>501</v>
      </c>
      <c r="C292" s="711">
        <v>89301303</v>
      </c>
      <c r="D292" s="712" t="s">
        <v>2660</v>
      </c>
      <c r="E292" s="713" t="s">
        <v>2093</v>
      </c>
      <c r="F292" s="711" t="s">
        <v>2085</v>
      </c>
      <c r="G292" s="711" t="s">
        <v>2222</v>
      </c>
      <c r="H292" s="711" t="s">
        <v>500</v>
      </c>
      <c r="I292" s="711" t="s">
        <v>626</v>
      </c>
      <c r="J292" s="711" t="s">
        <v>627</v>
      </c>
      <c r="K292" s="711" t="s">
        <v>2223</v>
      </c>
      <c r="L292" s="714">
        <v>43.99</v>
      </c>
      <c r="M292" s="714">
        <v>131.97</v>
      </c>
      <c r="N292" s="711">
        <v>3</v>
      </c>
      <c r="O292" s="715">
        <v>0.5</v>
      </c>
      <c r="P292" s="714">
        <v>131.97</v>
      </c>
      <c r="Q292" s="716">
        <v>1</v>
      </c>
      <c r="R292" s="711">
        <v>3</v>
      </c>
      <c r="S292" s="716">
        <v>1</v>
      </c>
      <c r="T292" s="715">
        <v>0.5</v>
      </c>
      <c r="U292" s="717">
        <v>1</v>
      </c>
    </row>
    <row r="293" spans="1:21" ht="14.4" customHeight="1" x14ac:dyDescent="0.3">
      <c r="A293" s="710">
        <v>30</v>
      </c>
      <c r="B293" s="711" t="s">
        <v>501</v>
      </c>
      <c r="C293" s="711">
        <v>89301303</v>
      </c>
      <c r="D293" s="712" t="s">
        <v>2660</v>
      </c>
      <c r="E293" s="713" t="s">
        <v>2093</v>
      </c>
      <c r="F293" s="711" t="s">
        <v>2085</v>
      </c>
      <c r="G293" s="711" t="s">
        <v>2347</v>
      </c>
      <c r="H293" s="711" t="s">
        <v>500</v>
      </c>
      <c r="I293" s="711" t="s">
        <v>2511</v>
      </c>
      <c r="J293" s="711" t="s">
        <v>1826</v>
      </c>
      <c r="K293" s="711" t="s">
        <v>2348</v>
      </c>
      <c r="L293" s="714">
        <v>23.46</v>
      </c>
      <c r="M293" s="714">
        <v>23.46</v>
      </c>
      <c r="N293" s="711">
        <v>1</v>
      </c>
      <c r="O293" s="715">
        <v>1</v>
      </c>
      <c r="P293" s="714"/>
      <c r="Q293" s="716">
        <v>0</v>
      </c>
      <c r="R293" s="711"/>
      <c r="S293" s="716">
        <v>0</v>
      </c>
      <c r="T293" s="715"/>
      <c r="U293" s="717">
        <v>0</v>
      </c>
    </row>
    <row r="294" spans="1:21" ht="14.4" customHeight="1" x14ac:dyDescent="0.3">
      <c r="A294" s="710">
        <v>30</v>
      </c>
      <c r="B294" s="711" t="s">
        <v>501</v>
      </c>
      <c r="C294" s="711">
        <v>89301303</v>
      </c>
      <c r="D294" s="712" t="s">
        <v>2660</v>
      </c>
      <c r="E294" s="713" t="s">
        <v>2093</v>
      </c>
      <c r="F294" s="711" t="s">
        <v>2085</v>
      </c>
      <c r="G294" s="711" t="s">
        <v>2156</v>
      </c>
      <c r="H294" s="711" t="s">
        <v>500</v>
      </c>
      <c r="I294" s="711" t="s">
        <v>894</v>
      </c>
      <c r="J294" s="711" t="s">
        <v>895</v>
      </c>
      <c r="K294" s="711" t="s">
        <v>2157</v>
      </c>
      <c r="L294" s="714">
        <v>472.71</v>
      </c>
      <c r="M294" s="714">
        <v>1890.84</v>
      </c>
      <c r="N294" s="711">
        <v>4</v>
      </c>
      <c r="O294" s="715">
        <v>2</v>
      </c>
      <c r="P294" s="714"/>
      <c r="Q294" s="716">
        <v>0</v>
      </c>
      <c r="R294" s="711"/>
      <c r="S294" s="716">
        <v>0</v>
      </c>
      <c r="T294" s="715"/>
      <c r="U294" s="717">
        <v>0</v>
      </c>
    </row>
    <row r="295" spans="1:21" ht="14.4" customHeight="1" x14ac:dyDescent="0.3">
      <c r="A295" s="710">
        <v>30</v>
      </c>
      <c r="B295" s="711" t="s">
        <v>501</v>
      </c>
      <c r="C295" s="711">
        <v>89301303</v>
      </c>
      <c r="D295" s="712" t="s">
        <v>2660</v>
      </c>
      <c r="E295" s="713" t="s">
        <v>2093</v>
      </c>
      <c r="F295" s="711" t="s">
        <v>2085</v>
      </c>
      <c r="G295" s="711" t="s">
        <v>2512</v>
      </c>
      <c r="H295" s="711" t="s">
        <v>500</v>
      </c>
      <c r="I295" s="711" t="s">
        <v>2513</v>
      </c>
      <c r="J295" s="711" t="s">
        <v>2514</v>
      </c>
      <c r="K295" s="711" t="s">
        <v>2515</v>
      </c>
      <c r="L295" s="714">
        <v>0</v>
      </c>
      <c r="M295" s="714">
        <v>0</v>
      </c>
      <c r="N295" s="711">
        <v>1</v>
      </c>
      <c r="O295" s="715">
        <v>0.5</v>
      </c>
      <c r="P295" s="714"/>
      <c r="Q295" s="716"/>
      <c r="R295" s="711"/>
      <c r="S295" s="716">
        <v>0</v>
      </c>
      <c r="T295" s="715"/>
      <c r="U295" s="717">
        <v>0</v>
      </c>
    </row>
    <row r="296" spans="1:21" ht="14.4" customHeight="1" x14ac:dyDescent="0.3">
      <c r="A296" s="710">
        <v>30</v>
      </c>
      <c r="B296" s="711" t="s">
        <v>501</v>
      </c>
      <c r="C296" s="711">
        <v>89301303</v>
      </c>
      <c r="D296" s="712" t="s">
        <v>2660</v>
      </c>
      <c r="E296" s="713" t="s">
        <v>2093</v>
      </c>
      <c r="F296" s="711" t="s">
        <v>2085</v>
      </c>
      <c r="G296" s="711" t="s">
        <v>2516</v>
      </c>
      <c r="H296" s="711" t="s">
        <v>500</v>
      </c>
      <c r="I296" s="711" t="s">
        <v>2517</v>
      </c>
      <c r="J296" s="711" t="s">
        <v>2518</v>
      </c>
      <c r="K296" s="711" t="s">
        <v>2519</v>
      </c>
      <c r="L296" s="714">
        <v>0</v>
      </c>
      <c r="M296" s="714">
        <v>0</v>
      </c>
      <c r="N296" s="711">
        <v>1</v>
      </c>
      <c r="O296" s="715">
        <v>0.5</v>
      </c>
      <c r="P296" s="714">
        <v>0</v>
      </c>
      <c r="Q296" s="716"/>
      <c r="R296" s="711">
        <v>1</v>
      </c>
      <c r="S296" s="716">
        <v>1</v>
      </c>
      <c r="T296" s="715">
        <v>0.5</v>
      </c>
      <c r="U296" s="717">
        <v>1</v>
      </c>
    </row>
    <row r="297" spans="1:21" ht="14.4" customHeight="1" x14ac:dyDescent="0.3">
      <c r="A297" s="710">
        <v>30</v>
      </c>
      <c r="B297" s="711" t="s">
        <v>501</v>
      </c>
      <c r="C297" s="711">
        <v>89301303</v>
      </c>
      <c r="D297" s="712" t="s">
        <v>2660</v>
      </c>
      <c r="E297" s="713" t="s">
        <v>2093</v>
      </c>
      <c r="F297" s="711" t="s">
        <v>2085</v>
      </c>
      <c r="G297" s="711" t="s">
        <v>2520</v>
      </c>
      <c r="H297" s="711" t="s">
        <v>500</v>
      </c>
      <c r="I297" s="711" t="s">
        <v>1259</v>
      </c>
      <c r="J297" s="711" t="s">
        <v>1260</v>
      </c>
      <c r="K297" s="711" t="s">
        <v>2521</v>
      </c>
      <c r="L297" s="714">
        <v>137.04</v>
      </c>
      <c r="M297" s="714">
        <v>137.04</v>
      </c>
      <c r="N297" s="711">
        <v>1</v>
      </c>
      <c r="O297" s="715">
        <v>0.5</v>
      </c>
      <c r="P297" s="714"/>
      <c r="Q297" s="716">
        <v>0</v>
      </c>
      <c r="R297" s="711"/>
      <c r="S297" s="716">
        <v>0</v>
      </c>
      <c r="T297" s="715"/>
      <c r="U297" s="717">
        <v>0</v>
      </c>
    </row>
    <row r="298" spans="1:21" ht="14.4" customHeight="1" x14ac:dyDescent="0.3">
      <c r="A298" s="710">
        <v>30</v>
      </c>
      <c r="B298" s="711" t="s">
        <v>501</v>
      </c>
      <c r="C298" s="711">
        <v>89301303</v>
      </c>
      <c r="D298" s="712" t="s">
        <v>2660</v>
      </c>
      <c r="E298" s="713" t="s">
        <v>2093</v>
      </c>
      <c r="F298" s="711" t="s">
        <v>2085</v>
      </c>
      <c r="G298" s="711" t="s">
        <v>2158</v>
      </c>
      <c r="H298" s="711" t="s">
        <v>500</v>
      </c>
      <c r="I298" s="711" t="s">
        <v>729</v>
      </c>
      <c r="J298" s="711" t="s">
        <v>730</v>
      </c>
      <c r="K298" s="711" t="s">
        <v>2103</v>
      </c>
      <c r="L298" s="714">
        <v>98.31</v>
      </c>
      <c r="M298" s="714">
        <v>98.31</v>
      </c>
      <c r="N298" s="711">
        <v>1</v>
      </c>
      <c r="O298" s="715">
        <v>1</v>
      </c>
      <c r="P298" s="714">
        <v>98.31</v>
      </c>
      <c r="Q298" s="716">
        <v>1</v>
      </c>
      <c r="R298" s="711">
        <v>1</v>
      </c>
      <c r="S298" s="716">
        <v>1</v>
      </c>
      <c r="T298" s="715">
        <v>1</v>
      </c>
      <c r="U298" s="717">
        <v>1</v>
      </c>
    </row>
    <row r="299" spans="1:21" ht="14.4" customHeight="1" x14ac:dyDescent="0.3">
      <c r="A299" s="710">
        <v>30</v>
      </c>
      <c r="B299" s="711" t="s">
        <v>501</v>
      </c>
      <c r="C299" s="711">
        <v>89301303</v>
      </c>
      <c r="D299" s="712" t="s">
        <v>2660</v>
      </c>
      <c r="E299" s="713" t="s">
        <v>2093</v>
      </c>
      <c r="F299" s="711" t="s">
        <v>2085</v>
      </c>
      <c r="G299" s="711" t="s">
        <v>2522</v>
      </c>
      <c r="H299" s="711" t="s">
        <v>500</v>
      </c>
      <c r="I299" s="711" t="s">
        <v>783</v>
      </c>
      <c r="J299" s="711" t="s">
        <v>2523</v>
      </c>
      <c r="K299" s="711" t="s">
        <v>2524</v>
      </c>
      <c r="L299" s="714">
        <v>85.49</v>
      </c>
      <c r="M299" s="714">
        <v>341.96</v>
      </c>
      <c r="N299" s="711">
        <v>4</v>
      </c>
      <c r="O299" s="715">
        <v>1.5</v>
      </c>
      <c r="P299" s="714">
        <v>170.98</v>
      </c>
      <c r="Q299" s="716">
        <v>0.5</v>
      </c>
      <c r="R299" s="711">
        <v>2</v>
      </c>
      <c r="S299" s="716">
        <v>0.5</v>
      </c>
      <c r="T299" s="715">
        <v>0.5</v>
      </c>
      <c r="U299" s="717">
        <v>0.33333333333333331</v>
      </c>
    </row>
    <row r="300" spans="1:21" ht="14.4" customHeight="1" x14ac:dyDescent="0.3">
      <c r="A300" s="710">
        <v>30</v>
      </c>
      <c r="B300" s="711" t="s">
        <v>501</v>
      </c>
      <c r="C300" s="711">
        <v>89301303</v>
      </c>
      <c r="D300" s="712" t="s">
        <v>2660</v>
      </c>
      <c r="E300" s="713" t="s">
        <v>2093</v>
      </c>
      <c r="F300" s="711" t="s">
        <v>2085</v>
      </c>
      <c r="G300" s="711" t="s">
        <v>2349</v>
      </c>
      <c r="H300" s="711" t="s">
        <v>500</v>
      </c>
      <c r="I300" s="711" t="s">
        <v>2525</v>
      </c>
      <c r="J300" s="711" t="s">
        <v>2526</v>
      </c>
      <c r="K300" s="711" t="s">
        <v>2155</v>
      </c>
      <c r="L300" s="714">
        <v>0</v>
      </c>
      <c r="M300" s="714">
        <v>0</v>
      </c>
      <c r="N300" s="711">
        <v>1</v>
      </c>
      <c r="O300" s="715">
        <v>0.5</v>
      </c>
      <c r="P300" s="714">
        <v>0</v>
      </c>
      <c r="Q300" s="716"/>
      <c r="R300" s="711">
        <v>1</v>
      </c>
      <c r="S300" s="716">
        <v>1</v>
      </c>
      <c r="T300" s="715">
        <v>0.5</v>
      </c>
      <c r="U300" s="717">
        <v>1</v>
      </c>
    </row>
    <row r="301" spans="1:21" ht="14.4" customHeight="1" x14ac:dyDescent="0.3">
      <c r="A301" s="710">
        <v>30</v>
      </c>
      <c r="B301" s="711" t="s">
        <v>501</v>
      </c>
      <c r="C301" s="711">
        <v>89301303</v>
      </c>
      <c r="D301" s="712" t="s">
        <v>2660</v>
      </c>
      <c r="E301" s="713" t="s">
        <v>2093</v>
      </c>
      <c r="F301" s="711" t="s">
        <v>2085</v>
      </c>
      <c r="G301" s="711" t="s">
        <v>2527</v>
      </c>
      <c r="H301" s="711" t="s">
        <v>500</v>
      </c>
      <c r="I301" s="711" t="s">
        <v>1247</v>
      </c>
      <c r="J301" s="711" t="s">
        <v>1248</v>
      </c>
      <c r="K301" s="711" t="s">
        <v>2528</v>
      </c>
      <c r="L301" s="714">
        <v>432.32</v>
      </c>
      <c r="M301" s="714">
        <v>864.64</v>
      </c>
      <c r="N301" s="711">
        <v>2</v>
      </c>
      <c r="O301" s="715">
        <v>1</v>
      </c>
      <c r="P301" s="714">
        <v>432.32</v>
      </c>
      <c r="Q301" s="716">
        <v>0.5</v>
      </c>
      <c r="R301" s="711">
        <v>1</v>
      </c>
      <c r="S301" s="716">
        <v>0.5</v>
      </c>
      <c r="T301" s="715">
        <v>0.5</v>
      </c>
      <c r="U301" s="717">
        <v>0.5</v>
      </c>
    </row>
    <row r="302" spans="1:21" ht="14.4" customHeight="1" x14ac:dyDescent="0.3">
      <c r="A302" s="710">
        <v>30</v>
      </c>
      <c r="B302" s="711" t="s">
        <v>501</v>
      </c>
      <c r="C302" s="711">
        <v>89301303</v>
      </c>
      <c r="D302" s="712" t="s">
        <v>2660</v>
      </c>
      <c r="E302" s="713" t="s">
        <v>2093</v>
      </c>
      <c r="F302" s="711" t="s">
        <v>2085</v>
      </c>
      <c r="G302" s="711" t="s">
        <v>2529</v>
      </c>
      <c r="H302" s="711" t="s">
        <v>500</v>
      </c>
      <c r="I302" s="711" t="s">
        <v>2530</v>
      </c>
      <c r="J302" s="711" t="s">
        <v>1121</v>
      </c>
      <c r="K302" s="711" t="s">
        <v>2531</v>
      </c>
      <c r="L302" s="714">
        <v>17.53</v>
      </c>
      <c r="M302" s="714">
        <v>35.06</v>
      </c>
      <c r="N302" s="711">
        <v>2</v>
      </c>
      <c r="O302" s="715">
        <v>1</v>
      </c>
      <c r="P302" s="714">
        <v>35.06</v>
      </c>
      <c r="Q302" s="716">
        <v>1</v>
      </c>
      <c r="R302" s="711">
        <v>2</v>
      </c>
      <c r="S302" s="716">
        <v>1</v>
      </c>
      <c r="T302" s="715">
        <v>1</v>
      </c>
      <c r="U302" s="717">
        <v>1</v>
      </c>
    </row>
    <row r="303" spans="1:21" ht="14.4" customHeight="1" x14ac:dyDescent="0.3">
      <c r="A303" s="710">
        <v>30</v>
      </c>
      <c r="B303" s="711" t="s">
        <v>501</v>
      </c>
      <c r="C303" s="711">
        <v>89301303</v>
      </c>
      <c r="D303" s="712" t="s">
        <v>2660</v>
      </c>
      <c r="E303" s="713" t="s">
        <v>2093</v>
      </c>
      <c r="F303" s="711" t="s">
        <v>2085</v>
      </c>
      <c r="G303" s="711" t="s">
        <v>2532</v>
      </c>
      <c r="H303" s="711" t="s">
        <v>500</v>
      </c>
      <c r="I303" s="711" t="s">
        <v>2533</v>
      </c>
      <c r="J303" s="711" t="s">
        <v>829</v>
      </c>
      <c r="K303" s="711" t="s">
        <v>830</v>
      </c>
      <c r="L303" s="714">
        <v>91.88</v>
      </c>
      <c r="M303" s="714">
        <v>275.64</v>
      </c>
      <c r="N303" s="711">
        <v>3</v>
      </c>
      <c r="O303" s="715">
        <v>0.5</v>
      </c>
      <c r="P303" s="714"/>
      <c r="Q303" s="716">
        <v>0</v>
      </c>
      <c r="R303" s="711"/>
      <c r="S303" s="716">
        <v>0</v>
      </c>
      <c r="T303" s="715"/>
      <c r="U303" s="717">
        <v>0</v>
      </c>
    </row>
    <row r="304" spans="1:21" ht="14.4" customHeight="1" x14ac:dyDescent="0.3">
      <c r="A304" s="710">
        <v>30</v>
      </c>
      <c r="B304" s="711" t="s">
        <v>501</v>
      </c>
      <c r="C304" s="711">
        <v>89301303</v>
      </c>
      <c r="D304" s="712" t="s">
        <v>2660</v>
      </c>
      <c r="E304" s="713" t="s">
        <v>2093</v>
      </c>
      <c r="F304" s="711" t="s">
        <v>2085</v>
      </c>
      <c r="G304" s="711" t="s">
        <v>2232</v>
      </c>
      <c r="H304" s="711" t="s">
        <v>500</v>
      </c>
      <c r="I304" s="711" t="s">
        <v>1066</v>
      </c>
      <c r="J304" s="711" t="s">
        <v>1067</v>
      </c>
      <c r="K304" s="711" t="s">
        <v>1068</v>
      </c>
      <c r="L304" s="714">
        <v>286.63</v>
      </c>
      <c r="M304" s="714">
        <v>286.63</v>
      </c>
      <c r="N304" s="711">
        <v>1</v>
      </c>
      <c r="O304" s="715">
        <v>1</v>
      </c>
      <c r="P304" s="714">
        <v>286.63</v>
      </c>
      <c r="Q304" s="716">
        <v>1</v>
      </c>
      <c r="R304" s="711">
        <v>1</v>
      </c>
      <c r="S304" s="716">
        <v>1</v>
      </c>
      <c r="T304" s="715">
        <v>1</v>
      </c>
      <c r="U304" s="717">
        <v>1</v>
      </c>
    </row>
    <row r="305" spans="1:21" ht="14.4" customHeight="1" x14ac:dyDescent="0.3">
      <c r="A305" s="710">
        <v>30</v>
      </c>
      <c r="B305" s="711" t="s">
        <v>501</v>
      </c>
      <c r="C305" s="711">
        <v>89301303</v>
      </c>
      <c r="D305" s="712" t="s">
        <v>2660</v>
      </c>
      <c r="E305" s="713" t="s">
        <v>2093</v>
      </c>
      <c r="F305" s="711" t="s">
        <v>2085</v>
      </c>
      <c r="G305" s="711" t="s">
        <v>2390</v>
      </c>
      <c r="H305" s="711" t="s">
        <v>1480</v>
      </c>
      <c r="I305" s="711" t="s">
        <v>2534</v>
      </c>
      <c r="J305" s="711" t="s">
        <v>1496</v>
      </c>
      <c r="K305" s="711" t="s">
        <v>2535</v>
      </c>
      <c r="L305" s="714">
        <v>0</v>
      </c>
      <c r="M305" s="714">
        <v>0</v>
      </c>
      <c r="N305" s="711">
        <v>1</v>
      </c>
      <c r="O305" s="715">
        <v>1</v>
      </c>
      <c r="P305" s="714">
        <v>0</v>
      </c>
      <c r="Q305" s="716"/>
      <c r="R305" s="711">
        <v>1</v>
      </c>
      <c r="S305" s="716">
        <v>1</v>
      </c>
      <c r="T305" s="715">
        <v>1</v>
      </c>
      <c r="U305" s="717">
        <v>1</v>
      </c>
    </row>
    <row r="306" spans="1:21" ht="14.4" customHeight="1" x14ac:dyDescent="0.3">
      <c r="A306" s="710">
        <v>30</v>
      </c>
      <c r="B306" s="711" t="s">
        <v>501</v>
      </c>
      <c r="C306" s="711">
        <v>89301303</v>
      </c>
      <c r="D306" s="712" t="s">
        <v>2660</v>
      </c>
      <c r="E306" s="713" t="s">
        <v>2093</v>
      </c>
      <c r="F306" s="711" t="s">
        <v>2085</v>
      </c>
      <c r="G306" s="711" t="s">
        <v>2536</v>
      </c>
      <c r="H306" s="711" t="s">
        <v>500</v>
      </c>
      <c r="I306" s="711" t="s">
        <v>2537</v>
      </c>
      <c r="J306" s="711" t="s">
        <v>2538</v>
      </c>
      <c r="K306" s="711" t="s">
        <v>2539</v>
      </c>
      <c r="L306" s="714">
        <v>0</v>
      </c>
      <c r="M306" s="714">
        <v>0</v>
      </c>
      <c r="N306" s="711">
        <v>1</v>
      </c>
      <c r="O306" s="715">
        <v>1</v>
      </c>
      <c r="P306" s="714">
        <v>0</v>
      </c>
      <c r="Q306" s="716"/>
      <c r="R306" s="711">
        <v>1</v>
      </c>
      <c r="S306" s="716">
        <v>1</v>
      </c>
      <c r="T306" s="715">
        <v>1</v>
      </c>
      <c r="U306" s="717">
        <v>1</v>
      </c>
    </row>
    <row r="307" spans="1:21" ht="14.4" customHeight="1" x14ac:dyDescent="0.3">
      <c r="A307" s="710">
        <v>30</v>
      </c>
      <c r="B307" s="711" t="s">
        <v>501</v>
      </c>
      <c r="C307" s="711">
        <v>89301303</v>
      </c>
      <c r="D307" s="712" t="s">
        <v>2660</v>
      </c>
      <c r="E307" s="713" t="s">
        <v>2093</v>
      </c>
      <c r="F307" s="711" t="s">
        <v>2085</v>
      </c>
      <c r="G307" s="711" t="s">
        <v>2233</v>
      </c>
      <c r="H307" s="711" t="s">
        <v>1480</v>
      </c>
      <c r="I307" s="711" t="s">
        <v>1601</v>
      </c>
      <c r="J307" s="711" t="s">
        <v>1989</v>
      </c>
      <c r="K307" s="711" t="s">
        <v>1990</v>
      </c>
      <c r="L307" s="714">
        <v>193.14</v>
      </c>
      <c r="M307" s="714">
        <v>193.14</v>
      </c>
      <c r="N307" s="711">
        <v>1</v>
      </c>
      <c r="O307" s="715">
        <v>0.5</v>
      </c>
      <c r="P307" s="714"/>
      <c r="Q307" s="716">
        <v>0</v>
      </c>
      <c r="R307" s="711"/>
      <c r="S307" s="716">
        <v>0</v>
      </c>
      <c r="T307" s="715"/>
      <c r="U307" s="717">
        <v>0</v>
      </c>
    </row>
    <row r="308" spans="1:21" ht="14.4" customHeight="1" x14ac:dyDescent="0.3">
      <c r="A308" s="710">
        <v>30</v>
      </c>
      <c r="B308" s="711" t="s">
        <v>501</v>
      </c>
      <c r="C308" s="711">
        <v>89301303</v>
      </c>
      <c r="D308" s="712" t="s">
        <v>2660</v>
      </c>
      <c r="E308" s="713" t="s">
        <v>2093</v>
      </c>
      <c r="F308" s="711" t="s">
        <v>2085</v>
      </c>
      <c r="G308" s="711" t="s">
        <v>2234</v>
      </c>
      <c r="H308" s="711" t="s">
        <v>500</v>
      </c>
      <c r="I308" s="711" t="s">
        <v>2540</v>
      </c>
      <c r="J308" s="711" t="s">
        <v>2236</v>
      </c>
      <c r="K308" s="711" t="s">
        <v>892</v>
      </c>
      <c r="L308" s="714">
        <v>0</v>
      </c>
      <c r="M308" s="714">
        <v>0</v>
      </c>
      <c r="N308" s="711">
        <v>3</v>
      </c>
      <c r="O308" s="715">
        <v>2</v>
      </c>
      <c r="P308" s="714">
        <v>0</v>
      </c>
      <c r="Q308" s="716"/>
      <c r="R308" s="711">
        <v>1</v>
      </c>
      <c r="S308" s="716">
        <v>0.33333333333333331</v>
      </c>
      <c r="T308" s="715">
        <v>1</v>
      </c>
      <c r="U308" s="717">
        <v>0.5</v>
      </c>
    </row>
    <row r="309" spans="1:21" ht="14.4" customHeight="1" x14ac:dyDescent="0.3">
      <c r="A309" s="710">
        <v>30</v>
      </c>
      <c r="B309" s="711" t="s">
        <v>501</v>
      </c>
      <c r="C309" s="711">
        <v>89301303</v>
      </c>
      <c r="D309" s="712" t="s">
        <v>2660</v>
      </c>
      <c r="E309" s="713" t="s">
        <v>2093</v>
      </c>
      <c r="F309" s="711" t="s">
        <v>2085</v>
      </c>
      <c r="G309" s="711" t="s">
        <v>2234</v>
      </c>
      <c r="H309" s="711" t="s">
        <v>500</v>
      </c>
      <c r="I309" s="711" t="s">
        <v>2541</v>
      </c>
      <c r="J309" s="711" t="s">
        <v>2542</v>
      </c>
      <c r="K309" s="711" t="s">
        <v>818</v>
      </c>
      <c r="L309" s="714">
        <v>0</v>
      </c>
      <c r="M309" s="714">
        <v>0</v>
      </c>
      <c r="N309" s="711">
        <v>3</v>
      </c>
      <c r="O309" s="715">
        <v>0.5</v>
      </c>
      <c r="P309" s="714">
        <v>0</v>
      </c>
      <c r="Q309" s="716"/>
      <c r="R309" s="711">
        <v>3</v>
      </c>
      <c r="S309" s="716">
        <v>1</v>
      </c>
      <c r="T309" s="715">
        <v>0.5</v>
      </c>
      <c r="U309" s="717">
        <v>1</v>
      </c>
    </row>
    <row r="310" spans="1:21" ht="14.4" customHeight="1" x14ac:dyDescent="0.3">
      <c r="A310" s="710">
        <v>30</v>
      </c>
      <c r="B310" s="711" t="s">
        <v>501</v>
      </c>
      <c r="C310" s="711">
        <v>89301303</v>
      </c>
      <c r="D310" s="712" t="s">
        <v>2660</v>
      </c>
      <c r="E310" s="713" t="s">
        <v>2093</v>
      </c>
      <c r="F310" s="711" t="s">
        <v>2085</v>
      </c>
      <c r="G310" s="711" t="s">
        <v>2234</v>
      </c>
      <c r="H310" s="711" t="s">
        <v>500</v>
      </c>
      <c r="I310" s="711" t="s">
        <v>2543</v>
      </c>
      <c r="J310" s="711" t="s">
        <v>2236</v>
      </c>
      <c r="K310" s="711" t="s">
        <v>818</v>
      </c>
      <c r="L310" s="714">
        <v>0</v>
      </c>
      <c r="M310" s="714">
        <v>0</v>
      </c>
      <c r="N310" s="711">
        <v>1</v>
      </c>
      <c r="O310" s="715">
        <v>1</v>
      </c>
      <c r="P310" s="714"/>
      <c r="Q310" s="716"/>
      <c r="R310" s="711"/>
      <c r="S310" s="716">
        <v>0</v>
      </c>
      <c r="T310" s="715"/>
      <c r="U310" s="717">
        <v>0</v>
      </c>
    </row>
    <row r="311" spans="1:21" ht="14.4" customHeight="1" x14ac:dyDescent="0.3">
      <c r="A311" s="710">
        <v>30</v>
      </c>
      <c r="B311" s="711" t="s">
        <v>501</v>
      </c>
      <c r="C311" s="711">
        <v>89301303</v>
      </c>
      <c r="D311" s="712" t="s">
        <v>2660</v>
      </c>
      <c r="E311" s="713" t="s">
        <v>2094</v>
      </c>
      <c r="F311" s="711" t="s">
        <v>2085</v>
      </c>
      <c r="G311" s="711" t="s">
        <v>2544</v>
      </c>
      <c r="H311" s="711" t="s">
        <v>500</v>
      </c>
      <c r="I311" s="711" t="s">
        <v>2545</v>
      </c>
      <c r="J311" s="711" t="s">
        <v>2546</v>
      </c>
      <c r="K311" s="711" t="s">
        <v>2547</v>
      </c>
      <c r="L311" s="714">
        <v>275.23</v>
      </c>
      <c r="M311" s="714">
        <v>275.23</v>
      </c>
      <c r="N311" s="711">
        <v>1</v>
      </c>
      <c r="O311" s="715">
        <v>1</v>
      </c>
      <c r="P311" s="714"/>
      <c r="Q311" s="716">
        <v>0</v>
      </c>
      <c r="R311" s="711"/>
      <c r="S311" s="716">
        <v>0</v>
      </c>
      <c r="T311" s="715"/>
      <c r="U311" s="717">
        <v>0</v>
      </c>
    </row>
    <row r="312" spans="1:21" ht="14.4" customHeight="1" x14ac:dyDescent="0.3">
      <c r="A312" s="710">
        <v>30</v>
      </c>
      <c r="B312" s="711" t="s">
        <v>501</v>
      </c>
      <c r="C312" s="711">
        <v>89301303</v>
      </c>
      <c r="D312" s="712" t="s">
        <v>2660</v>
      </c>
      <c r="E312" s="713" t="s">
        <v>2094</v>
      </c>
      <c r="F312" s="711" t="s">
        <v>2085</v>
      </c>
      <c r="G312" s="711" t="s">
        <v>2244</v>
      </c>
      <c r="H312" s="711" t="s">
        <v>1480</v>
      </c>
      <c r="I312" s="711" t="s">
        <v>1536</v>
      </c>
      <c r="J312" s="711" t="s">
        <v>1537</v>
      </c>
      <c r="K312" s="711" t="s">
        <v>1538</v>
      </c>
      <c r="L312" s="714">
        <v>44.89</v>
      </c>
      <c r="M312" s="714">
        <v>89.78</v>
      </c>
      <c r="N312" s="711">
        <v>2</v>
      </c>
      <c r="O312" s="715">
        <v>0.5</v>
      </c>
      <c r="P312" s="714"/>
      <c r="Q312" s="716">
        <v>0</v>
      </c>
      <c r="R312" s="711"/>
      <c r="S312" s="716">
        <v>0</v>
      </c>
      <c r="T312" s="715"/>
      <c r="U312" s="717">
        <v>0</v>
      </c>
    </row>
    <row r="313" spans="1:21" ht="14.4" customHeight="1" x14ac:dyDescent="0.3">
      <c r="A313" s="710">
        <v>30</v>
      </c>
      <c r="B313" s="711" t="s">
        <v>501</v>
      </c>
      <c r="C313" s="711">
        <v>89301303</v>
      </c>
      <c r="D313" s="712" t="s">
        <v>2660</v>
      </c>
      <c r="E313" s="713" t="s">
        <v>2094</v>
      </c>
      <c r="F313" s="711" t="s">
        <v>2085</v>
      </c>
      <c r="G313" s="711" t="s">
        <v>2189</v>
      </c>
      <c r="H313" s="711" t="s">
        <v>500</v>
      </c>
      <c r="I313" s="711" t="s">
        <v>2190</v>
      </c>
      <c r="J313" s="711" t="s">
        <v>2191</v>
      </c>
      <c r="K313" s="711" t="s">
        <v>2192</v>
      </c>
      <c r="L313" s="714">
        <v>175.73</v>
      </c>
      <c r="M313" s="714">
        <v>351.46</v>
      </c>
      <c r="N313" s="711">
        <v>2</v>
      </c>
      <c r="O313" s="715">
        <v>0.5</v>
      </c>
      <c r="P313" s="714"/>
      <c r="Q313" s="716">
        <v>0</v>
      </c>
      <c r="R313" s="711"/>
      <c r="S313" s="716">
        <v>0</v>
      </c>
      <c r="T313" s="715"/>
      <c r="U313" s="717">
        <v>0</v>
      </c>
    </row>
    <row r="314" spans="1:21" ht="14.4" customHeight="1" x14ac:dyDescent="0.3">
      <c r="A314" s="710">
        <v>30</v>
      </c>
      <c r="B314" s="711" t="s">
        <v>501</v>
      </c>
      <c r="C314" s="711">
        <v>89301303</v>
      </c>
      <c r="D314" s="712" t="s">
        <v>2660</v>
      </c>
      <c r="E314" s="713" t="s">
        <v>2094</v>
      </c>
      <c r="F314" s="711" t="s">
        <v>2085</v>
      </c>
      <c r="G314" s="711" t="s">
        <v>2263</v>
      </c>
      <c r="H314" s="711" t="s">
        <v>500</v>
      </c>
      <c r="I314" s="711" t="s">
        <v>2548</v>
      </c>
      <c r="J314" s="711" t="s">
        <v>2549</v>
      </c>
      <c r="K314" s="711" t="s">
        <v>2550</v>
      </c>
      <c r="L314" s="714">
        <v>34.31</v>
      </c>
      <c r="M314" s="714">
        <v>34.31</v>
      </c>
      <c r="N314" s="711">
        <v>1</v>
      </c>
      <c r="O314" s="715">
        <v>0.5</v>
      </c>
      <c r="P314" s="714"/>
      <c r="Q314" s="716">
        <v>0</v>
      </c>
      <c r="R314" s="711"/>
      <c r="S314" s="716">
        <v>0</v>
      </c>
      <c r="T314" s="715"/>
      <c r="U314" s="717">
        <v>0</v>
      </c>
    </row>
    <row r="315" spans="1:21" ht="14.4" customHeight="1" x14ac:dyDescent="0.3">
      <c r="A315" s="710">
        <v>30</v>
      </c>
      <c r="B315" s="711" t="s">
        <v>501</v>
      </c>
      <c r="C315" s="711">
        <v>89301303</v>
      </c>
      <c r="D315" s="712" t="s">
        <v>2660</v>
      </c>
      <c r="E315" s="713" t="s">
        <v>2094</v>
      </c>
      <c r="F315" s="711" t="s">
        <v>2085</v>
      </c>
      <c r="G315" s="711" t="s">
        <v>2474</v>
      </c>
      <c r="H315" s="711" t="s">
        <v>500</v>
      </c>
      <c r="I315" s="711" t="s">
        <v>2551</v>
      </c>
      <c r="J315" s="711" t="s">
        <v>2552</v>
      </c>
      <c r="K315" s="711" t="s">
        <v>2553</v>
      </c>
      <c r="L315" s="714">
        <v>86.41</v>
      </c>
      <c r="M315" s="714">
        <v>172.82</v>
      </c>
      <c r="N315" s="711">
        <v>2</v>
      </c>
      <c r="O315" s="715">
        <v>0.5</v>
      </c>
      <c r="P315" s="714"/>
      <c r="Q315" s="716">
        <v>0</v>
      </c>
      <c r="R315" s="711"/>
      <c r="S315" s="716">
        <v>0</v>
      </c>
      <c r="T315" s="715"/>
      <c r="U315" s="717">
        <v>0</v>
      </c>
    </row>
    <row r="316" spans="1:21" ht="14.4" customHeight="1" x14ac:dyDescent="0.3">
      <c r="A316" s="710">
        <v>30</v>
      </c>
      <c r="B316" s="711" t="s">
        <v>501</v>
      </c>
      <c r="C316" s="711">
        <v>89301303</v>
      </c>
      <c r="D316" s="712" t="s">
        <v>2660</v>
      </c>
      <c r="E316" s="713" t="s">
        <v>2094</v>
      </c>
      <c r="F316" s="711" t="s">
        <v>2085</v>
      </c>
      <c r="G316" s="711" t="s">
        <v>2554</v>
      </c>
      <c r="H316" s="711" t="s">
        <v>1480</v>
      </c>
      <c r="I316" s="711" t="s">
        <v>2555</v>
      </c>
      <c r="J316" s="711" t="s">
        <v>2556</v>
      </c>
      <c r="K316" s="711" t="s">
        <v>2557</v>
      </c>
      <c r="L316" s="714">
        <v>1019.11</v>
      </c>
      <c r="M316" s="714">
        <v>1019.11</v>
      </c>
      <c r="N316" s="711">
        <v>1</v>
      </c>
      <c r="O316" s="715">
        <v>1</v>
      </c>
      <c r="P316" s="714">
        <v>1019.11</v>
      </c>
      <c r="Q316" s="716">
        <v>1</v>
      </c>
      <c r="R316" s="711">
        <v>1</v>
      </c>
      <c r="S316" s="716">
        <v>1</v>
      </c>
      <c r="T316" s="715">
        <v>1</v>
      </c>
      <c r="U316" s="717">
        <v>1</v>
      </c>
    </row>
    <row r="317" spans="1:21" ht="14.4" customHeight="1" x14ac:dyDescent="0.3">
      <c r="A317" s="710">
        <v>30</v>
      </c>
      <c r="B317" s="711" t="s">
        <v>501</v>
      </c>
      <c r="C317" s="711">
        <v>89301303</v>
      </c>
      <c r="D317" s="712" t="s">
        <v>2660</v>
      </c>
      <c r="E317" s="713" t="s">
        <v>2094</v>
      </c>
      <c r="F317" s="711" t="s">
        <v>2085</v>
      </c>
      <c r="G317" s="711" t="s">
        <v>2554</v>
      </c>
      <c r="H317" s="711" t="s">
        <v>1480</v>
      </c>
      <c r="I317" s="711" t="s">
        <v>2558</v>
      </c>
      <c r="J317" s="711" t="s">
        <v>2559</v>
      </c>
      <c r="K317" s="711" t="s">
        <v>2560</v>
      </c>
      <c r="L317" s="714">
        <v>1359.61</v>
      </c>
      <c r="M317" s="714">
        <v>1359.61</v>
      </c>
      <c r="N317" s="711">
        <v>1</v>
      </c>
      <c r="O317" s="715">
        <v>1</v>
      </c>
      <c r="P317" s="714">
        <v>1359.61</v>
      </c>
      <c r="Q317" s="716">
        <v>1</v>
      </c>
      <c r="R317" s="711">
        <v>1</v>
      </c>
      <c r="S317" s="716">
        <v>1</v>
      </c>
      <c r="T317" s="715">
        <v>1</v>
      </c>
      <c r="U317" s="717">
        <v>1</v>
      </c>
    </row>
    <row r="318" spans="1:21" ht="14.4" customHeight="1" x14ac:dyDescent="0.3">
      <c r="A318" s="710">
        <v>30</v>
      </c>
      <c r="B318" s="711" t="s">
        <v>501</v>
      </c>
      <c r="C318" s="711">
        <v>89301303</v>
      </c>
      <c r="D318" s="712" t="s">
        <v>2660</v>
      </c>
      <c r="E318" s="713" t="s">
        <v>2094</v>
      </c>
      <c r="F318" s="711" t="s">
        <v>2085</v>
      </c>
      <c r="G318" s="711" t="s">
        <v>2501</v>
      </c>
      <c r="H318" s="711" t="s">
        <v>500</v>
      </c>
      <c r="I318" s="711" t="s">
        <v>1205</v>
      </c>
      <c r="J318" s="711" t="s">
        <v>2502</v>
      </c>
      <c r="K318" s="711" t="s">
        <v>750</v>
      </c>
      <c r="L318" s="714">
        <v>117.41</v>
      </c>
      <c r="M318" s="714">
        <v>352.23</v>
      </c>
      <c r="N318" s="711">
        <v>3</v>
      </c>
      <c r="O318" s="715">
        <v>0.5</v>
      </c>
      <c r="P318" s="714"/>
      <c r="Q318" s="716">
        <v>0</v>
      </c>
      <c r="R318" s="711"/>
      <c r="S318" s="716">
        <v>0</v>
      </c>
      <c r="T318" s="715"/>
      <c r="U318" s="717">
        <v>0</v>
      </c>
    </row>
    <row r="319" spans="1:21" ht="14.4" customHeight="1" x14ac:dyDescent="0.3">
      <c r="A319" s="710">
        <v>30</v>
      </c>
      <c r="B319" s="711" t="s">
        <v>501</v>
      </c>
      <c r="C319" s="711">
        <v>89301303</v>
      </c>
      <c r="D319" s="712" t="s">
        <v>2660</v>
      </c>
      <c r="E319" s="713" t="s">
        <v>2094</v>
      </c>
      <c r="F319" s="711" t="s">
        <v>2085</v>
      </c>
      <c r="G319" s="711" t="s">
        <v>2156</v>
      </c>
      <c r="H319" s="711" t="s">
        <v>500</v>
      </c>
      <c r="I319" s="711" t="s">
        <v>894</v>
      </c>
      <c r="J319" s="711" t="s">
        <v>895</v>
      </c>
      <c r="K319" s="711" t="s">
        <v>2157</v>
      </c>
      <c r="L319" s="714">
        <v>472.71</v>
      </c>
      <c r="M319" s="714">
        <v>1418.1299999999999</v>
      </c>
      <c r="N319" s="711">
        <v>3</v>
      </c>
      <c r="O319" s="715">
        <v>0.5</v>
      </c>
      <c r="P319" s="714"/>
      <c r="Q319" s="716">
        <v>0</v>
      </c>
      <c r="R319" s="711"/>
      <c r="S319" s="716">
        <v>0</v>
      </c>
      <c r="T319" s="715"/>
      <c r="U319" s="717">
        <v>0</v>
      </c>
    </row>
    <row r="320" spans="1:21" ht="14.4" customHeight="1" x14ac:dyDescent="0.3">
      <c r="A320" s="710">
        <v>30</v>
      </c>
      <c r="B320" s="711" t="s">
        <v>501</v>
      </c>
      <c r="C320" s="711">
        <v>89301303</v>
      </c>
      <c r="D320" s="712" t="s">
        <v>2660</v>
      </c>
      <c r="E320" s="713" t="s">
        <v>2095</v>
      </c>
      <c r="F320" s="711" t="s">
        <v>2085</v>
      </c>
      <c r="G320" s="711" t="s">
        <v>2104</v>
      </c>
      <c r="H320" s="711" t="s">
        <v>1480</v>
      </c>
      <c r="I320" s="711" t="s">
        <v>2169</v>
      </c>
      <c r="J320" s="711" t="s">
        <v>1627</v>
      </c>
      <c r="K320" s="711" t="s">
        <v>1399</v>
      </c>
      <c r="L320" s="714">
        <v>0</v>
      </c>
      <c r="M320" s="714">
        <v>0</v>
      </c>
      <c r="N320" s="711">
        <v>2</v>
      </c>
      <c r="O320" s="715">
        <v>0.5</v>
      </c>
      <c r="P320" s="714"/>
      <c r="Q320" s="716"/>
      <c r="R320" s="711"/>
      <c r="S320" s="716">
        <v>0</v>
      </c>
      <c r="T320" s="715"/>
      <c r="U320" s="717">
        <v>0</v>
      </c>
    </row>
    <row r="321" spans="1:21" ht="14.4" customHeight="1" x14ac:dyDescent="0.3">
      <c r="A321" s="710">
        <v>30</v>
      </c>
      <c r="B321" s="711" t="s">
        <v>501</v>
      </c>
      <c r="C321" s="711">
        <v>89301303</v>
      </c>
      <c r="D321" s="712" t="s">
        <v>2660</v>
      </c>
      <c r="E321" s="713" t="s">
        <v>2095</v>
      </c>
      <c r="F321" s="711" t="s">
        <v>2085</v>
      </c>
      <c r="G321" s="711" t="s">
        <v>2209</v>
      </c>
      <c r="H321" s="711" t="s">
        <v>1480</v>
      </c>
      <c r="I321" s="711" t="s">
        <v>1543</v>
      </c>
      <c r="J321" s="711" t="s">
        <v>1482</v>
      </c>
      <c r="K321" s="711" t="s">
        <v>1974</v>
      </c>
      <c r="L321" s="714">
        <v>48.98</v>
      </c>
      <c r="M321" s="714">
        <v>48.98</v>
      </c>
      <c r="N321" s="711">
        <v>1</v>
      </c>
      <c r="O321" s="715">
        <v>1</v>
      </c>
      <c r="P321" s="714"/>
      <c r="Q321" s="716">
        <v>0</v>
      </c>
      <c r="R321" s="711"/>
      <c r="S321" s="716">
        <v>0</v>
      </c>
      <c r="T321" s="715"/>
      <c r="U321" s="717">
        <v>0</v>
      </c>
    </row>
    <row r="322" spans="1:21" ht="14.4" customHeight="1" x14ac:dyDescent="0.3">
      <c r="A322" s="710">
        <v>30</v>
      </c>
      <c r="B322" s="711" t="s">
        <v>501</v>
      </c>
      <c r="C322" s="711">
        <v>89301303</v>
      </c>
      <c r="D322" s="712" t="s">
        <v>2660</v>
      </c>
      <c r="E322" s="713" t="s">
        <v>2095</v>
      </c>
      <c r="F322" s="711" t="s">
        <v>2085</v>
      </c>
      <c r="G322" s="711" t="s">
        <v>2228</v>
      </c>
      <c r="H322" s="711" t="s">
        <v>500</v>
      </c>
      <c r="I322" s="711" t="s">
        <v>2229</v>
      </c>
      <c r="J322" s="711" t="s">
        <v>2230</v>
      </c>
      <c r="K322" s="711" t="s">
        <v>2231</v>
      </c>
      <c r="L322" s="714">
        <v>157.01</v>
      </c>
      <c r="M322" s="714">
        <v>157.01</v>
      </c>
      <c r="N322" s="711">
        <v>1</v>
      </c>
      <c r="O322" s="715">
        <v>0.5</v>
      </c>
      <c r="P322" s="714"/>
      <c r="Q322" s="716">
        <v>0</v>
      </c>
      <c r="R322" s="711"/>
      <c r="S322" s="716">
        <v>0</v>
      </c>
      <c r="T322" s="715"/>
      <c r="U322" s="717">
        <v>0</v>
      </c>
    </row>
    <row r="323" spans="1:21" ht="14.4" customHeight="1" x14ac:dyDescent="0.3">
      <c r="A323" s="710">
        <v>30</v>
      </c>
      <c r="B323" s="711" t="s">
        <v>501</v>
      </c>
      <c r="C323" s="711">
        <v>89301303</v>
      </c>
      <c r="D323" s="712" t="s">
        <v>2660</v>
      </c>
      <c r="E323" s="713" t="s">
        <v>2097</v>
      </c>
      <c r="F323" s="711" t="s">
        <v>2085</v>
      </c>
      <c r="G323" s="711" t="s">
        <v>2544</v>
      </c>
      <c r="H323" s="711" t="s">
        <v>500</v>
      </c>
      <c r="I323" s="711" t="s">
        <v>2561</v>
      </c>
      <c r="J323" s="711" t="s">
        <v>2562</v>
      </c>
      <c r="K323" s="711" t="s">
        <v>2547</v>
      </c>
      <c r="L323" s="714">
        <v>275.23</v>
      </c>
      <c r="M323" s="714">
        <v>550.46</v>
      </c>
      <c r="N323" s="711">
        <v>2</v>
      </c>
      <c r="O323" s="715">
        <v>1</v>
      </c>
      <c r="P323" s="714"/>
      <c r="Q323" s="716">
        <v>0</v>
      </c>
      <c r="R323" s="711"/>
      <c r="S323" s="716">
        <v>0</v>
      </c>
      <c r="T323" s="715"/>
      <c r="U323" s="717">
        <v>0</v>
      </c>
    </row>
    <row r="324" spans="1:21" ht="14.4" customHeight="1" x14ac:dyDescent="0.3">
      <c r="A324" s="710">
        <v>30</v>
      </c>
      <c r="B324" s="711" t="s">
        <v>501</v>
      </c>
      <c r="C324" s="711">
        <v>89301303</v>
      </c>
      <c r="D324" s="712" t="s">
        <v>2660</v>
      </c>
      <c r="E324" s="713" t="s">
        <v>2097</v>
      </c>
      <c r="F324" s="711" t="s">
        <v>2085</v>
      </c>
      <c r="G324" s="711" t="s">
        <v>2100</v>
      </c>
      <c r="H324" s="711" t="s">
        <v>500</v>
      </c>
      <c r="I324" s="711" t="s">
        <v>2238</v>
      </c>
      <c r="J324" s="711" t="s">
        <v>1613</v>
      </c>
      <c r="K324" s="711" t="s">
        <v>2103</v>
      </c>
      <c r="L324" s="714">
        <v>0</v>
      </c>
      <c r="M324" s="714">
        <v>0</v>
      </c>
      <c r="N324" s="711">
        <v>2</v>
      </c>
      <c r="O324" s="715">
        <v>1</v>
      </c>
      <c r="P324" s="714"/>
      <c r="Q324" s="716"/>
      <c r="R324" s="711"/>
      <c r="S324" s="716">
        <v>0</v>
      </c>
      <c r="T324" s="715"/>
      <c r="U324" s="717">
        <v>0</v>
      </c>
    </row>
    <row r="325" spans="1:21" ht="14.4" customHeight="1" x14ac:dyDescent="0.3">
      <c r="A325" s="710">
        <v>30</v>
      </c>
      <c r="B325" s="711" t="s">
        <v>501</v>
      </c>
      <c r="C325" s="711">
        <v>89301303</v>
      </c>
      <c r="D325" s="712" t="s">
        <v>2660</v>
      </c>
      <c r="E325" s="713" t="s">
        <v>2097</v>
      </c>
      <c r="F325" s="711" t="s">
        <v>2085</v>
      </c>
      <c r="G325" s="711" t="s">
        <v>2416</v>
      </c>
      <c r="H325" s="711" t="s">
        <v>500</v>
      </c>
      <c r="I325" s="711" t="s">
        <v>851</v>
      </c>
      <c r="J325" s="711" t="s">
        <v>2563</v>
      </c>
      <c r="K325" s="711" t="s">
        <v>2437</v>
      </c>
      <c r="L325" s="714">
        <v>0</v>
      </c>
      <c r="M325" s="714">
        <v>0</v>
      </c>
      <c r="N325" s="711">
        <v>3</v>
      </c>
      <c r="O325" s="715">
        <v>0.5</v>
      </c>
      <c r="P325" s="714"/>
      <c r="Q325" s="716"/>
      <c r="R325" s="711"/>
      <c r="S325" s="716">
        <v>0</v>
      </c>
      <c r="T325" s="715"/>
      <c r="U325" s="717">
        <v>0</v>
      </c>
    </row>
    <row r="326" spans="1:21" ht="14.4" customHeight="1" x14ac:dyDescent="0.3">
      <c r="A326" s="710">
        <v>30</v>
      </c>
      <c r="B326" s="711" t="s">
        <v>501</v>
      </c>
      <c r="C326" s="711">
        <v>89301303</v>
      </c>
      <c r="D326" s="712" t="s">
        <v>2660</v>
      </c>
      <c r="E326" s="713" t="s">
        <v>2097</v>
      </c>
      <c r="F326" s="711" t="s">
        <v>2085</v>
      </c>
      <c r="G326" s="711" t="s">
        <v>2360</v>
      </c>
      <c r="H326" s="711" t="s">
        <v>500</v>
      </c>
      <c r="I326" s="711" t="s">
        <v>1116</v>
      </c>
      <c r="J326" s="711" t="s">
        <v>1117</v>
      </c>
      <c r="K326" s="711" t="s">
        <v>1118</v>
      </c>
      <c r="L326" s="714">
        <v>44.89</v>
      </c>
      <c r="M326" s="714">
        <v>134.67000000000002</v>
      </c>
      <c r="N326" s="711">
        <v>3</v>
      </c>
      <c r="O326" s="715">
        <v>0.5</v>
      </c>
      <c r="P326" s="714"/>
      <c r="Q326" s="716">
        <v>0</v>
      </c>
      <c r="R326" s="711"/>
      <c r="S326" s="716">
        <v>0</v>
      </c>
      <c r="T326" s="715"/>
      <c r="U326" s="717">
        <v>0</v>
      </c>
    </row>
    <row r="327" spans="1:21" ht="14.4" customHeight="1" x14ac:dyDescent="0.3">
      <c r="A327" s="710">
        <v>30</v>
      </c>
      <c r="B327" s="711" t="s">
        <v>501</v>
      </c>
      <c r="C327" s="711">
        <v>89301303</v>
      </c>
      <c r="D327" s="712" t="s">
        <v>2660</v>
      </c>
      <c r="E327" s="713" t="s">
        <v>2097</v>
      </c>
      <c r="F327" s="711" t="s">
        <v>2085</v>
      </c>
      <c r="G327" s="711" t="s">
        <v>2426</v>
      </c>
      <c r="H327" s="711" t="s">
        <v>500</v>
      </c>
      <c r="I327" s="711" t="s">
        <v>1107</v>
      </c>
      <c r="J327" s="711" t="s">
        <v>1108</v>
      </c>
      <c r="K327" s="711" t="s">
        <v>1109</v>
      </c>
      <c r="L327" s="714">
        <v>84.78</v>
      </c>
      <c r="M327" s="714">
        <v>169.56</v>
      </c>
      <c r="N327" s="711">
        <v>2</v>
      </c>
      <c r="O327" s="715">
        <v>0.5</v>
      </c>
      <c r="P327" s="714">
        <v>169.56</v>
      </c>
      <c r="Q327" s="716">
        <v>1</v>
      </c>
      <c r="R327" s="711">
        <v>2</v>
      </c>
      <c r="S327" s="716">
        <v>1</v>
      </c>
      <c r="T327" s="715">
        <v>0.5</v>
      </c>
      <c r="U327" s="717">
        <v>1</v>
      </c>
    </row>
    <row r="328" spans="1:21" ht="14.4" customHeight="1" x14ac:dyDescent="0.3">
      <c r="A328" s="710">
        <v>30</v>
      </c>
      <c r="B328" s="711" t="s">
        <v>501</v>
      </c>
      <c r="C328" s="711">
        <v>89301303</v>
      </c>
      <c r="D328" s="712" t="s">
        <v>2660</v>
      </c>
      <c r="E328" s="713" t="s">
        <v>2097</v>
      </c>
      <c r="F328" s="711" t="s">
        <v>2085</v>
      </c>
      <c r="G328" s="711" t="s">
        <v>2248</v>
      </c>
      <c r="H328" s="711" t="s">
        <v>500</v>
      </c>
      <c r="I328" s="711" t="s">
        <v>2430</v>
      </c>
      <c r="J328" s="711" t="s">
        <v>669</v>
      </c>
      <c r="K328" s="711" t="s">
        <v>1984</v>
      </c>
      <c r="L328" s="714">
        <v>115.3</v>
      </c>
      <c r="M328" s="714">
        <v>345.9</v>
      </c>
      <c r="N328" s="711">
        <v>3</v>
      </c>
      <c r="O328" s="715">
        <v>0.5</v>
      </c>
      <c r="P328" s="714">
        <v>345.9</v>
      </c>
      <c r="Q328" s="716">
        <v>1</v>
      </c>
      <c r="R328" s="711">
        <v>3</v>
      </c>
      <c r="S328" s="716">
        <v>1</v>
      </c>
      <c r="T328" s="715">
        <v>0.5</v>
      </c>
      <c r="U328" s="717">
        <v>1</v>
      </c>
    </row>
    <row r="329" spans="1:21" ht="14.4" customHeight="1" x14ac:dyDescent="0.3">
      <c r="A329" s="710">
        <v>30</v>
      </c>
      <c r="B329" s="711" t="s">
        <v>501</v>
      </c>
      <c r="C329" s="711">
        <v>89301303</v>
      </c>
      <c r="D329" s="712" t="s">
        <v>2660</v>
      </c>
      <c r="E329" s="713" t="s">
        <v>2097</v>
      </c>
      <c r="F329" s="711" t="s">
        <v>2085</v>
      </c>
      <c r="G329" s="711" t="s">
        <v>2564</v>
      </c>
      <c r="H329" s="711" t="s">
        <v>500</v>
      </c>
      <c r="I329" s="711" t="s">
        <v>2565</v>
      </c>
      <c r="J329" s="711" t="s">
        <v>2566</v>
      </c>
      <c r="K329" s="711" t="s">
        <v>2567</v>
      </c>
      <c r="L329" s="714">
        <v>0</v>
      </c>
      <c r="M329" s="714">
        <v>0</v>
      </c>
      <c r="N329" s="711">
        <v>6</v>
      </c>
      <c r="O329" s="715">
        <v>1</v>
      </c>
      <c r="P329" s="714"/>
      <c r="Q329" s="716"/>
      <c r="R329" s="711"/>
      <c r="S329" s="716">
        <v>0</v>
      </c>
      <c r="T329" s="715"/>
      <c r="U329" s="717">
        <v>0</v>
      </c>
    </row>
    <row r="330" spans="1:21" ht="14.4" customHeight="1" x14ac:dyDescent="0.3">
      <c r="A330" s="710">
        <v>30</v>
      </c>
      <c r="B330" s="711" t="s">
        <v>501</v>
      </c>
      <c r="C330" s="711">
        <v>89301303</v>
      </c>
      <c r="D330" s="712" t="s">
        <v>2660</v>
      </c>
      <c r="E330" s="713" t="s">
        <v>2097</v>
      </c>
      <c r="F330" s="711" t="s">
        <v>2085</v>
      </c>
      <c r="G330" s="711" t="s">
        <v>2568</v>
      </c>
      <c r="H330" s="711" t="s">
        <v>500</v>
      </c>
      <c r="I330" s="711" t="s">
        <v>569</v>
      </c>
      <c r="J330" s="711" t="s">
        <v>570</v>
      </c>
      <c r="K330" s="711" t="s">
        <v>2569</v>
      </c>
      <c r="L330" s="714">
        <v>99</v>
      </c>
      <c r="M330" s="714">
        <v>99</v>
      </c>
      <c r="N330" s="711">
        <v>1</v>
      </c>
      <c r="O330" s="715">
        <v>1</v>
      </c>
      <c r="P330" s="714"/>
      <c r="Q330" s="716">
        <v>0</v>
      </c>
      <c r="R330" s="711"/>
      <c r="S330" s="716">
        <v>0</v>
      </c>
      <c r="T330" s="715"/>
      <c r="U330" s="717">
        <v>0</v>
      </c>
    </row>
    <row r="331" spans="1:21" ht="14.4" customHeight="1" x14ac:dyDescent="0.3">
      <c r="A331" s="710">
        <v>30</v>
      </c>
      <c r="B331" s="711" t="s">
        <v>501</v>
      </c>
      <c r="C331" s="711">
        <v>89301303</v>
      </c>
      <c r="D331" s="712" t="s">
        <v>2660</v>
      </c>
      <c r="E331" s="713" t="s">
        <v>2097</v>
      </c>
      <c r="F331" s="711" t="s">
        <v>2085</v>
      </c>
      <c r="G331" s="711" t="s">
        <v>2570</v>
      </c>
      <c r="H331" s="711" t="s">
        <v>500</v>
      </c>
      <c r="I331" s="711" t="s">
        <v>2571</v>
      </c>
      <c r="J331" s="711" t="s">
        <v>2572</v>
      </c>
      <c r="K331" s="711" t="s">
        <v>2573</v>
      </c>
      <c r="L331" s="714">
        <v>0</v>
      </c>
      <c r="M331" s="714">
        <v>0</v>
      </c>
      <c r="N331" s="711">
        <v>1</v>
      </c>
      <c r="O331" s="715">
        <v>1</v>
      </c>
      <c r="P331" s="714"/>
      <c r="Q331" s="716"/>
      <c r="R331" s="711"/>
      <c r="S331" s="716">
        <v>0</v>
      </c>
      <c r="T331" s="715"/>
      <c r="U331" s="717">
        <v>0</v>
      </c>
    </row>
    <row r="332" spans="1:21" ht="14.4" customHeight="1" x14ac:dyDescent="0.3">
      <c r="A332" s="710">
        <v>30</v>
      </c>
      <c r="B332" s="711" t="s">
        <v>501</v>
      </c>
      <c r="C332" s="711">
        <v>89301303</v>
      </c>
      <c r="D332" s="712" t="s">
        <v>2660</v>
      </c>
      <c r="E332" s="713" t="s">
        <v>2097</v>
      </c>
      <c r="F332" s="711" t="s">
        <v>2085</v>
      </c>
      <c r="G332" s="711" t="s">
        <v>2574</v>
      </c>
      <c r="H332" s="711" t="s">
        <v>500</v>
      </c>
      <c r="I332" s="711" t="s">
        <v>2575</v>
      </c>
      <c r="J332" s="711" t="s">
        <v>2576</v>
      </c>
      <c r="K332" s="711" t="s">
        <v>2577</v>
      </c>
      <c r="L332" s="714">
        <v>86.16</v>
      </c>
      <c r="M332" s="714">
        <v>172.32</v>
      </c>
      <c r="N332" s="711">
        <v>2</v>
      </c>
      <c r="O332" s="715">
        <v>1</v>
      </c>
      <c r="P332" s="714"/>
      <c r="Q332" s="716">
        <v>0</v>
      </c>
      <c r="R332" s="711"/>
      <c r="S332" s="716">
        <v>0</v>
      </c>
      <c r="T332" s="715"/>
      <c r="U332" s="717">
        <v>0</v>
      </c>
    </row>
    <row r="333" spans="1:21" ht="14.4" customHeight="1" x14ac:dyDescent="0.3">
      <c r="A333" s="710">
        <v>30</v>
      </c>
      <c r="B333" s="711" t="s">
        <v>501</v>
      </c>
      <c r="C333" s="711">
        <v>89301303</v>
      </c>
      <c r="D333" s="712" t="s">
        <v>2660</v>
      </c>
      <c r="E333" s="713" t="s">
        <v>2097</v>
      </c>
      <c r="F333" s="711" t="s">
        <v>2085</v>
      </c>
      <c r="G333" s="711" t="s">
        <v>2261</v>
      </c>
      <c r="H333" s="711" t="s">
        <v>1480</v>
      </c>
      <c r="I333" s="711" t="s">
        <v>1855</v>
      </c>
      <c r="J333" s="711" t="s">
        <v>1856</v>
      </c>
      <c r="K333" s="711" t="s">
        <v>2036</v>
      </c>
      <c r="L333" s="714">
        <v>116.8</v>
      </c>
      <c r="M333" s="714">
        <v>350.4</v>
      </c>
      <c r="N333" s="711">
        <v>3</v>
      </c>
      <c r="O333" s="715">
        <v>1</v>
      </c>
      <c r="P333" s="714"/>
      <c r="Q333" s="716">
        <v>0</v>
      </c>
      <c r="R333" s="711"/>
      <c r="S333" s="716">
        <v>0</v>
      </c>
      <c r="T333" s="715"/>
      <c r="U333" s="717">
        <v>0</v>
      </c>
    </row>
    <row r="334" spans="1:21" ht="14.4" customHeight="1" x14ac:dyDescent="0.3">
      <c r="A334" s="710">
        <v>30</v>
      </c>
      <c r="B334" s="711" t="s">
        <v>501</v>
      </c>
      <c r="C334" s="711">
        <v>89301303</v>
      </c>
      <c r="D334" s="712" t="s">
        <v>2660</v>
      </c>
      <c r="E334" s="713" t="s">
        <v>2097</v>
      </c>
      <c r="F334" s="711" t="s">
        <v>2085</v>
      </c>
      <c r="G334" s="711" t="s">
        <v>2578</v>
      </c>
      <c r="H334" s="711" t="s">
        <v>500</v>
      </c>
      <c r="I334" s="711" t="s">
        <v>779</v>
      </c>
      <c r="J334" s="711" t="s">
        <v>2579</v>
      </c>
      <c r="K334" s="711" t="s">
        <v>2580</v>
      </c>
      <c r="L334" s="714">
        <v>72.05</v>
      </c>
      <c r="M334" s="714">
        <v>72.05</v>
      </c>
      <c r="N334" s="711">
        <v>1</v>
      </c>
      <c r="O334" s="715">
        <v>1</v>
      </c>
      <c r="P334" s="714">
        <v>72.05</v>
      </c>
      <c r="Q334" s="716">
        <v>1</v>
      </c>
      <c r="R334" s="711">
        <v>1</v>
      </c>
      <c r="S334" s="716">
        <v>1</v>
      </c>
      <c r="T334" s="715">
        <v>1</v>
      </c>
      <c r="U334" s="717">
        <v>1</v>
      </c>
    </row>
    <row r="335" spans="1:21" ht="14.4" customHeight="1" x14ac:dyDescent="0.3">
      <c r="A335" s="710">
        <v>30</v>
      </c>
      <c r="B335" s="711" t="s">
        <v>501</v>
      </c>
      <c r="C335" s="711">
        <v>89301303</v>
      </c>
      <c r="D335" s="712" t="s">
        <v>2660</v>
      </c>
      <c r="E335" s="713" t="s">
        <v>2097</v>
      </c>
      <c r="F335" s="711" t="s">
        <v>2085</v>
      </c>
      <c r="G335" s="711" t="s">
        <v>2263</v>
      </c>
      <c r="H335" s="711" t="s">
        <v>500</v>
      </c>
      <c r="I335" s="711" t="s">
        <v>2581</v>
      </c>
      <c r="J335" s="711" t="s">
        <v>2549</v>
      </c>
      <c r="K335" s="711" t="s">
        <v>2486</v>
      </c>
      <c r="L335" s="714">
        <v>0</v>
      </c>
      <c r="M335" s="714">
        <v>0</v>
      </c>
      <c r="N335" s="711">
        <v>3</v>
      </c>
      <c r="O335" s="715">
        <v>0.5</v>
      </c>
      <c r="P335" s="714"/>
      <c r="Q335" s="716"/>
      <c r="R335" s="711"/>
      <c r="S335" s="716">
        <v>0</v>
      </c>
      <c r="T335" s="715"/>
      <c r="U335" s="717">
        <v>0</v>
      </c>
    </row>
    <row r="336" spans="1:21" ht="14.4" customHeight="1" x14ac:dyDescent="0.3">
      <c r="A336" s="710">
        <v>30</v>
      </c>
      <c r="B336" s="711" t="s">
        <v>501</v>
      </c>
      <c r="C336" s="711">
        <v>89301303</v>
      </c>
      <c r="D336" s="712" t="s">
        <v>2660</v>
      </c>
      <c r="E336" s="713" t="s">
        <v>2097</v>
      </c>
      <c r="F336" s="711" t="s">
        <v>2085</v>
      </c>
      <c r="G336" s="711" t="s">
        <v>2582</v>
      </c>
      <c r="H336" s="711" t="s">
        <v>500</v>
      </c>
      <c r="I336" s="711" t="s">
        <v>2583</v>
      </c>
      <c r="J336" s="711" t="s">
        <v>2584</v>
      </c>
      <c r="K336" s="711" t="s">
        <v>2585</v>
      </c>
      <c r="L336" s="714">
        <v>108.98</v>
      </c>
      <c r="M336" s="714">
        <v>435.92</v>
      </c>
      <c r="N336" s="711">
        <v>4</v>
      </c>
      <c r="O336" s="715">
        <v>1</v>
      </c>
      <c r="P336" s="714">
        <v>435.92</v>
      </c>
      <c r="Q336" s="716">
        <v>1</v>
      </c>
      <c r="R336" s="711">
        <v>4</v>
      </c>
      <c r="S336" s="716">
        <v>1</v>
      </c>
      <c r="T336" s="715">
        <v>1</v>
      </c>
      <c r="U336" s="717">
        <v>1</v>
      </c>
    </row>
    <row r="337" spans="1:21" ht="14.4" customHeight="1" x14ac:dyDescent="0.3">
      <c r="A337" s="710">
        <v>30</v>
      </c>
      <c r="B337" s="711" t="s">
        <v>501</v>
      </c>
      <c r="C337" s="711">
        <v>89301303</v>
      </c>
      <c r="D337" s="712" t="s">
        <v>2660</v>
      </c>
      <c r="E337" s="713" t="s">
        <v>2097</v>
      </c>
      <c r="F337" s="711" t="s">
        <v>2085</v>
      </c>
      <c r="G337" s="711" t="s">
        <v>2140</v>
      </c>
      <c r="H337" s="711" t="s">
        <v>500</v>
      </c>
      <c r="I337" s="711" t="s">
        <v>2141</v>
      </c>
      <c r="J337" s="711" t="s">
        <v>1263</v>
      </c>
      <c r="K337" s="711" t="s">
        <v>1264</v>
      </c>
      <c r="L337" s="714">
        <v>98.31</v>
      </c>
      <c r="M337" s="714">
        <v>196.62</v>
      </c>
      <c r="N337" s="711">
        <v>2</v>
      </c>
      <c r="O337" s="715">
        <v>0.5</v>
      </c>
      <c r="P337" s="714">
        <v>196.62</v>
      </c>
      <c r="Q337" s="716">
        <v>1</v>
      </c>
      <c r="R337" s="711">
        <v>2</v>
      </c>
      <c r="S337" s="716">
        <v>1</v>
      </c>
      <c r="T337" s="715">
        <v>0.5</v>
      </c>
      <c r="U337" s="717">
        <v>1</v>
      </c>
    </row>
    <row r="338" spans="1:21" ht="14.4" customHeight="1" x14ac:dyDescent="0.3">
      <c r="A338" s="710">
        <v>30</v>
      </c>
      <c r="B338" s="711" t="s">
        <v>501</v>
      </c>
      <c r="C338" s="711">
        <v>89301303</v>
      </c>
      <c r="D338" s="712" t="s">
        <v>2660</v>
      </c>
      <c r="E338" s="713" t="s">
        <v>2097</v>
      </c>
      <c r="F338" s="711" t="s">
        <v>2085</v>
      </c>
      <c r="G338" s="711" t="s">
        <v>2586</v>
      </c>
      <c r="H338" s="711" t="s">
        <v>500</v>
      </c>
      <c r="I338" s="711" t="s">
        <v>2587</v>
      </c>
      <c r="J338" s="711" t="s">
        <v>2588</v>
      </c>
      <c r="K338" s="711" t="s">
        <v>2589</v>
      </c>
      <c r="L338" s="714">
        <v>540.22</v>
      </c>
      <c r="M338" s="714">
        <v>1620.66</v>
      </c>
      <c r="N338" s="711">
        <v>3</v>
      </c>
      <c r="O338" s="715">
        <v>0.5</v>
      </c>
      <c r="P338" s="714"/>
      <c r="Q338" s="716">
        <v>0</v>
      </c>
      <c r="R338" s="711"/>
      <c r="S338" s="716">
        <v>0</v>
      </c>
      <c r="T338" s="715"/>
      <c r="U338" s="717">
        <v>0</v>
      </c>
    </row>
    <row r="339" spans="1:21" ht="14.4" customHeight="1" x14ac:dyDescent="0.3">
      <c r="A339" s="710">
        <v>30</v>
      </c>
      <c r="B339" s="711" t="s">
        <v>501</v>
      </c>
      <c r="C339" s="711">
        <v>89301303</v>
      </c>
      <c r="D339" s="712" t="s">
        <v>2660</v>
      </c>
      <c r="E339" s="713" t="s">
        <v>2097</v>
      </c>
      <c r="F339" s="711" t="s">
        <v>2085</v>
      </c>
      <c r="G339" s="711" t="s">
        <v>2590</v>
      </c>
      <c r="H339" s="711" t="s">
        <v>1480</v>
      </c>
      <c r="I339" s="711" t="s">
        <v>2591</v>
      </c>
      <c r="J339" s="711" t="s">
        <v>2592</v>
      </c>
      <c r="K339" s="711" t="s">
        <v>2593</v>
      </c>
      <c r="L339" s="714">
        <v>185.9</v>
      </c>
      <c r="M339" s="714">
        <v>557.70000000000005</v>
      </c>
      <c r="N339" s="711">
        <v>3</v>
      </c>
      <c r="O339" s="715">
        <v>0.5</v>
      </c>
      <c r="P339" s="714">
        <v>557.70000000000005</v>
      </c>
      <c r="Q339" s="716">
        <v>1</v>
      </c>
      <c r="R339" s="711">
        <v>3</v>
      </c>
      <c r="S339" s="716">
        <v>1</v>
      </c>
      <c r="T339" s="715">
        <v>0.5</v>
      </c>
      <c r="U339" s="717">
        <v>1</v>
      </c>
    </row>
    <row r="340" spans="1:21" ht="14.4" customHeight="1" x14ac:dyDescent="0.3">
      <c r="A340" s="710">
        <v>30</v>
      </c>
      <c r="B340" s="711" t="s">
        <v>501</v>
      </c>
      <c r="C340" s="711">
        <v>89301303</v>
      </c>
      <c r="D340" s="712" t="s">
        <v>2660</v>
      </c>
      <c r="E340" s="713" t="s">
        <v>2097</v>
      </c>
      <c r="F340" s="711" t="s">
        <v>2085</v>
      </c>
      <c r="G340" s="711" t="s">
        <v>2282</v>
      </c>
      <c r="H340" s="711" t="s">
        <v>500</v>
      </c>
      <c r="I340" s="711" t="s">
        <v>764</v>
      </c>
      <c r="J340" s="711" t="s">
        <v>2284</v>
      </c>
      <c r="K340" s="711" t="s">
        <v>2594</v>
      </c>
      <c r="L340" s="714">
        <v>391.83</v>
      </c>
      <c r="M340" s="714">
        <v>1175.49</v>
      </c>
      <c r="N340" s="711">
        <v>3</v>
      </c>
      <c r="O340" s="715">
        <v>0.5</v>
      </c>
      <c r="P340" s="714"/>
      <c r="Q340" s="716">
        <v>0</v>
      </c>
      <c r="R340" s="711"/>
      <c r="S340" s="716">
        <v>0</v>
      </c>
      <c r="T340" s="715"/>
      <c r="U340" s="717">
        <v>0</v>
      </c>
    </row>
    <row r="341" spans="1:21" ht="14.4" customHeight="1" x14ac:dyDescent="0.3">
      <c r="A341" s="710">
        <v>30</v>
      </c>
      <c r="B341" s="711" t="s">
        <v>501</v>
      </c>
      <c r="C341" s="711">
        <v>89301303</v>
      </c>
      <c r="D341" s="712" t="s">
        <v>2660</v>
      </c>
      <c r="E341" s="713" t="s">
        <v>2097</v>
      </c>
      <c r="F341" s="711" t="s">
        <v>2085</v>
      </c>
      <c r="G341" s="711" t="s">
        <v>2282</v>
      </c>
      <c r="H341" s="711" t="s">
        <v>500</v>
      </c>
      <c r="I341" s="711" t="s">
        <v>2595</v>
      </c>
      <c r="J341" s="711" t="s">
        <v>673</v>
      </c>
      <c r="K341" s="711" t="s">
        <v>2596</v>
      </c>
      <c r="L341" s="714">
        <v>0</v>
      </c>
      <c r="M341" s="714">
        <v>0</v>
      </c>
      <c r="N341" s="711">
        <v>2</v>
      </c>
      <c r="O341" s="715">
        <v>0.5</v>
      </c>
      <c r="P341" s="714"/>
      <c r="Q341" s="716"/>
      <c r="R341" s="711"/>
      <c r="S341" s="716">
        <v>0</v>
      </c>
      <c r="T341" s="715"/>
      <c r="U341" s="717">
        <v>0</v>
      </c>
    </row>
    <row r="342" spans="1:21" ht="14.4" customHeight="1" x14ac:dyDescent="0.3">
      <c r="A342" s="710">
        <v>30</v>
      </c>
      <c r="B342" s="711" t="s">
        <v>501</v>
      </c>
      <c r="C342" s="711">
        <v>89301303</v>
      </c>
      <c r="D342" s="712" t="s">
        <v>2660</v>
      </c>
      <c r="E342" s="713" t="s">
        <v>2097</v>
      </c>
      <c r="F342" s="711" t="s">
        <v>2085</v>
      </c>
      <c r="G342" s="711" t="s">
        <v>2597</v>
      </c>
      <c r="H342" s="711" t="s">
        <v>500</v>
      </c>
      <c r="I342" s="711" t="s">
        <v>906</v>
      </c>
      <c r="J342" s="711" t="s">
        <v>2598</v>
      </c>
      <c r="K342" s="711" t="s">
        <v>2599</v>
      </c>
      <c r="L342" s="714">
        <v>59.89</v>
      </c>
      <c r="M342" s="714">
        <v>119.78</v>
      </c>
      <c r="N342" s="711">
        <v>2</v>
      </c>
      <c r="O342" s="715">
        <v>0.5</v>
      </c>
      <c r="P342" s="714"/>
      <c r="Q342" s="716">
        <v>0</v>
      </c>
      <c r="R342" s="711"/>
      <c r="S342" s="716">
        <v>0</v>
      </c>
      <c r="T342" s="715"/>
      <c r="U342" s="717">
        <v>0</v>
      </c>
    </row>
    <row r="343" spans="1:21" ht="14.4" customHeight="1" x14ac:dyDescent="0.3">
      <c r="A343" s="710">
        <v>30</v>
      </c>
      <c r="B343" s="711" t="s">
        <v>501</v>
      </c>
      <c r="C343" s="711">
        <v>89301303</v>
      </c>
      <c r="D343" s="712" t="s">
        <v>2660</v>
      </c>
      <c r="E343" s="713" t="s">
        <v>2097</v>
      </c>
      <c r="F343" s="711" t="s">
        <v>2085</v>
      </c>
      <c r="G343" s="711" t="s">
        <v>2146</v>
      </c>
      <c r="H343" s="711" t="s">
        <v>500</v>
      </c>
      <c r="I343" s="711" t="s">
        <v>2490</v>
      </c>
      <c r="J343" s="711" t="s">
        <v>2148</v>
      </c>
      <c r="K343" s="711" t="s">
        <v>697</v>
      </c>
      <c r="L343" s="714">
        <v>314.89999999999998</v>
      </c>
      <c r="M343" s="714">
        <v>1259.5999999999999</v>
      </c>
      <c r="N343" s="711">
        <v>4</v>
      </c>
      <c r="O343" s="715">
        <v>1</v>
      </c>
      <c r="P343" s="714">
        <v>629.79999999999995</v>
      </c>
      <c r="Q343" s="716">
        <v>0.5</v>
      </c>
      <c r="R343" s="711">
        <v>2</v>
      </c>
      <c r="S343" s="716">
        <v>0.5</v>
      </c>
      <c r="T343" s="715">
        <v>0.5</v>
      </c>
      <c r="U343" s="717">
        <v>0.5</v>
      </c>
    </row>
    <row r="344" spans="1:21" ht="14.4" customHeight="1" x14ac:dyDescent="0.3">
      <c r="A344" s="710">
        <v>30</v>
      </c>
      <c r="B344" s="711" t="s">
        <v>501</v>
      </c>
      <c r="C344" s="711">
        <v>89301303</v>
      </c>
      <c r="D344" s="712" t="s">
        <v>2660</v>
      </c>
      <c r="E344" s="713" t="s">
        <v>2097</v>
      </c>
      <c r="F344" s="711" t="s">
        <v>2085</v>
      </c>
      <c r="G344" s="711" t="s">
        <v>2146</v>
      </c>
      <c r="H344" s="711" t="s">
        <v>500</v>
      </c>
      <c r="I344" s="711" t="s">
        <v>695</v>
      </c>
      <c r="J344" s="711" t="s">
        <v>696</v>
      </c>
      <c r="K344" s="711" t="s">
        <v>2600</v>
      </c>
      <c r="L344" s="714">
        <v>314.89999999999998</v>
      </c>
      <c r="M344" s="714">
        <v>1259.5999999999999</v>
      </c>
      <c r="N344" s="711">
        <v>4</v>
      </c>
      <c r="O344" s="715">
        <v>2</v>
      </c>
      <c r="P344" s="714">
        <v>314.89999999999998</v>
      </c>
      <c r="Q344" s="716">
        <v>0.25</v>
      </c>
      <c r="R344" s="711">
        <v>1</v>
      </c>
      <c r="S344" s="716">
        <v>0.25</v>
      </c>
      <c r="T344" s="715">
        <v>1</v>
      </c>
      <c r="U344" s="717">
        <v>0.5</v>
      </c>
    </row>
    <row r="345" spans="1:21" ht="14.4" customHeight="1" x14ac:dyDescent="0.3">
      <c r="A345" s="710">
        <v>30</v>
      </c>
      <c r="B345" s="711" t="s">
        <v>501</v>
      </c>
      <c r="C345" s="711">
        <v>89301303</v>
      </c>
      <c r="D345" s="712" t="s">
        <v>2660</v>
      </c>
      <c r="E345" s="713" t="s">
        <v>2097</v>
      </c>
      <c r="F345" s="711" t="s">
        <v>2085</v>
      </c>
      <c r="G345" s="711" t="s">
        <v>2601</v>
      </c>
      <c r="H345" s="711" t="s">
        <v>500</v>
      </c>
      <c r="I345" s="711" t="s">
        <v>2602</v>
      </c>
      <c r="J345" s="711" t="s">
        <v>2603</v>
      </c>
      <c r="K345" s="711" t="s">
        <v>942</v>
      </c>
      <c r="L345" s="714">
        <v>216.16</v>
      </c>
      <c r="M345" s="714">
        <v>648.48</v>
      </c>
      <c r="N345" s="711">
        <v>3</v>
      </c>
      <c r="O345" s="715">
        <v>0.5</v>
      </c>
      <c r="P345" s="714"/>
      <c r="Q345" s="716">
        <v>0</v>
      </c>
      <c r="R345" s="711"/>
      <c r="S345" s="716">
        <v>0</v>
      </c>
      <c r="T345" s="715"/>
      <c r="U345" s="717">
        <v>0</v>
      </c>
    </row>
    <row r="346" spans="1:21" ht="14.4" customHeight="1" x14ac:dyDescent="0.3">
      <c r="A346" s="710">
        <v>30</v>
      </c>
      <c r="B346" s="711" t="s">
        <v>501</v>
      </c>
      <c r="C346" s="711">
        <v>89301303</v>
      </c>
      <c r="D346" s="712" t="s">
        <v>2660</v>
      </c>
      <c r="E346" s="713" t="s">
        <v>2097</v>
      </c>
      <c r="F346" s="711" t="s">
        <v>2085</v>
      </c>
      <c r="G346" s="711" t="s">
        <v>2150</v>
      </c>
      <c r="H346" s="711" t="s">
        <v>1480</v>
      </c>
      <c r="I346" s="711" t="s">
        <v>1639</v>
      </c>
      <c r="J346" s="711" t="s">
        <v>1640</v>
      </c>
      <c r="K346" s="711" t="s">
        <v>1641</v>
      </c>
      <c r="L346" s="714">
        <v>67.42</v>
      </c>
      <c r="M346" s="714">
        <v>202.26</v>
      </c>
      <c r="N346" s="711">
        <v>3</v>
      </c>
      <c r="O346" s="715">
        <v>0.5</v>
      </c>
      <c r="P346" s="714">
        <v>202.26</v>
      </c>
      <c r="Q346" s="716">
        <v>1</v>
      </c>
      <c r="R346" s="711">
        <v>3</v>
      </c>
      <c r="S346" s="716">
        <v>1</v>
      </c>
      <c r="T346" s="715">
        <v>0.5</v>
      </c>
      <c r="U346" s="717">
        <v>1</v>
      </c>
    </row>
    <row r="347" spans="1:21" ht="14.4" customHeight="1" x14ac:dyDescent="0.3">
      <c r="A347" s="710">
        <v>30</v>
      </c>
      <c r="B347" s="711" t="s">
        <v>501</v>
      </c>
      <c r="C347" s="711">
        <v>89301303</v>
      </c>
      <c r="D347" s="712" t="s">
        <v>2660</v>
      </c>
      <c r="E347" s="713" t="s">
        <v>2097</v>
      </c>
      <c r="F347" s="711" t="s">
        <v>2085</v>
      </c>
      <c r="G347" s="711" t="s">
        <v>2383</v>
      </c>
      <c r="H347" s="711" t="s">
        <v>500</v>
      </c>
      <c r="I347" s="711" t="s">
        <v>2604</v>
      </c>
      <c r="J347" s="711" t="s">
        <v>2605</v>
      </c>
      <c r="K347" s="711" t="s">
        <v>837</v>
      </c>
      <c r="L347" s="714">
        <v>193.98</v>
      </c>
      <c r="M347" s="714">
        <v>581.93999999999994</v>
      </c>
      <c r="N347" s="711">
        <v>3</v>
      </c>
      <c r="O347" s="715">
        <v>0.5</v>
      </c>
      <c r="P347" s="714"/>
      <c r="Q347" s="716">
        <v>0</v>
      </c>
      <c r="R347" s="711"/>
      <c r="S347" s="716">
        <v>0</v>
      </c>
      <c r="T347" s="715"/>
      <c r="U347" s="717">
        <v>0</v>
      </c>
    </row>
    <row r="348" spans="1:21" ht="14.4" customHeight="1" x14ac:dyDescent="0.3">
      <c r="A348" s="710">
        <v>30</v>
      </c>
      <c r="B348" s="711" t="s">
        <v>501</v>
      </c>
      <c r="C348" s="711">
        <v>89301303</v>
      </c>
      <c r="D348" s="712" t="s">
        <v>2660</v>
      </c>
      <c r="E348" s="713" t="s">
        <v>2097</v>
      </c>
      <c r="F348" s="711" t="s">
        <v>2085</v>
      </c>
      <c r="G348" s="711" t="s">
        <v>2503</v>
      </c>
      <c r="H348" s="711" t="s">
        <v>1480</v>
      </c>
      <c r="I348" s="711" t="s">
        <v>1619</v>
      </c>
      <c r="J348" s="711" t="s">
        <v>1620</v>
      </c>
      <c r="K348" s="711" t="s">
        <v>942</v>
      </c>
      <c r="L348" s="714">
        <v>201.88</v>
      </c>
      <c r="M348" s="714">
        <v>605.64</v>
      </c>
      <c r="N348" s="711">
        <v>3</v>
      </c>
      <c r="O348" s="715">
        <v>0.5</v>
      </c>
      <c r="P348" s="714"/>
      <c r="Q348" s="716">
        <v>0</v>
      </c>
      <c r="R348" s="711"/>
      <c r="S348" s="716">
        <v>0</v>
      </c>
      <c r="T348" s="715"/>
      <c r="U348" s="717">
        <v>0</v>
      </c>
    </row>
    <row r="349" spans="1:21" ht="14.4" customHeight="1" x14ac:dyDescent="0.3">
      <c r="A349" s="710">
        <v>30</v>
      </c>
      <c r="B349" s="711" t="s">
        <v>501</v>
      </c>
      <c r="C349" s="711">
        <v>89301303</v>
      </c>
      <c r="D349" s="712" t="s">
        <v>2660</v>
      </c>
      <c r="E349" s="713" t="s">
        <v>2097</v>
      </c>
      <c r="F349" s="711" t="s">
        <v>2085</v>
      </c>
      <c r="G349" s="711" t="s">
        <v>2606</v>
      </c>
      <c r="H349" s="711" t="s">
        <v>1480</v>
      </c>
      <c r="I349" s="711" t="s">
        <v>2607</v>
      </c>
      <c r="J349" s="711" t="s">
        <v>2608</v>
      </c>
      <c r="K349" s="711" t="s">
        <v>2609</v>
      </c>
      <c r="L349" s="714">
        <v>201.75</v>
      </c>
      <c r="M349" s="714">
        <v>605.25</v>
      </c>
      <c r="N349" s="711">
        <v>3</v>
      </c>
      <c r="O349" s="715">
        <v>0.5</v>
      </c>
      <c r="P349" s="714"/>
      <c r="Q349" s="716">
        <v>0</v>
      </c>
      <c r="R349" s="711"/>
      <c r="S349" s="716">
        <v>0</v>
      </c>
      <c r="T349" s="715"/>
      <c r="U349" s="717">
        <v>0</v>
      </c>
    </row>
    <row r="350" spans="1:21" ht="14.4" customHeight="1" x14ac:dyDescent="0.3">
      <c r="A350" s="710">
        <v>30</v>
      </c>
      <c r="B350" s="711" t="s">
        <v>501</v>
      </c>
      <c r="C350" s="711">
        <v>89301303</v>
      </c>
      <c r="D350" s="712" t="s">
        <v>2660</v>
      </c>
      <c r="E350" s="713" t="s">
        <v>2097</v>
      </c>
      <c r="F350" s="711" t="s">
        <v>2085</v>
      </c>
      <c r="G350" s="711" t="s">
        <v>2219</v>
      </c>
      <c r="H350" s="711" t="s">
        <v>500</v>
      </c>
      <c r="I350" s="711" t="s">
        <v>768</v>
      </c>
      <c r="J350" s="711" t="s">
        <v>2220</v>
      </c>
      <c r="K350" s="711" t="s">
        <v>2221</v>
      </c>
      <c r="L350" s="714">
        <v>0</v>
      </c>
      <c r="M350" s="714">
        <v>0</v>
      </c>
      <c r="N350" s="711">
        <v>2</v>
      </c>
      <c r="O350" s="715">
        <v>0.5</v>
      </c>
      <c r="P350" s="714">
        <v>0</v>
      </c>
      <c r="Q350" s="716"/>
      <c r="R350" s="711">
        <v>2</v>
      </c>
      <c r="S350" s="716">
        <v>1</v>
      </c>
      <c r="T350" s="715">
        <v>0.5</v>
      </c>
      <c r="U350" s="717">
        <v>1</v>
      </c>
    </row>
    <row r="351" spans="1:21" ht="14.4" customHeight="1" x14ac:dyDescent="0.3">
      <c r="A351" s="710">
        <v>30</v>
      </c>
      <c r="B351" s="711" t="s">
        <v>501</v>
      </c>
      <c r="C351" s="711">
        <v>89301303</v>
      </c>
      <c r="D351" s="712" t="s">
        <v>2660</v>
      </c>
      <c r="E351" s="713" t="s">
        <v>2097</v>
      </c>
      <c r="F351" s="711" t="s">
        <v>2085</v>
      </c>
      <c r="G351" s="711" t="s">
        <v>2298</v>
      </c>
      <c r="H351" s="711" t="s">
        <v>1480</v>
      </c>
      <c r="I351" s="711" t="s">
        <v>1524</v>
      </c>
      <c r="J351" s="711" t="s">
        <v>1525</v>
      </c>
      <c r="K351" s="711" t="s">
        <v>1526</v>
      </c>
      <c r="L351" s="714">
        <v>32.74</v>
      </c>
      <c r="M351" s="714">
        <v>98.22</v>
      </c>
      <c r="N351" s="711">
        <v>3</v>
      </c>
      <c r="O351" s="715">
        <v>1</v>
      </c>
      <c r="P351" s="714">
        <v>98.22</v>
      </c>
      <c r="Q351" s="716">
        <v>1</v>
      </c>
      <c r="R351" s="711">
        <v>3</v>
      </c>
      <c r="S351" s="716">
        <v>1</v>
      </c>
      <c r="T351" s="715">
        <v>1</v>
      </c>
      <c r="U351" s="717">
        <v>1</v>
      </c>
    </row>
    <row r="352" spans="1:21" ht="14.4" customHeight="1" x14ac:dyDescent="0.3">
      <c r="A352" s="710">
        <v>30</v>
      </c>
      <c r="B352" s="711" t="s">
        <v>501</v>
      </c>
      <c r="C352" s="711">
        <v>89301303</v>
      </c>
      <c r="D352" s="712" t="s">
        <v>2660</v>
      </c>
      <c r="E352" s="713" t="s">
        <v>2097</v>
      </c>
      <c r="F352" s="711" t="s">
        <v>2085</v>
      </c>
      <c r="G352" s="711" t="s">
        <v>2234</v>
      </c>
      <c r="H352" s="711" t="s">
        <v>500</v>
      </c>
      <c r="I352" s="711" t="s">
        <v>2540</v>
      </c>
      <c r="J352" s="711" t="s">
        <v>2236</v>
      </c>
      <c r="K352" s="711" t="s">
        <v>892</v>
      </c>
      <c r="L352" s="714">
        <v>0</v>
      </c>
      <c r="M352" s="714">
        <v>0</v>
      </c>
      <c r="N352" s="711">
        <v>3</v>
      </c>
      <c r="O352" s="715">
        <v>0.5</v>
      </c>
      <c r="P352" s="714">
        <v>0</v>
      </c>
      <c r="Q352" s="716"/>
      <c r="R352" s="711">
        <v>3</v>
      </c>
      <c r="S352" s="716">
        <v>1</v>
      </c>
      <c r="T352" s="715">
        <v>0.5</v>
      </c>
      <c r="U352" s="717">
        <v>1</v>
      </c>
    </row>
    <row r="353" spans="1:21" ht="14.4" customHeight="1" x14ac:dyDescent="0.3">
      <c r="A353" s="710">
        <v>30</v>
      </c>
      <c r="B353" s="711" t="s">
        <v>501</v>
      </c>
      <c r="C353" s="711">
        <v>89301303</v>
      </c>
      <c r="D353" s="712" t="s">
        <v>2660</v>
      </c>
      <c r="E353" s="713" t="s">
        <v>2097</v>
      </c>
      <c r="F353" s="711" t="s">
        <v>2086</v>
      </c>
      <c r="G353" s="711" t="s">
        <v>2392</v>
      </c>
      <c r="H353" s="711" t="s">
        <v>500</v>
      </c>
      <c r="I353" s="711" t="s">
        <v>2610</v>
      </c>
      <c r="J353" s="711" t="s">
        <v>2394</v>
      </c>
      <c r="K353" s="711"/>
      <c r="L353" s="714">
        <v>0</v>
      </c>
      <c r="M353" s="714">
        <v>0</v>
      </c>
      <c r="N353" s="711">
        <v>1</v>
      </c>
      <c r="O353" s="715">
        <v>1</v>
      </c>
      <c r="P353" s="714">
        <v>0</v>
      </c>
      <c r="Q353" s="716"/>
      <c r="R353" s="711">
        <v>1</v>
      </c>
      <c r="S353" s="716">
        <v>1</v>
      </c>
      <c r="T353" s="715">
        <v>1</v>
      </c>
      <c r="U353" s="717">
        <v>1</v>
      </c>
    </row>
    <row r="354" spans="1:21" ht="14.4" customHeight="1" x14ac:dyDescent="0.3">
      <c r="A354" s="710">
        <v>30</v>
      </c>
      <c r="B354" s="711" t="s">
        <v>501</v>
      </c>
      <c r="C354" s="711">
        <v>89301303</v>
      </c>
      <c r="D354" s="712" t="s">
        <v>2660</v>
      </c>
      <c r="E354" s="713" t="s">
        <v>2098</v>
      </c>
      <c r="F354" s="711" t="s">
        <v>2085</v>
      </c>
      <c r="G354" s="711" t="s">
        <v>2104</v>
      </c>
      <c r="H354" s="711" t="s">
        <v>1480</v>
      </c>
      <c r="I354" s="711" t="s">
        <v>2611</v>
      </c>
      <c r="J354" s="711" t="s">
        <v>1627</v>
      </c>
      <c r="K354" s="711" t="s">
        <v>1990</v>
      </c>
      <c r="L354" s="714">
        <v>203.07</v>
      </c>
      <c r="M354" s="714">
        <v>203.07</v>
      </c>
      <c r="N354" s="711">
        <v>1</v>
      </c>
      <c r="O354" s="715">
        <v>0.5</v>
      </c>
      <c r="P354" s="714"/>
      <c r="Q354" s="716">
        <v>0</v>
      </c>
      <c r="R354" s="711"/>
      <c r="S354" s="716">
        <v>0</v>
      </c>
      <c r="T354" s="715"/>
      <c r="U354" s="717">
        <v>0</v>
      </c>
    </row>
    <row r="355" spans="1:21" ht="14.4" customHeight="1" x14ac:dyDescent="0.3">
      <c r="A355" s="710">
        <v>30</v>
      </c>
      <c r="B355" s="711" t="s">
        <v>501</v>
      </c>
      <c r="C355" s="711">
        <v>89301303</v>
      </c>
      <c r="D355" s="712" t="s">
        <v>2660</v>
      </c>
      <c r="E355" s="713" t="s">
        <v>2098</v>
      </c>
      <c r="F355" s="711" t="s">
        <v>2085</v>
      </c>
      <c r="G355" s="711" t="s">
        <v>2106</v>
      </c>
      <c r="H355" s="711" t="s">
        <v>1480</v>
      </c>
      <c r="I355" s="711" t="s">
        <v>2612</v>
      </c>
      <c r="J355" s="711" t="s">
        <v>2613</v>
      </c>
      <c r="K355" s="711" t="s">
        <v>1694</v>
      </c>
      <c r="L355" s="714">
        <v>195.89</v>
      </c>
      <c r="M355" s="714">
        <v>195.89</v>
      </c>
      <c r="N355" s="711">
        <v>1</v>
      </c>
      <c r="O355" s="715">
        <v>0.5</v>
      </c>
      <c r="P355" s="714"/>
      <c r="Q355" s="716">
        <v>0</v>
      </c>
      <c r="R355" s="711"/>
      <c r="S355" s="716">
        <v>0</v>
      </c>
      <c r="T355" s="715"/>
      <c r="U355" s="717">
        <v>0</v>
      </c>
    </row>
    <row r="356" spans="1:21" ht="14.4" customHeight="1" x14ac:dyDescent="0.3">
      <c r="A356" s="710">
        <v>30</v>
      </c>
      <c r="B356" s="711" t="s">
        <v>501</v>
      </c>
      <c r="C356" s="711">
        <v>89301303</v>
      </c>
      <c r="D356" s="712" t="s">
        <v>2660</v>
      </c>
      <c r="E356" s="713" t="s">
        <v>2098</v>
      </c>
      <c r="F356" s="711" t="s">
        <v>2085</v>
      </c>
      <c r="G356" s="711" t="s">
        <v>2614</v>
      </c>
      <c r="H356" s="711" t="s">
        <v>1480</v>
      </c>
      <c r="I356" s="711" t="s">
        <v>2615</v>
      </c>
      <c r="J356" s="711" t="s">
        <v>2616</v>
      </c>
      <c r="K356" s="711" t="s">
        <v>2617</v>
      </c>
      <c r="L356" s="714">
        <v>222.25</v>
      </c>
      <c r="M356" s="714">
        <v>444.5</v>
      </c>
      <c r="N356" s="711">
        <v>2</v>
      </c>
      <c r="O356" s="715">
        <v>2</v>
      </c>
      <c r="P356" s="714">
        <v>444.5</v>
      </c>
      <c r="Q356" s="716">
        <v>1</v>
      </c>
      <c r="R356" s="711">
        <v>2</v>
      </c>
      <c r="S356" s="716">
        <v>1</v>
      </c>
      <c r="T356" s="715">
        <v>2</v>
      </c>
      <c r="U356" s="717">
        <v>1</v>
      </c>
    </row>
    <row r="357" spans="1:21" ht="14.4" customHeight="1" x14ac:dyDescent="0.3">
      <c r="A357" s="710">
        <v>30</v>
      </c>
      <c r="B357" s="711" t="s">
        <v>501</v>
      </c>
      <c r="C357" s="711">
        <v>89301303</v>
      </c>
      <c r="D357" s="712" t="s">
        <v>2660</v>
      </c>
      <c r="E357" s="713" t="s">
        <v>2098</v>
      </c>
      <c r="F357" s="711" t="s">
        <v>2085</v>
      </c>
      <c r="G357" s="711" t="s">
        <v>2120</v>
      </c>
      <c r="H357" s="711" t="s">
        <v>1480</v>
      </c>
      <c r="I357" s="711" t="s">
        <v>2618</v>
      </c>
      <c r="J357" s="711" t="s">
        <v>2058</v>
      </c>
      <c r="K357" s="711" t="s">
        <v>2619</v>
      </c>
      <c r="L357" s="714">
        <v>887.05</v>
      </c>
      <c r="M357" s="714">
        <v>1774.1</v>
      </c>
      <c r="N357" s="711">
        <v>2</v>
      </c>
      <c r="O357" s="715">
        <v>1</v>
      </c>
      <c r="P357" s="714">
        <v>1774.1</v>
      </c>
      <c r="Q357" s="716">
        <v>1</v>
      </c>
      <c r="R357" s="711">
        <v>2</v>
      </c>
      <c r="S357" s="716">
        <v>1</v>
      </c>
      <c r="T357" s="715">
        <v>1</v>
      </c>
      <c r="U357" s="717">
        <v>1</v>
      </c>
    </row>
    <row r="358" spans="1:21" ht="14.4" customHeight="1" x14ac:dyDescent="0.3">
      <c r="A358" s="710">
        <v>30</v>
      </c>
      <c r="B358" s="711" t="s">
        <v>501</v>
      </c>
      <c r="C358" s="711">
        <v>89301303</v>
      </c>
      <c r="D358" s="712" t="s">
        <v>2660</v>
      </c>
      <c r="E358" s="713" t="s">
        <v>2098</v>
      </c>
      <c r="F358" s="711" t="s">
        <v>2085</v>
      </c>
      <c r="G358" s="711" t="s">
        <v>2578</v>
      </c>
      <c r="H358" s="711" t="s">
        <v>500</v>
      </c>
      <c r="I358" s="711" t="s">
        <v>779</v>
      </c>
      <c r="J358" s="711" t="s">
        <v>2579</v>
      </c>
      <c r="K358" s="711" t="s">
        <v>2580</v>
      </c>
      <c r="L358" s="714">
        <v>72.05</v>
      </c>
      <c r="M358" s="714">
        <v>144.1</v>
      </c>
      <c r="N358" s="711">
        <v>2</v>
      </c>
      <c r="O358" s="715">
        <v>0.5</v>
      </c>
      <c r="P358" s="714">
        <v>144.1</v>
      </c>
      <c r="Q358" s="716">
        <v>1</v>
      </c>
      <c r="R358" s="711">
        <v>2</v>
      </c>
      <c r="S358" s="716">
        <v>1</v>
      </c>
      <c r="T358" s="715">
        <v>0.5</v>
      </c>
      <c r="U358" s="717">
        <v>1</v>
      </c>
    </row>
    <row r="359" spans="1:21" ht="14.4" customHeight="1" x14ac:dyDescent="0.3">
      <c r="A359" s="710">
        <v>30</v>
      </c>
      <c r="B359" s="711" t="s">
        <v>501</v>
      </c>
      <c r="C359" s="711">
        <v>89301303</v>
      </c>
      <c r="D359" s="712" t="s">
        <v>2660</v>
      </c>
      <c r="E359" s="713" t="s">
        <v>2098</v>
      </c>
      <c r="F359" s="711" t="s">
        <v>2085</v>
      </c>
      <c r="G359" s="711" t="s">
        <v>2263</v>
      </c>
      <c r="H359" s="711" t="s">
        <v>500</v>
      </c>
      <c r="I359" s="711" t="s">
        <v>2581</v>
      </c>
      <c r="J359" s="711" t="s">
        <v>2549</v>
      </c>
      <c r="K359" s="711" t="s">
        <v>2486</v>
      </c>
      <c r="L359" s="714">
        <v>0</v>
      </c>
      <c r="M359" s="714">
        <v>0</v>
      </c>
      <c r="N359" s="711">
        <v>3</v>
      </c>
      <c r="O359" s="715">
        <v>1</v>
      </c>
      <c r="P359" s="714"/>
      <c r="Q359" s="716"/>
      <c r="R359" s="711"/>
      <c r="S359" s="716">
        <v>0</v>
      </c>
      <c r="T359" s="715"/>
      <c r="U359" s="717">
        <v>0</v>
      </c>
    </row>
    <row r="360" spans="1:21" ht="14.4" customHeight="1" x14ac:dyDescent="0.3">
      <c r="A360" s="710">
        <v>30</v>
      </c>
      <c r="B360" s="711" t="s">
        <v>501</v>
      </c>
      <c r="C360" s="711">
        <v>89301303</v>
      </c>
      <c r="D360" s="712" t="s">
        <v>2660</v>
      </c>
      <c r="E360" s="713" t="s">
        <v>2098</v>
      </c>
      <c r="F360" s="711" t="s">
        <v>2085</v>
      </c>
      <c r="G360" s="711" t="s">
        <v>2131</v>
      </c>
      <c r="H360" s="711" t="s">
        <v>500</v>
      </c>
      <c r="I360" s="711" t="s">
        <v>1099</v>
      </c>
      <c r="J360" s="711" t="s">
        <v>2274</v>
      </c>
      <c r="K360" s="711" t="s">
        <v>2275</v>
      </c>
      <c r="L360" s="714">
        <v>86.76</v>
      </c>
      <c r="M360" s="714">
        <v>86.76</v>
      </c>
      <c r="N360" s="711">
        <v>1</v>
      </c>
      <c r="O360" s="715">
        <v>0.5</v>
      </c>
      <c r="P360" s="714">
        <v>86.76</v>
      </c>
      <c r="Q360" s="716">
        <v>1</v>
      </c>
      <c r="R360" s="711">
        <v>1</v>
      </c>
      <c r="S360" s="716">
        <v>1</v>
      </c>
      <c r="T360" s="715">
        <v>0.5</v>
      </c>
      <c r="U360" s="717">
        <v>1</v>
      </c>
    </row>
    <row r="361" spans="1:21" ht="14.4" customHeight="1" x14ac:dyDescent="0.3">
      <c r="A361" s="710">
        <v>30</v>
      </c>
      <c r="B361" s="711" t="s">
        <v>501</v>
      </c>
      <c r="C361" s="711">
        <v>89301303</v>
      </c>
      <c r="D361" s="712" t="s">
        <v>2660</v>
      </c>
      <c r="E361" s="713" t="s">
        <v>2098</v>
      </c>
      <c r="F361" s="711" t="s">
        <v>2085</v>
      </c>
      <c r="G361" s="711" t="s">
        <v>2620</v>
      </c>
      <c r="H361" s="711" t="s">
        <v>500</v>
      </c>
      <c r="I361" s="711" t="s">
        <v>2621</v>
      </c>
      <c r="J361" s="711" t="s">
        <v>2622</v>
      </c>
      <c r="K361" s="711" t="s">
        <v>2500</v>
      </c>
      <c r="L361" s="714">
        <v>298.88</v>
      </c>
      <c r="M361" s="714">
        <v>298.88</v>
      </c>
      <c r="N361" s="711">
        <v>1</v>
      </c>
      <c r="O361" s="715">
        <v>0.5</v>
      </c>
      <c r="P361" s="714">
        <v>298.88</v>
      </c>
      <c r="Q361" s="716">
        <v>1</v>
      </c>
      <c r="R361" s="711">
        <v>1</v>
      </c>
      <c r="S361" s="716">
        <v>1</v>
      </c>
      <c r="T361" s="715">
        <v>0.5</v>
      </c>
      <c r="U361" s="717">
        <v>1</v>
      </c>
    </row>
    <row r="362" spans="1:21" ht="14.4" customHeight="1" x14ac:dyDescent="0.3">
      <c r="A362" s="710">
        <v>30</v>
      </c>
      <c r="B362" s="711" t="s">
        <v>501</v>
      </c>
      <c r="C362" s="711">
        <v>89301303</v>
      </c>
      <c r="D362" s="712" t="s">
        <v>2660</v>
      </c>
      <c r="E362" s="713" t="s">
        <v>2098</v>
      </c>
      <c r="F362" s="711" t="s">
        <v>2085</v>
      </c>
      <c r="G362" s="711" t="s">
        <v>2496</v>
      </c>
      <c r="H362" s="711" t="s">
        <v>500</v>
      </c>
      <c r="I362" s="711" t="s">
        <v>752</v>
      </c>
      <c r="J362" s="711" t="s">
        <v>753</v>
      </c>
      <c r="K362" s="711" t="s">
        <v>754</v>
      </c>
      <c r="L362" s="714">
        <v>56.69</v>
      </c>
      <c r="M362" s="714">
        <v>56.69</v>
      </c>
      <c r="N362" s="711">
        <v>1</v>
      </c>
      <c r="O362" s="715">
        <v>0.5</v>
      </c>
      <c r="P362" s="714">
        <v>56.69</v>
      </c>
      <c r="Q362" s="716">
        <v>1</v>
      </c>
      <c r="R362" s="711">
        <v>1</v>
      </c>
      <c r="S362" s="716">
        <v>1</v>
      </c>
      <c r="T362" s="715">
        <v>0.5</v>
      </c>
      <c r="U362" s="717">
        <v>1</v>
      </c>
    </row>
    <row r="363" spans="1:21" ht="14.4" customHeight="1" x14ac:dyDescent="0.3">
      <c r="A363" s="710">
        <v>30</v>
      </c>
      <c r="B363" s="711" t="s">
        <v>501</v>
      </c>
      <c r="C363" s="711">
        <v>89301303</v>
      </c>
      <c r="D363" s="712" t="s">
        <v>2660</v>
      </c>
      <c r="E363" s="713" t="s">
        <v>2098</v>
      </c>
      <c r="F363" s="711" t="s">
        <v>2085</v>
      </c>
      <c r="G363" s="711" t="s">
        <v>2151</v>
      </c>
      <c r="H363" s="711" t="s">
        <v>1480</v>
      </c>
      <c r="I363" s="711" t="s">
        <v>1484</v>
      </c>
      <c r="J363" s="711" t="s">
        <v>1485</v>
      </c>
      <c r="K363" s="711" t="s">
        <v>1486</v>
      </c>
      <c r="L363" s="714">
        <v>14.6</v>
      </c>
      <c r="M363" s="714">
        <v>29.2</v>
      </c>
      <c r="N363" s="711">
        <v>2</v>
      </c>
      <c r="O363" s="715">
        <v>1</v>
      </c>
      <c r="P363" s="714"/>
      <c r="Q363" s="716">
        <v>0</v>
      </c>
      <c r="R363" s="711"/>
      <c r="S363" s="716">
        <v>0</v>
      </c>
      <c r="T363" s="715"/>
      <c r="U363" s="717">
        <v>0</v>
      </c>
    </row>
    <row r="364" spans="1:21" ht="14.4" customHeight="1" x14ac:dyDescent="0.3">
      <c r="A364" s="710">
        <v>30</v>
      </c>
      <c r="B364" s="711" t="s">
        <v>501</v>
      </c>
      <c r="C364" s="711">
        <v>89301303</v>
      </c>
      <c r="D364" s="712" t="s">
        <v>2660</v>
      </c>
      <c r="E364" s="713" t="s">
        <v>2098</v>
      </c>
      <c r="F364" s="711" t="s">
        <v>2085</v>
      </c>
      <c r="G364" s="711" t="s">
        <v>2151</v>
      </c>
      <c r="H364" s="711" t="s">
        <v>1480</v>
      </c>
      <c r="I364" s="711" t="s">
        <v>2345</v>
      </c>
      <c r="J364" s="711" t="s">
        <v>1485</v>
      </c>
      <c r="K364" s="711" t="s">
        <v>2346</v>
      </c>
      <c r="L364" s="714">
        <v>21.92</v>
      </c>
      <c r="M364" s="714">
        <v>65.760000000000005</v>
      </c>
      <c r="N364" s="711">
        <v>3</v>
      </c>
      <c r="O364" s="715">
        <v>0.5</v>
      </c>
      <c r="P364" s="714">
        <v>65.760000000000005</v>
      </c>
      <c r="Q364" s="716">
        <v>1</v>
      </c>
      <c r="R364" s="711">
        <v>3</v>
      </c>
      <c r="S364" s="716">
        <v>1</v>
      </c>
      <c r="T364" s="715">
        <v>0.5</v>
      </c>
      <c r="U364" s="717">
        <v>1</v>
      </c>
    </row>
    <row r="365" spans="1:21" ht="14.4" customHeight="1" x14ac:dyDescent="0.3">
      <c r="A365" s="710">
        <v>30</v>
      </c>
      <c r="B365" s="711" t="s">
        <v>501</v>
      </c>
      <c r="C365" s="711">
        <v>89301303</v>
      </c>
      <c r="D365" s="712" t="s">
        <v>2660</v>
      </c>
      <c r="E365" s="713" t="s">
        <v>2098</v>
      </c>
      <c r="F365" s="711" t="s">
        <v>2085</v>
      </c>
      <c r="G365" s="711" t="s">
        <v>2527</v>
      </c>
      <c r="H365" s="711" t="s">
        <v>500</v>
      </c>
      <c r="I365" s="711" t="s">
        <v>2623</v>
      </c>
      <c r="J365" s="711" t="s">
        <v>2624</v>
      </c>
      <c r="K365" s="711" t="s">
        <v>2625</v>
      </c>
      <c r="L365" s="714">
        <v>162.13</v>
      </c>
      <c r="M365" s="714">
        <v>162.13</v>
      </c>
      <c r="N365" s="711">
        <v>1</v>
      </c>
      <c r="O365" s="715">
        <v>1</v>
      </c>
      <c r="P365" s="714">
        <v>162.13</v>
      </c>
      <c r="Q365" s="716">
        <v>1</v>
      </c>
      <c r="R365" s="711">
        <v>1</v>
      </c>
      <c r="S365" s="716">
        <v>1</v>
      </c>
      <c r="T365" s="715">
        <v>1</v>
      </c>
      <c r="U365" s="717">
        <v>1</v>
      </c>
    </row>
    <row r="366" spans="1:21" ht="14.4" customHeight="1" x14ac:dyDescent="0.3">
      <c r="A366" s="710">
        <v>30</v>
      </c>
      <c r="B366" s="711" t="s">
        <v>501</v>
      </c>
      <c r="C366" s="711">
        <v>89301303</v>
      </c>
      <c r="D366" s="712" t="s">
        <v>2660</v>
      </c>
      <c r="E366" s="713" t="s">
        <v>2098</v>
      </c>
      <c r="F366" s="711" t="s">
        <v>2085</v>
      </c>
      <c r="G366" s="711" t="s">
        <v>2234</v>
      </c>
      <c r="H366" s="711" t="s">
        <v>500</v>
      </c>
      <c r="I366" s="711" t="s">
        <v>2626</v>
      </c>
      <c r="J366" s="711" t="s">
        <v>2627</v>
      </c>
      <c r="K366" s="711" t="s">
        <v>892</v>
      </c>
      <c r="L366" s="714">
        <v>0</v>
      </c>
      <c r="M366" s="714">
        <v>0</v>
      </c>
      <c r="N366" s="711">
        <v>1</v>
      </c>
      <c r="O366" s="715">
        <v>0.5</v>
      </c>
      <c r="P366" s="714">
        <v>0</v>
      </c>
      <c r="Q366" s="716"/>
      <c r="R366" s="711">
        <v>1</v>
      </c>
      <c r="S366" s="716">
        <v>1</v>
      </c>
      <c r="T366" s="715">
        <v>0.5</v>
      </c>
      <c r="U366" s="717">
        <v>1</v>
      </c>
    </row>
    <row r="367" spans="1:21" ht="14.4" customHeight="1" x14ac:dyDescent="0.3">
      <c r="A367" s="710">
        <v>30</v>
      </c>
      <c r="B367" s="711" t="s">
        <v>501</v>
      </c>
      <c r="C367" s="711">
        <v>89301303</v>
      </c>
      <c r="D367" s="712" t="s">
        <v>2660</v>
      </c>
      <c r="E367" s="713" t="s">
        <v>2098</v>
      </c>
      <c r="F367" s="711" t="s">
        <v>2086</v>
      </c>
      <c r="G367" s="711" t="s">
        <v>2392</v>
      </c>
      <c r="H367" s="711" t="s">
        <v>500</v>
      </c>
      <c r="I367" s="711" t="s">
        <v>2610</v>
      </c>
      <c r="J367" s="711" t="s">
        <v>2394</v>
      </c>
      <c r="K367" s="711"/>
      <c r="L367" s="714">
        <v>0</v>
      </c>
      <c r="M367" s="714">
        <v>0</v>
      </c>
      <c r="N367" s="711">
        <v>2</v>
      </c>
      <c r="O367" s="715">
        <v>2</v>
      </c>
      <c r="P367" s="714">
        <v>0</v>
      </c>
      <c r="Q367" s="716"/>
      <c r="R367" s="711">
        <v>1</v>
      </c>
      <c r="S367" s="716">
        <v>0.5</v>
      </c>
      <c r="T367" s="715">
        <v>1</v>
      </c>
      <c r="U367" s="717">
        <v>0.5</v>
      </c>
    </row>
    <row r="368" spans="1:21" ht="14.4" customHeight="1" x14ac:dyDescent="0.3">
      <c r="A368" s="710">
        <v>30</v>
      </c>
      <c r="B368" s="711" t="s">
        <v>501</v>
      </c>
      <c r="C368" s="711">
        <v>89301303</v>
      </c>
      <c r="D368" s="712" t="s">
        <v>2660</v>
      </c>
      <c r="E368" s="713" t="s">
        <v>2098</v>
      </c>
      <c r="F368" s="711" t="s">
        <v>2087</v>
      </c>
      <c r="G368" s="711" t="s">
        <v>2628</v>
      </c>
      <c r="H368" s="711" t="s">
        <v>500</v>
      </c>
      <c r="I368" s="711" t="s">
        <v>2629</v>
      </c>
      <c r="J368" s="711" t="s">
        <v>2630</v>
      </c>
      <c r="K368" s="711" t="s">
        <v>2631</v>
      </c>
      <c r="L368" s="714">
        <v>410</v>
      </c>
      <c r="M368" s="714">
        <v>410</v>
      </c>
      <c r="N368" s="711">
        <v>1</v>
      </c>
      <c r="O368" s="715">
        <v>1</v>
      </c>
      <c r="P368" s="714"/>
      <c r="Q368" s="716">
        <v>0</v>
      </c>
      <c r="R368" s="711"/>
      <c r="S368" s="716">
        <v>0</v>
      </c>
      <c r="T368" s="715"/>
      <c r="U368" s="717">
        <v>0</v>
      </c>
    </row>
    <row r="369" spans="1:21" ht="14.4" customHeight="1" x14ac:dyDescent="0.3">
      <c r="A369" s="710">
        <v>30</v>
      </c>
      <c r="B369" s="711" t="s">
        <v>501</v>
      </c>
      <c r="C369" s="711">
        <v>89301303</v>
      </c>
      <c r="D369" s="712" t="s">
        <v>2660</v>
      </c>
      <c r="E369" s="713" t="s">
        <v>2099</v>
      </c>
      <c r="F369" s="711" t="s">
        <v>2085</v>
      </c>
      <c r="G369" s="711" t="s">
        <v>2100</v>
      </c>
      <c r="H369" s="711" t="s">
        <v>1480</v>
      </c>
      <c r="I369" s="711" t="s">
        <v>1612</v>
      </c>
      <c r="J369" s="711" t="s">
        <v>1613</v>
      </c>
      <c r="K369" s="711" t="s">
        <v>1614</v>
      </c>
      <c r="L369" s="714">
        <v>95.25</v>
      </c>
      <c r="M369" s="714">
        <v>95.25</v>
      </c>
      <c r="N369" s="711">
        <v>1</v>
      </c>
      <c r="O369" s="715">
        <v>0.5</v>
      </c>
      <c r="P369" s="714"/>
      <c r="Q369" s="716">
        <v>0</v>
      </c>
      <c r="R369" s="711"/>
      <c r="S369" s="716">
        <v>0</v>
      </c>
      <c r="T369" s="715"/>
      <c r="U369" s="717">
        <v>0</v>
      </c>
    </row>
    <row r="370" spans="1:21" ht="14.4" customHeight="1" x14ac:dyDescent="0.3">
      <c r="A370" s="710">
        <v>30</v>
      </c>
      <c r="B370" s="711" t="s">
        <v>501</v>
      </c>
      <c r="C370" s="711">
        <v>89301303</v>
      </c>
      <c r="D370" s="712" t="s">
        <v>2660</v>
      </c>
      <c r="E370" s="713" t="s">
        <v>2099</v>
      </c>
      <c r="F370" s="711" t="s">
        <v>2085</v>
      </c>
      <c r="G370" s="711" t="s">
        <v>2100</v>
      </c>
      <c r="H370" s="711" t="s">
        <v>500</v>
      </c>
      <c r="I370" s="711" t="s">
        <v>2632</v>
      </c>
      <c r="J370" s="711" t="s">
        <v>2166</v>
      </c>
      <c r="K370" s="711" t="s">
        <v>2633</v>
      </c>
      <c r="L370" s="714">
        <v>285.75</v>
      </c>
      <c r="M370" s="714">
        <v>285.75</v>
      </c>
      <c r="N370" s="711">
        <v>1</v>
      </c>
      <c r="O370" s="715">
        <v>1</v>
      </c>
      <c r="P370" s="714"/>
      <c r="Q370" s="716">
        <v>0</v>
      </c>
      <c r="R370" s="711"/>
      <c r="S370" s="716">
        <v>0</v>
      </c>
      <c r="T370" s="715"/>
      <c r="U370" s="717">
        <v>0</v>
      </c>
    </row>
    <row r="371" spans="1:21" ht="14.4" customHeight="1" x14ac:dyDescent="0.3">
      <c r="A371" s="710">
        <v>30</v>
      </c>
      <c r="B371" s="711" t="s">
        <v>501</v>
      </c>
      <c r="C371" s="711">
        <v>89301303</v>
      </c>
      <c r="D371" s="712" t="s">
        <v>2660</v>
      </c>
      <c r="E371" s="713" t="s">
        <v>2099</v>
      </c>
      <c r="F371" s="711" t="s">
        <v>2085</v>
      </c>
      <c r="G371" s="711" t="s">
        <v>2104</v>
      </c>
      <c r="H371" s="711" t="s">
        <v>500</v>
      </c>
      <c r="I371" s="711" t="s">
        <v>2634</v>
      </c>
      <c r="J371" s="711" t="s">
        <v>1627</v>
      </c>
      <c r="K371" s="711" t="s">
        <v>2635</v>
      </c>
      <c r="L371" s="714">
        <v>0</v>
      </c>
      <c r="M371" s="714">
        <v>0</v>
      </c>
      <c r="N371" s="711">
        <v>2</v>
      </c>
      <c r="O371" s="715">
        <v>0.5</v>
      </c>
      <c r="P371" s="714"/>
      <c r="Q371" s="716"/>
      <c r="R371" s="711"/>
      <c r="S371" s="716">
        <v>0</v>
      </c>
      <c r="T371" s="715"/>
      <c r="U371" s="717">
        <v>0</v>
      </c>
    </row>
    <row r="372" spans="1:21" ht="14.4" customHeight="1" x14ac:dyDescent="0.3">
      <c r="A372" s="710">
        <v>30</v>
      </c>
      <c r="B372" s="711" t="s">
        <v>501</v>
      </c>
      <c r="C372" s="711">
        <v>89301303</v>
      </c>
      <c r="D372" s="712" t="s">
        <v>2660</v>
      </c>
      <c r="E372" s="713" t="s">
        <v>2099</v>
      </c>
      <c r="F372" s="711" t="s">
        <v>2085</v>
      </c>
      <c r="G372" s="711" t="s">
        <v>2104</v>
      </c>
      <c r="H372" s="711" t="s">
        <v>500</v>
      </c>
      <c r="I372" s="711" t="s">
        <v>2636</v>
      </c>
      <c r="J372" s="711" t="s">
        <v>2637</v>
      </c>
      <c r="K372" s="711" t="s">
        <v>2635</v>
      </c>
      <c r="L372" s="714">
        <v>182.76</v>
      </c>
      <c r="M372" s="714">
        <v>182.76</v>
      </c>
      <c r="N372" s="711">
        <v>1</v>
      </c>
      <c r="O372" s="715">
        <v>0.5</v>
      </c>
      <c r="P372" s="714">
        <v>182.76</v>
      </c>
      <c r="Q372" s="716">
        <v>1</v>
      </c>
      <c r="R372" s="711">
        <v>1</v>
      </c>
      <c r="S372" s="716">
        <v>1</v>
      </c>
      <c r="T372" s="715">
        <v>0.5</v>
      </c>
      <c r="U372" s="717">
        <v>1</v>
      </c>
    </row>
    <row r="373" spans="1:21" ht="14.4" customHeight="1" x14ac:dyDescent="0.3">
      <c r="A373" s="710">
        <v>30</v>
      </c>
      <c r="B373" s="711" t="s">
        <v>501</v>
      </c>
      <c r="C373" s="711">
        <v>89301303</v>
      </c>
      <c r="D373" s="712" t="s">
        <v>2660</v>
      </c>
      <c r="E373" s="713" t="s">
        <v>2099</v>
      </c>
      <c r="F373" s="711" t="s">
        <v>2085</v>
      </c>
      <c r="G373" s="711" t="s">
        <v>2407</v>
      </c>
      <c r="H373" s="711" t="s">
        <v>500</v>
      </c>
      <c r="I373" s="711" t="s">
        <v>2408</v>
      </c>
      <c r="J373" s="711" t="s">
        <v>2409</v>
      </c>
      <c r="K373" s="711" t="s">
        <v>2410</v>
      </c>
      <c r="L373" s="714">
        <v>317.26</v>
      </c>
      <c r="M373" s="714">
        <v>951.78</v>
      </c>
      <c r="N373" s="711">
        <v>3</v>
      </c>
      <c r="O373" s="715">
        <v>0.5</v>
      </c>
      <c r="P373" s="714">
        <v>951.78</v>
      </c>
      <c r="Q373" s="716">
        <v>1</v>
      </c>
      <c r="R373" s="711">
        <v>3</v>
      </c>
      <c r="S373" s="716">
        <v>1</v>
      </c>
      <c r="T373" s="715">
        <v>0.5</v>
      </c>
      <c r="U373" s="717">
        <v>1</v>
      </c>
    </row>
    <row r="374" spans="1:21" ht="14.4" customHeight="1" x14ac:dyDescent="0.3">
      <c r="A374" s="710">
        <v>30</v>
      </c>
      <c r="B374" s="711" t="s">
        <v>501</v>
      </c>
      <c r="C374" s="711">
        <v>89301303</v>
      </c>
      <c r="D374" s="712" t="s">
        <v>2660</v>
      </c>
      <c r="E374" s="713" t="s">
        <v>2099</v>
      </c>
      <c r="F374" s="711" t="s">
        <v>2085</v>
      </c>
      <c r="G374" s="711" t="s">
        <v>2106</v>
      </c>
      <c r="H374" s="711" t="s">
        <v>500</v>
      </c>
      <c r="I374" s="711" t="s">
        <v>2638</v>
      </c>
      <c r="J374" s="711" t="s">
        <v>1598</v>
      </c>
      <c r="K374" s="711" t="s">
        <v>2639</v>
      </c>
      <c r="L374" s="714">
        <v>0</v>
      </c>
      <c r="M374" s="714">
        <v>0</v>
      </c>
      <c r="N374" s="711">
        <v>1</v>
      </c>
      <c r="O374" s="715">
        <v>0.5</v>
      </c>
      <c r="P374" s="714"/>
      <c r="Q374" s="716"/>
      <c r="R374" s="711"/>
      <c r="S374" s="716">
        <v>0</v>
      </c>
      <c r="T374" s="715"/>
      <c r="U374" s="717">
        <v>0</v>
      </c>
    </row>
    <row r="375" spans="1:21" ht="14.4" customHeight="1" x14ac:dyDescent="0.3">
      <c r="A375" s="710">
        <v>30</v>
      </c>
      <c r="B375" s="711" t="s">
        <v>501</v>
      </c>
      <c r="C375" s="711">
        <v>89301303</v>
      </c>
      <c r="D375" s="712" t="s">
        <v>2660</v>
      </c>
      <c r="E375" s="713" t="s">
        <v>2099</v>
      </c>
      <c r="F375" s="711" t="s">
        <v>2085</v>
      </c>
      <c r="G375" s="711" t="s">
        <v>2106</v>
      </c>
      <c r="H375" s="711" t="s">
        <v>500</v>
      </c>
      <c r="I375" s="711" t="s">
        <v>2640</v>
      </c>
      <c r="J375" s="711" t="s">
        <v>2015</v>
      </c>
      <c r="K375" s="711" t="s">
        <v>2375</v>
      </c>
      <c r="L375" s="714">
        <v>0</v>
      </c>
      <c r="M375" s="714">
        <v>0</v>
      </c>
      <c r="N375" s="711">
        <v>1</v>
      </c>
      <c r="O375" s="715">
        <v>0.5</v>
      </c>
      <c r="P375" s="714"/>
      <c r="Q375" s="716"/>
      <c r="R375" s="711"/>
      <c r="S375" s="716">
        <v>0</v>
      </c>
      <c r="T375" s="715"/>
      <c r="U375" s="717">
        <v>0</v>
      </c>
    </row>
    <row r="376" spans="1:21" ht="14.4" customHeight="1" x14ac:dyDescent="0.3">
      <c r="A376" s="710">
        <v>30</v>
      </c>
      <c r="B376" s="711" t="s">
        <v>501</v>
      </c>
      <c r="C376" s="711">
        <v>89301303</v>
      </c>
      <c r="D376" s="712" t="s">
        <v>2660</v>
      </c>
      <c r="E376" s="713" t="s">
        <v>2099</v>
      </c>
      <c r="F376" s="711" t="s">
        <v>2085</v>
      </c>
      <c r="G376" s="711" t="s">
        <v>2106</v>
      </c>
      <c r="H376" s="711" t="s">
        <v>1480</v>
      </c>
      <c r="I376" s="711" t="s">
        <v>1590</v>
      </c>
      <c r="J376" s="711" t="s">
        <v>1690</v>
      </c>
      <c r="K376" s="711" t="s">
        <v>818</v>
      </c>
      <c r="L376" s="714">
        <v>65.3</v>
      </c>
      <c r="M376" s="714">
        <v>195.89999999999998</v>
      </c>
      <c r="N376" s="711">
        <v>3</v>
      </c>
      <c r="O376" s="715">
        <v>1</v>
      </c>
      <c r="P376" s="714">
        <v>195.89999999999998</v>
      </c>
      <c r="Q376" s="716">
        <v>1</v>
      </c>
      <c r="R376" s="711">
        <v>3</v>
      </c>
      <c r="S376" s="716">
        <v>1</v>
      </c>
      <c r="T376" s="715">
        <v>1</v>
      </c>
      <c r="U376" s="717">
        <v>1</v>
      </c>
    </row>
    <row r="377" spans="1:21" ht="14.4" customHeight="1" x14ac:dyDescent="0.3">
      <c r="A377" s="710">
        <v>30</v>
      </c>
      <c r="B377" s="711" t="s">
        <v>501</v>
      </c>
      <c r="C377" s="711">
        <v>89301303</v>
      </c>
      <c r="D377" s="712" t="s">
        <v>2660</v>
      </c>
      <c r="E377" s="713" t="s">
        <v>2099</v>
      </c>
      <c r="F377" s="711" t="s">
        <v>2085</v>
      </c>
      <c r="G377" s="711" t="s">
        <v>2106</v>
      </c>
      <c r="H377" s="711" t="s">
        <v>1480</v>
      </c>
      <c r="I377" s="711" t="s">
        <v>1593</v>
      </c>
      <c r="J377" s="711" t="s">
        <v>1598</v>
      </c>
      <c r="K377" s="711" t="s">
        <v>942</v>
      </c>
      <c r="L377" s="714">
        <v>130.59</v>
      </c>
      <c r="M377" s="714">
        <v>391.77</v>
      </c>
      <c r="N377" s="711">
        <v>3</v>
      </c>
      <c r="O377" s="715">
        <v>0.5</v>
      </c>
      <c r="P377" s="714">
        <v>391.77</v>
      </c>
      <c r="Q377" s="716">
        <v>1</v>
      </c>
      <c r="R377" s="711">
        <v>3</v>
      </c>
      <c r="S377" s="716">
        <v>1</v>
      </c>
      <c r="T377" s="715">
        <v>0.5</v>
      </c>
      <c r="U377" s="717">
        <v>1</v>
      </c>
    </row>
    <row r="378" spans="1:21" ht="14.4" customHeight="1" x14ac:dyDescent="0.3">
      <c r="A378" s="710">
        <v>30</v>
      </c>
      <c r="B378" s="711" t="s">
        <v>501</v>
      </c>
      <c r="C378" s="711">
        <v>89301303</v>
      </c>
      <c r="D378" s="712" t="s">
        <v>2660</v>
      </c>
      <c r="E378" s="713" t="s">
        <v>2099</v>
      </c>
      <c r="F378" s="711" t="s">
        <v>2085</v>
      </c>
      <c r="G378" s="711" t="s">
        <v>2426</v>
      </c>
      <c r="H378" s="711" t="s">
        <v>500</v>
      </c>
      <c r="I378" s="711" t="s">
        <v>2641</v>
      </c>
      <c r="J378" s="711" t="s">
        <v>1267</v>
      </c>
      <c r="K378" s="711" t="s">
        <v>2642</v>
      </c>
      <c r="L378" s="714">
        <v>0</v>
      </c>
      <c r="M378" s="714">
        <v>0</v>
      </c>
      <c r="N378" s="711">
        <v>1</v>
      </c>
      <c r="O378" s="715">
        <v>0.5</v>
      </c>
      <c r="P378" s="714">
        <v>0</v>
      </c>
      <c r="Q378" s="716"/>
      <c r="R378" s="711">
        <v>1</v>
      </c>
      <c r="S378" s="716">
        <v>1</v>
      </c>
      <c r="T378" s="715">
        <v>0.5</v>
      </c>
      <c r="U378" s="717">
        <v>1</v>
      </c>
    </row>
    <row r="379" spans="1:21" ht="14.4" customHeight="1" x14ac:dyDescent="0.3">
      <c r="A379" s="710">
        <v>30</v>
      </c>
      <c r="B379" s="711" t="s">
        <v>501</v>
      </c>
      <c r="C379" s="711">
        <v>89301303</v>
      </c>
      <c r="D379" s="712" t="s">
        <v>2660</v>
      </c>
      <c r="E379" s="713" t="s">
        <v>2099</v>
      </c>
      <c r="F379" s="711" t="s">
        <v>2085</v>
      </c>
      <c r="G379" s="711" t="s">
        <v>2643</v>
      </c>
      <c r="H379" s="711" t="s">
        <v>500</v>
      </c>
      <c r="I379" s="711" t="s">
        <v>2644</v>
      </c>
      <c r="J379" s="711" t="s">
        <v>2645</v>
      </c>
      <c r="K379" s="711" t="s">
        <v>2646</v>
      </c>
      <c r="L379" s="714">
        <v>28.87</v>
      </c>
      <c r="M379" s="714">
        <v>173.22</v>
      </c>
      <c r="N379" s="711">
        <v>6</v>
      </c>
      <c r="O379" s="715">
        <v>1</v>
      </c>
      <c r="P379" s="714">
        <v>173.22</v>
      </c>
      <c r="Q379" s="716">
        <v>1</v>
      </c>
      <c r="R379" s="711">
        <v>6</v>
      </c>
      <c r="S379" s="716">
        <v>1</v>
      </c>
      <c r="T379" s="715">
        <v>1</v>
      </c>
      <c r="U379" s="717">
        <v>1</v>
      </c>
    </row>
    <row r="380" spans="1:21" ht="14.4" customHeight="1" x14ac:dyDescent="0.3">
      <c r="A380" s="710">
        <v>30</v>
      </c>
      <c r="B380" s="711" t="s">
        <v>501</v>
      </c>
      <c r="C380" s="711">
        <v>89301303</v>
      </c>
      <c r="D380" s="712" t="s">
        <v>2660</v>
      </c>
      <c r="E380" s="713" t="s">
        <v>2099</v>
      </c>
      <c r="F380" s="711" t="s">
        <v>2085</v>
      </c>
      <c r="G380" s="711" t="s">
        <v>2178</v>
      </c>
      <c r="H380" s="711" t="s">
        <v>500</v>
      </c>
      <c r="I380" s="711" t="s">
        <v>913</v>
      </c>
      <c r="J380" s="711" t="s">
        <v>2179</v>
      </c>
      <c r="K380" s="711" t="s">
        <v>2180</v>
      </c>
      <c r="L380" s="714">
        <v>66.599999999999994</v>
      </c>
      <c r="M380" s="714">
        <v>199.79999999999998</v>
      </c>
      <c r="N380" s="711">
        <v>3</v>
      </c>
      <c r="O380" s="715">
        <v>0.5</v>
      </c>
      <c r="P380" s="714"/>
      <c r="Q380" s="716">
        <v>0</v>
      </c>
      <c r="R380" s="711"/>
      <c r="S380" s="716">
        <v>0</v>
      </c>
      <c r="T380" s="715"/>
      <c r="U380" s="717">
        <v>0</v>
      </c>
    </row>
    <row r="381" spans="1:21" ht="14.4" customHeight="1" x14ac:dyDescent="0.3">
      <c r="A381" s="710">
        <v>30</v>
      </c>
      <c r="B381" s="711" t="s">
        <v>501</v>
      </c>
      <c r="C381" s="711">
        <v>89301303</v>
      </c>
      <c r="D381" s="712" t="s">
        <v>2660</v>
      </c>
      <c r="E381" s="713" t="s">
        <v>2099</v>
      </c>
      <c r="F381" s="711" t="s">
        <v>2085</v>
      </c>
      <c r="G381" s="711" t="s">
        <v>2438</v>
      </c>
      <c r="H381" s="711" t="s">
        <v>500</v>
      </c>
      <c r="I381" s="711" t="s">
        <v>795</v>
      </c>
      <c r="J381" s="711" t="s">
        <v>2439</v>
      </c>
      <c r="K381" s="711" t="s">
        <v>2440</v>
      </c>
      <c r="L381" s="714">
        <v>110.63</v>
      </c>
      <c r="M381" s="714">
        <v>221.26</v>
      </c>
      <c r="N381" s="711">
        <v>2</v>
      </c>
      <c r="O381" s="715">
        <v>0.5</v>
      </c>
      <c r="P381" s="714">
        <v>221.26</v>
      </c>
      <c r="Q381" s="716">
        <v>1</v>
      </c>
      <c r="R381" s="711">
        <v>2</v>
      </c>
      <c r="S381" s="716">
        <v>1</v>
      </c>
      <c r="T381" s="715">
        <v>0.5</v>
      </c>
      <c r="U381" s="717">
        <v>1</v>
      </c>
    </row>
    <row r="382" spans="1:21" ht="14.4" customHeight="1" x14ac:dyDescent="0.3">
      <c r="A382" s="710">
        <v>30</v>
      </c>
      <c r="B382" s="711" t="s">
        <v>501</v>
      </c>
      <c r="C382" s="711">
        <v>89301303</v>
      </c>
      <c r="D382" s="712" t="s">
        <v>2660</v>
      </c>
      <c r="E382" s="713" t="s">
        <v>2099</v>
      </c>
      <c r="F382" s="711" t="s">
        <v>2085</v>
      </c>
      <c r="G382" s="711" t="s">
        <v>2187</v>
      </c>
      <c r="H382" s="711" t="s">
        <v>500</v>
      </c>
      <c r="I382" s="711" t="s">
        <v>1287</v>
      </c>
      <c r="J382" s="711" t="s">
        <v>1288</v>
      </c>
      <c r="K382" s="711" t="s">
        <v>2188</v>
      </c>
      <c r="L382" s="714">
        <v>23.72</v>
      </c>
      <c r="M382" s="714">
        <v>308.36</v>
      </c>
      <c r="N382" s="711">
        <v>13</v>
      </c>
      <c r="O382" s="715">
        <v>4</v>
      </c>
      <c r="P382" s="714">
        <v>166.04</v>
      </c>
      <c r="Q382" s="716">
        <v>0.53846153846153844</v>
      </c>
      <c r="R382" s="711">
        <v>7</v>
      </c>
      <c r="S382" s="716">
        <v>0.53846153846153844</v>
      </c>
      <c r="T382" s="715">
        <v>2</v>
      </c>
      <c r="U382" s="717">
        <v>0.5</v>
      </c>
    </row>
    <row r="383" spans="1:21" ht="14.4" customHeight="1" x14ac:dyDescent="0.3">
      <c r="A383" s="710">
        <v>30</v>
      </c>
      <c r="B383" s="711" t="s">
        <v>501</v>
      </c>
      <c r="C383" s="711">
        <v>89301303</v>
      </c>
      <c r="D383" s="712" t="s">
        <v>2660</v>
      </c>
      <c r="E383" s="713" t="s">
        <v>2099</v>
      </c>
      <c r="F383" s="711" t="s">
        <v>2085</v>
      </c>
      <c r="G383" s="711" t="s">
        <v>2261</v>
      </c>
      <c r="H383" s="711" t="s">
        <v>1480</v>
      </c>
      <c r="I383" s="711" t="s">
        <v>1875</v>
      </c>
      <c r="J383" s="711" t="s">
        <v>1876</v>
      </c>
      <c r="K383" s="711" t="s">
        <v>2035</v>
      </c>
      <c r="L383" s="714">
        <v>175.19</v>
      </c>
      <c r="M383" s="714">
        <v>350.38</v>
      </c>
      <c r="N383" s="711">
        <v>2</v>
      </c>
      <c r="O383" s="715">
        <v>0.5</v>
      </c>
      <c r="P383" s="714">
        <v>350.38</v>
      </c>
      <c r="Q383" s="716">
        <v>1</v>
      </c>
      <c r="R383" s="711">
        <v>2</v>
      </c>
      <c r="S383" s="716">
        <v>1</v>
      </c>
      <c r="T383" s="715">
        <v>0.5</v>
      </c>
      <c r="U383" s="717">
        <v>1</v>
      </c>
    </row>
    <row r="384" spans="1:21" ht="14.4" customHeight="1" x14ac:dyDescent="0.3">
      <c r="A384" s="710">
        <v>30</v>
      </c>
      <c r="B384" s="711" t="s">
        <v>501</v>
      </c>
      <c r="C384" s="711">
        <v>89301303</v>
      </c>
      <c r="D384" s="712" t="s">
        <v>2660</v>
      </c>
      <c r="E384" s="713" t="s">
        <v>2099</v>
      </c>
      <c r="F384" s="711" t="s">
        <v>2085</v>
      </c>
      <c r="G384" s="711" t="s">
        <v>2261</v>
      </c>
      <c r="H384" s="711" t="s">
        <v>1480</v>
      </c>
      <c r="I384" s="711" t="s">
        <v>1855</v>
      </c>
      <c r="J384" s="711" t="s">
        <v>1856</v>
      </c>
      <c r="K384" s="711" t="s">
        <v>2036</v>
      </c>
      <c r="L384" s="714">
        <v>116.8</v>
      </c>
      <c r="M384" s="714">
        <v>233.6</v>
      </c>
      <c r="N384" s="711">
        <v>2</v>
      </c>
      <c r="O384" s="715">
        <v>0.5</v>
      </c>
      <c r="P384" s="714">
        <v>233.6</v>
      </c>
      <c r="Q384" s="716">
        <v>1</v>
      </c>
      <c r="R384" s="711">
        <v>2</v>
      </c>
      <c r="S384" s="716">
        <v>1</v>
      </c>
      <c r="T384" s="715">
        <v>0.5</v>
      </c>
      <c r="U384" s="717">
        <v>1</v>
      </c>
    </row>
    <row r="385" spans="1:21" ht="14.4" customHeight="1" x14ac:dyDescent="0.3">
      <c r="A385" s="710">
        <v>30</v>
      </c>
      <c r="B385" s="711" t="s">
        <v>501</v>
      </c>
      <c r="C385" s="711">
        <v>89301303</v>
      </c>
      <c r="D385" s="712" t="s">
        <v>2660</v>
      </c>
      <c r="E385" s="713" t="s">
        <v>2099</v>
      </c>
      <c r="F385" s="711" t="s">
        <v>2085</v>
      </c>
      <c r="G385" s="711" t="s">
        <v>2647</v>
      </c>
      <c r="H385" s="711" t="s">
        <v>500</v>
      </c>
      <c r="I385" s="711" t="s">
        <v>565</v>
      </c>
      <c r="J385" s="711" t="s">
        <v>2648</v>
      </c>
      <c r="K385" s="711" t="s">
        <v>2649</v>
      </c>
      <c r="L385" s="714">
        <v>41.83</v>
      </c>
      <c r="M385" s="714">
        <v>83.66</v>
      </c>
      <c r="N385" s="711">
        <v>2</v>
      </c>
      <c r="O385" s="715">
        <v>0.5</v>
      </c>
      <c r="P385" s="714">
        <v>83.66</v>
      </c>
      <c r="Q385" s="716">
        <v>1</v>
      </c>
      <c r="R385" s="711">
        <v>2</v>
      </c>
      <c r="S385" s="716">
        <v>1</v>
      </c>
      <c r="T385" s="715">
        <v>0.5</v>
      </c>
      <c r="U385" s="717">
        <v>1</v>
      </c>
    </row>
    <row r="386" spans="1:21" ht="14.4" customHeight="1" x14ac:dyDescent="0.3">
      <c r="A386" s="710">
        <v>30</v>
      </c>
      <c r="B386" s="711" t="s">
        <v>501</v>
      </c>
      <c r="C386" s="711">
        <v>89301303</v>
      </c>
      <c r="D386" s="712" t="s">
        <v>2660</v>
      </c>
      <c r="E386" s="713" t="s">
        <v>2099</v>
      </c>
      <c r="F386" s="711" t="s">
        <v>2085</v>
      </c>
      <c r="G386" s="711" t="s">
        <v>2268</v>
      </c>
      <c r="H386" s="711" t="s">
        <v>1480</v>
      </c>
      <c r="I386" s="711" t="s">
        <v>2269</v>
      </c>
      <c r="J386" s="711" t="s">
        <v>1977</v>
      </c>
      <c r="K386" s="711" t="s">
        <v>2270</v>
      </c>
      <c r="L386" s="714">
        <v>97.97</v>
      </c>
      <c r="M386" s="714">
        <v>293.90999999999997</v>
      </c>
      <c r="N386" s="711">
        <v>3</v>
      </c>
      <c r="O386" s="715">
        <v>0.5</v>
      </c>
      <c r="P386" s="714"/>
      <c r="Q386" s="716">
        <v>0</v>
      </c>
      <c r="R386" s="711"/>
      <c r="S386" s="716">
        <v>0</v>
      </c>
      <c r="T386" s="715"/>
      <c r="U386" s="717">
        <v>0</v>
      </c>
    </row>
    <row r="387" spans="1:21" ht="14.4" customHeight="1" x14ac:dyDescent="0.3">
      <c r="A387" s="710">
        <v>30</v>
      </c>
      <c r="B387" s="711" t="s">
        <v>501</v>
      </c>
      <c r="C387" s="711">
        <v>89301303</v>
      </c>
      <c r="D387" s="712" t="s">
        <v>2660</v>
      </c>
      <c r="E387" s="713" t="s">
        <v>2099</v>
      </c>
      <c r="F387" s="711" t="s">
        <v>2085</v>
      </c>
      <c r="G387" s="711" t="s">
        <v>2282</v>
      </c>
      <c r="H387" s="711" t="s">
        <v>500</v>
      </c>
      <c r="I387" s="711" t="s">
        <v>672</v>
      </c>
      <c r="J387" s="711" t="s">
        <v>673</v>
      </c>
      <c r="K387" s="711" t="s">
        <v>2650</v>
      </c>
      <c r="L387" s="714">
        <v>391.83</v>
      </c>
      <c r="M387" s="714">
        <v>1959.1499999999999</v>
      </c>
      <c r="N387" s="711">
        <v>5</v>
      </c>
      <c r="O387" s="715">
        <v>1</v>
      </c>
      <c r="P387" s="714">
        <v>1959.1499999999999</v>
      </c>
      <c r="Q387" s="716">
        <v>1</v>
      </c>
      <c r="R387" s="711">
        <v>5</v>
      </c>
      <c r="S387" s="716">
        <v>1</v>
      </c>
      <c r="T387" s="715">
        <v>1</v>
      </c>
      <c r="U387" s="717">
        <v>1</v>
      </c>
    </row>
    <row r="388" spans="1:21" ht="14.4" customHeight="1" x14ac:dyDescent="0.3">
      <c r="A388" s="710">
        <v>30</v>
      </c>
      <c r="B388" s="711" t="s">
        <v>501</v>
      </c>
      <c r="C388" s="711">
        <v>89301303</v>
      </c>
      <c r="D388" s="712" t="s">
        <v>2660</v>
      </c>
      <c r="E388" s="713" t="s">
        <v>2099</v>
      </c>
      <c r="F388" s="711" t="s">
        <v>2085</v>
      </c>
      <c r="G388" s="711" t="s">
        <v>2146</v>
      </c>
      <c r="H388" s="711" t="s">
        <v>500</v>
      </c>
      <c r="I388" s="711" t="s">
        <v>2490</v>
      </c>
      <c r="J388" s="711" t="s">
        <v>2148</v>
      </c>
      <c r="K388" s="711" t="s">
        <v>697</v>
      </c>
      <c r="L388" s="714">
        <v>314.89999999999998</v>
      </c>
      <c r="M388" s="714">
        <v>629.79999999999995</v>
      </c>
      <c r="N388" s="711">
        <v>2</v>
      </c>
      <c r="O388" s="715">
        <v>0.5</v>
      </c>
      <c r="P388" s="714">
        <v>629.79999999999995</v>
      </c>
      <c r="Q388" s="716">
        <v>1</v>
      </c>
      <c r="R388" s="711">
        <v>2</v>
      </c>
      <c r="S388" s="716">
        <v>1</v>
      </c>
      <c r="T388" s="715">
        <v>0.5</v>
      </c>
      <c r="U388" s="717">
        <v>1</v>
      </c>
    </row>
    <row r="389" spans="1:21" ht="14.4" customHeight="1" x14ac:dyDescent="0.3">
      <c r="A389" s="710">
        <v>30</v>
      </c>
      <c r="B389" s="711" t="s">
        <v>501</v>
      </c>
      <c r="C389" s="711">
        <v>89301303</v>
      </c>
      <c r="D389" s="712" t="s">
        <v>2660</v>
      </c>
      <c r="E389" s="713" t="s">
        <v>2099</v>
      </c>
      <c r="F389" s="711" t="s">
        <v>2085</v>
      </c>
      <c r="G389" s="711" t="s">
        <v>2388</v>
      </c>
      <c r="H389" s="711" t="s">
        <v>500</v>
      </c>
      <c r="I389" s="711" t="s">
        <v>2651</v>
      </c>
      <c r="J389" s="711" t="s">
        <v>2652</v>
      </c>
      <c r="K389" s="711" t="s">
        <v>2653</v>
      </c>
      <c r="L389" s="714">
        <v>22.88</v>
      </c>
      <c r="M389" s="714">
        <v>45.76</v>
      </c>
      <c r="N389" s="711">
        <v>2</v>
      </c>
      <c r="O389" s="715">
        <v>0.5</v>
      </c>
      <c r="P389" s="714"/>
      <c r="Q389" s="716">
        <v>0</v>
      </c>
      <c r="R389" s="711"/>
      <c r="S389" s="716">
        <v>0</v>
      </c>
      <c r="T389" s="715"/>
      <c r="U389" s="717">
        <v>0</v>
      </c>
    </row>
    <row r="390" spans="1:21" ht="14.4" customHeight="1" x14ac:dyDescent="0.3">
      <c r="A390" s="710">
        <v>30</v>
      </c>
      <c r="B390" s="711" t="s">
        <v>501</v>
      </c>
      <c r="C390" s="711">
        <v>89301303</v>
      </c>
      <c r="D390" s="712" t="s">
        <v>2660</v>
      </c>
      <c r="E390" s="713" t="s">
        <v>2099</v>
      </c>
      <c r="F390" s="711" t="s">
        <v>2085</v>
      </c>
      <c r="G390" s="711" t="s">
        <v>2151</v>
      </c>
      <c r="H390" s="711" t="s">
        <v>500</v>
      </c>
      <c r="I390" s="711" t="s">
        <v>2654</v>
      </c>
      <c r="J390" s="711" t="s">
        <v>2655</v>
      </c>
      <c r="K390" s="711" t="s">
        <v>2635</v>
      </c>
      <c r="L390" s="714">
        <v>202.25</v>
      </c>
      <c r="M390" s="714">
        <v>202.25</v>
      </c>
      <c r="N390" s="711">
        <v>1</v>
      </c>
      <c r="O390" s="715">
        <v>0.5</v>
      </c>
      <c r="P390" s="714"/>
      <c r="Q390" s="716">
        <v>0</v>
      </c>
      <c r="R390" s="711"/>
      <c r="S390" s="716">
        <v>0</v>
      </c>
      <c r="T390" s="715"/>
      <c r="U390" s="717">
        <v>0</v>
      </c>
    </row>
    <row r="391" spans="1:21" ht="14.4" customHeight="1" x14ac:dyDescent="0.3">
      <c r="A391" s="710">
        <v>30</v>
      </c>
      <c r="B391" s="711" t="s">
        <v>501</v>
      </c>
      <c r="C391" s="711">
        <v>89301303</v>
      </c>
      <c r="D391" s="712" t="s">
        <v>2660</v>
      </c>
      <c r="E391" s="713" t="s">
        <v>2099</v>
      </c>
      <c r="F391" s="711" t="s">
        <v>2085</v>
      </c>
      <c r="G391" s="711" t="s">
        <v>2656</v>
      </c>
      <c r="H391" s="711" t="s">
        <v>500</v>
      </c>
      <c r="I391" s="711" t="s">
        <v>688</v>
      </c>
      <c r="J391" s="711" t="s">
        <v>689</v>
      </c>
      <c r="K391" s="711" t="s">
        <v>2657</v>
      </c>
      <c r="L391" s="714">
        <v>116.52</v>
      </c>
      <c r="M391" s="714">
        <v>349.56</v>
      </c>
      <c r="N391" s="711">
        <v>3</v>
      </c>
      <c r="O391" s="715">
        <v>1</v>
      </c>
      <c r="P391" s="714">
        <v>116.52</v>
      </c>
      <c r="Q391" s="716">
        <v>0.33333333333333331</v>
      </c>
      <c r="R391" s="711">
        <v>1</v>
      </c>
      <c r="S391" s="716">
        <v>0.33333333333333331</v>
      </c>
      <c r="T391" s="715">
        <v>0.5</v>
      </c>
      <c r="U391" s="717">
        <v>0.5</v>
      </c>
    </row>
    <row r="392" spans="1:21" ht="14.4" customHeight="1" x14ac:dyDescent="0.3">
      <c r="A392" s="710">
        <v>30</v>
      </c>
      <c r="B392" s="711" t="s">
        <v>501</v>
      </c>
      <c r="C392" s="711">
        <v>89301303</v>
      </c>
      <c r="D392" s="712" t="s">
        <v>2660</v>
      </c>
      <c r="E392" s="713" t="s">
        <v>2099</v>
      </c>
      <c r="F392" s="711" t="s">
        <v>2085</v>
      </c>
      <c r="G392" s="711" t="s">
        <v>2219</v>
      </c>
      <c r="H392" s="711" t="s">
        <v>500</v>
      </c>
      <c r="I392" s="711" t="s">
        <v>640</v>
      </c>
      <c r="J392" s="711" t="s">
        <v>2507</v>
      </c>
      <c r="K392" s="711" t="s">
        <v>2509</v>
      </c>
      <c r="L392" s="714">
        <v>105.46</v>
      </c>
      <c r="M392" s="714">
        <v>316.38</v>
      </c>
      <c r="N392" s="711">
        <v>3</v>
      </c>
      <c r="O392" s="715">
        <v>2</v>
      </c>
      <c r="P392" s="714">
        <v>210.92</v>
      </c>
      <c r="Q392" s="716">
        <v>0.66666666666666663</v>
      </c>
      <c r="R392" s="711">
        <v>2</v>
      </c>
      <c r="S392" s="716">
        <v>0.66666666666666663</v>
      </c>
      <c r="T392" s="715">
        <v>1</v>
      </c>
      <c r="U392" s="717">
        <v>0.5</v>
      </c>
    </row>
    <row r="393" spans="1:21" ht="14.4" customHeight="1" x14ac:dyDescent="0.3">
      <c r="A393" s="710">
        <v>30</v>
      </c>
      <c r="B393" s="711" t="s">
        <v>501</v>
      </c>
      <c r="C393" s="711">
        <v>89301303</v>
      </c>
      <c r="D393" s="712" t="s">
        <v>2660</v>
      </c>
      <c r="E393" s="713" t="s">
        <v>2099</v>
      </c>
      <c r="F393" s="711" t="s">
        <v>2085</v>
      </c>
      <c r="G393" s="711" t="s">
        <v>2233</v>
      </c>
      <c r="H393" s="711" t="s">
        <v>1480</v>
      </c>
      <c r="I393" s="711" t="s">
        <v>1601</v>
      </c>
      <c r="J393" s="711" t="s">
        <v>1989</v>
      </c>
      <c r="K393" s="711" t="s">
        <v>1990</v>
      </c>
      <c r="L393" s="714">
        <v>193.14</v>
      </c>
      <c r="M393" s="714">
        <v>193.14</v>
      </c>
      <c r="N393" s="711">
        <v>1</v>
      </c>
      <c r="O393" s="715">
        <v>0.5</v>
      </c>
      <c r="P393" s="714"/>
      <c r="Q393" s="716">
        <v>0</v>
      </c>
      <c r="R393" s="711"/>
      <c r="S393" s="716">
        <v>0</v>
      </c>
      <c r="T393" s="715"/>
      <c r="U393" s="717">
        <v>0</v>
      </c>
    </row>
    <row r="394" spans="1:21" ht="14.4" customHeight="1" x14ac:dyDescent="0.3">
      <c r="A394" s="710">
        <v>30</v>
      </c>
      <c r="B394" s="711" t="s">
        <v>501</v>
      </c>
      <c r="C394" s="711">
        <v>89301303</v>
      </c>
      <c r="D394" s="712" t="s">
        <v>2660</v>
      </c>
      <c r="E394" s="713" t="s">
        <v>2099</v>
      </c>
      <c r="F394" s="711" t="s">
        <v>2086</v>
      </c>
      <c r="G394" s="711" t="s">
        <v>2392</v>
      </c>
      <c r="H394" s="711" t="s">
        <v>500</v>
      </c>
      <c r="I394" s="711" t="s">
        <v>2658</v>
      </c>
      <c r="J394" s="711" t="s">
        <v>2394</v>
      </c>
      <c r="K394" s="711"/>
      <c r="L394" s="714">
        <v>0</v>
      </c>
      <c r="M394" s="714">
        <v>0</v>
      </c>
      <c r="N394" s="711">
        <v>1</v>
      </c>
      <c r="O394" s="715">
        <v>1</v>
      </c>
      <c r="P394" s="714">
        <v>0</v>
      </c>
      <c r="Q394" s="716"/>
      <c r="R394" s="711">
        <v>1</v>
      </c>
      <c r="S394" s="716">
        <v>1</v>
      </c>
      <c r="T394" s="715">
        <v>1</v>
      </c>
      <c r="U394" s="717">
        <v>1</v>
      </c>
    </row>
    <row r="395" spans="1:21" ht="14.4" customHeight="1" thickBot="1" x14ac:dyDescent="0.35">
      <c r="A395" s="702">
        <v>30</v>
      </c>
      <c r="B395" s="703" t="s">
        <v>501</v>
      </c>
      <c r="C395" s="703">
        <v>89301303</v>
      </c>
      <c r="D395" s="704" t="s">
        <v>2660</v>
      </c>
      <c r="E395" s="705" t="s">
        <v>2099</v>
      </c>
      <c r="F395" s="703" t="s">
        <v>2086</v>
      </c>
      <c r="G395" s="703" t="s">
        <v>2392</v>
      </c>
      <c r="H395" s="703" t="s">
        <v>500</v>
      </c>
      <c r="I395" s="703" t="s">
        <v>2610</v>
      </c>
      <c r="J395" s="703" t="s">
        <v>2394</v>
      </c>
      <c r="K395" s="703"/>
      <c r="L395" s="706">
        <v>0</v>
      </c>
      <c r="M395" s="706">
        <v>0</v>
      </c>
      <c r="N395" s="703">
        <v>3</v>
      </c>
      <c r="O395" s="707">
        <v>3</v>
      </c>
      <c r="P395" s="706">
        <v>0</v>
      </c>
      <c r="Q395" s="708"/>
      <c r="R395" s="703">
        <v>3</v>
      </c>
      <c r="S395" s="708">
        <v>1</v>
      </c>
      <c r="T395" s="707">
        <v>3</v>
      </c>
      <c r="U395" s="709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7" width="8.88671875" style="260" customWidth="1"/>
    <col min="8" max="16384" width="8.88671875" style="260"/>
  </cols>
  <sheetData>
    <row r="1" spans="1:6" ht="37.799999999999997" customHeight="1" thickBot="1" x14ac:dyDescent="0.4">
      <c r="A1" s="493" t="s">
        <v>2662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718" t="s">
        <v>244</v>
      </c>
      <c r="B4" s="645" t="s">
        <v>17</v>
      </c>
      <c r="C4" s="646" t="s">
        <v>5</v>
      </c>
      <c r="D4" s="645" t="s">
        <v>17</v>
      </c>
      <c r="E4" s="646" t="s">
        <v>5</v>
      </c>
      <c r="F4" s="647" t="s">
        <v>17</v>
      </c>
    </row>
    <row r="5" spans="1:6" ht="14.4" customHeight="1" x14ac:dyDescent="0.3">
      <c r="A5" s="724" t="s">
        <v>2093</v>
      </c>
      <c r="B5" s="235">
        <v>1386.41</v>
      </c>
      <c r="C5" s="701">
        <v>0.17232802746489204</v>
      </c>
      <c r="D5" s="235">
        <v>6658.77</v>
      </c>
      <c r="E5" s="701">
        <v>0.82767197253510805</v>
      </c>
      <c r="F5" s="719">
        <v>8045.18</v>
      </c>
    </row>
    <row r="6" spans="1:6" ht="14.4" customHeight="1" x14ac:dyDescent="0.3">
      <c r="A6" s="725" t="s">
        <v>2097</v>
      </c>
      <c r="B6" s="720">
        <v>828.54</v>
      </c>
      <c r="C6" s="716">
        <v>7.6473226894386195E-2</v>
      </c>
      <c r="D6" s="720">
        <v>10005.84</v>
      </c>
      <c r="E6" s="716">
        <v>0.92352677310561371</v>
      </c>
      <c r="F6" s="721">
        <v>10834.380000000001</v>
      </c>
    </row>
    <row r="7" spans="1:6" ht="14.4" customHeight="1" x14ac:dyDescent="0.3">
      <c r="A7" s="725" t="s">
        <v>2099</v>
      </c>
      <c r="B7" s="720">
        <v>385.01</v>
      </c>
      <c r="C7" s="716">
        <v>0.17999869095261248</v>
      </c>
      <c r="D7" s="720">
        <v>1753.9499999999998</v>
      </c>
      <c r="E7" s="716">
        <v>0.82000130904738744</v>
      </c>
      <c r="F7" s="721">
        <v>2138.96</v>
      </c>
    </row>
    <row r="8" spans="1:6" ht="14.4" customHeight="1" x14ac:dyDescent="0.3">
      <c r="A8" s="725" t="s">
        <v>2095</v>
      </c>
      <c r="B8" s="720">
        <v>343.15999999999997</v>
      </c>
      <c r="C8" s="716">
        <v>2.4096588587053453E-2</v>
      </c>
      <c r="D8" s="720">
        <v>13897.86</v>
      </c>
      <c r="E8" s="716">
        <v>0.97590341141294656</v>
      </c>
      <c r="F8" s="721">
        <v>14241.02</v>
      </c>
    </row>
    <row r="9" spans="1:6" ht="14.4" customHeight="1" x14ac:dyDescent="0.3">
      <c r="A9" s="725" t="s">
        <v>2094</v>
      </c>
      <c r="B9" s="720">
        <v>220.45</v>
      </c>
      <c r="C9" s="716">
        <v>4.4656693439750435E-2</v>
      </c>
      <c r="D9" s="720">
        <v>4716.0999999999995</v>
      </c>
      <c r="E9" s="716">
        <v>0.95534330656024957</v>
      </c>
      <c r="F9" s="721">
        <v>4936.5499999999993</v>
      </c>
    </row>
    <row r="10" spans="1:6" ht="14.4" customHeight="1" x14ac:dyDescent="0.3">
      <c r="A10" s="725" t="s">
        <v>2098</v>
      </c>
      <c r="B10" s="720">
        <v>31.43</v>
      </c>
      <c r="C10" s="716">
        <v>4.8834148789556366E-3</v>
      </c>
      <c r="D10" s="720">
        <v>6404.6399999999994</v>
      </c>
      <c r="E10" s="716">
        <v>0.99511658512104428</v>
      </c>
      <c r="F10" s="721">
        <v>6436.07</v>
      </c>
    </row>
    <row r="11" spans="1:6" ht="14.4" customHeight="1" thickBot="1" x14ac:dyDescent="0.35">
      <c r="A11" s="663" t="s">
        <v>2096</v>
      </c>
      <c r="B11" s="658">
        <v>0</v>
      </c>
      <c r="C11" s="659">
        <v>0</v>
      </c>
      <c r="D11" s="658">
        <v>5905.6</v>
      </c>
      <c r="E11" s="659">
        <v>1</v>
      </c>
      <c r="F11" s="660">
        <v>5905.6</v>
      </c>
    </row>
    <row r="12" spans="1:6" ht="14.4" customHeight="1" thickBot="1" x14ac:dyDescent="0.35">
      <c r="A12" s="651" t="s">
        <v>6</v>
      </c>
      <c r="B12" s="652">
        <v>3195</v>
      </c>
      <c r="C12" s="653">
        <v>6.0813403540615367E-2</v>
      </c>
      <c r="D12" s="652">
        <v>49342.759999999995</v>
      </c>
      <c r="E12" s="653">
        <v>0.93918659645938463</v>
      </c>
      <c r="F12" s="654">
        <v>52537.759999999995</v>
      </c>
    </row>
    <row r="13" spans="1:6" ht="14.4" customHeight="1" thickBot="1" x14ac:dyDescent="0.35"/>
    <row r="14" spans="1:6" ht="14.4" customHeight="1" x14ac:dyDescent="0.3">
      <c r="A14" s="724" t="s">
        <v>2663</v>
      </c>
      <c r="B14" s="235">
        <v>648.48</v>
      </c>
      <c r="C14" s="701">
        <v>1</v>
      </c>
      <c r="D14" s="235"/>
      <c r="E14" s="701">
        <v>0</v>
      </c>
      <c r="F14" s="719">
        <v>648.48</v>
      </c>
    </row>
    <row r="15" spans="1:6" ht="14.4" customHeight="1" x14ac:dyDescent="0.3">
      <c r="A15" s="725" t="s">
        <v>2664</v>
      </c>
      <c r="B15" s="720">
        <v>579.78</v>
      </c>
      <c r="C15" s="716">
        <v>1</v>
      </c>
      <c r="D15" s="720"/>
      <c r="E15" s="716">
        <v>0</v>
      </c>
      <c r="F15" s="721">
        <v>579.78</v>
      </c>
    </row>
    <row r="16" spans="1:6" ht="14.4" customHeight="1" x14ac:dyDescent="0.3">
      <c r="A16" s="725" t="s">
        <v>2665</v>
      </c>
      <c r="B16" s="720">
        <v>360.12</v>
      </c>
      <c r="C16" s="716">
        <v>1</v>
      </c>
      <c r="D16" s="720"/>
      <c r="E16" s="716">
        <v>0</v>
      </c>
      <c r="F16" s="721">
        <v>360.12</v>
      </c>
    </row>
    <row r="17" spans="1:6" ht="14.4" customHeight="1" x14ac:dyDescent="0.3">
      <c r="A17" s="725" t="s">
        <v>1943</v>
      </c>
      <c r="B17" s="720">
        <v>260.39</v>
      </c>
      <c r="C17" s="716">
        <v>0.42031605623799451</v>
      </c>
      <c r="D17" s="720">
        <v>359.12</v>
      </c>
      <c r="E17" s="716">
        <v>0.57968394376200549</v>
      </c>
      <c r="F17" s="721">
        <v>619.51</v>
      </c>
    </row>
    <row r="18" spans="1:6" ht="14.4" customHeight="1" x14ac:dyDescent="0.3">
      <c r="A18" s="725" t="s">
        <v>1953</v>
      </c>
      <c r="B18" s="720">
        <v>202.25</v>
      </c>
      <c r="C18" s="716">
        <v>0.29872239864116384</v>
      </c>
      <c r="D18" s="720">
        <v>474.80000000000007</v>
      </c>
      <c r="E18" s="716">
        <v>0.70127760135883621</v>
      </c>
      <c r="F18" s="721">
        <v>677.05000000000007</v>
      </c>
    </row>
    <row r="19" spans="1:6" ht="14.4" customHeight="1" x14ac:dyDescent="0.3">
      <c r="A19" s="725" t="s">
        <v>1947</v>
      </c>
      <c r="B19" s="720">
        <v>182.76</v>
      </c>
      <c r="C19" s="716">
        <v>0.25001025977756802</v>
      </c>
      <c r="D19" s="720">
        <v>548.25</v>
      </c>
      <c r="E19" s="716">
        <v>0.74998974022243203</v>
      </c>
      <c r="F19" s="721">
        <v>731.01</v>
      </c>
    </row>
    <row r="20" spans="1:6" ht="14.4" customHeight="1" x14ac:dyDescent="0.3">
      <c r="A20" s="725" t="s">
        <v>1918</v>
      </c>
      <c r="B20" s="720">
        <v>172.82</v>
      </c>
      <c r="C20" s="716">
        <v>0.39999999999999997</v>
      </c>
      <c r="D20" s="720">
        <v>259.23</v>
      </c>
      <c r="E20" s="716">
        <v>0.6</v>
      </c>
      <c r="F20" s="721">
        <v>432.05</v>
      </c>
    </row>
    <row r="21" spans="1:6" ht="14.4" customHeight="1" x14ac:dyDescent="0.3">
      <c r="A21" s="725" t="s">
        <v>1941</v>
      </c>
      <c r="B21" s="720">
        <v>157.41999999999999</v>
      </c>
      <c r="C21" s="716">
        <v>1</v>
      </c>
      <c r="D21" s="720"/>
      <c r="E21" s="716">
        <v>0</v>
      </c>
      <c r="F21" s="721">
        <v>157.41999999999999</v>
      </c>
    </row>
    <row r="22" spans="1:6" ht="14.4" customHeight="1" x14ac:dyDescent="0.3">
      <c r="A22" s="725" t="s">
        <v>2666</v>
      </c>
      <c r="B22" s="720">
        <v>145.15</v>
      </c>
      <c r="C22" s="716">
        <v>1</v>
      </c>
      <c r="D22" s="720"/>
      <c r="E22" s="716">
        <v>0</v>
      </c>
      <c r="F22" s="721">
        <v>145.15</v>
      </c>
    </row>
    <row r="23" spans="1:6" ht="14.4" customHeight="1" x14ac:dyDescent="0.3">
      <c r="A23" s="725" t="s">
        <v>1952</v>
      </c>
      <c r="B23" s="720">
        <v>142.89000000000001</v>
      </c>
      <c r="C23" s="716">
        <v>0.33335666293393063</v>
      </c>
      <c r="D23" s="720">
        <v>285.75</v>
      </c>
      <c r="E23" s="716">
        <v>0.66664333706606949</v>
      </c>
      <c r="F23" s="721">
        <v>428.64</v>
      </c>
    </row>
    <row r="24" spans="1:6" ht="14.4" customHeight="1" x14ac:dyDescent="0.3">
      <c r="A24" s="725" t="s">
        <v>1969</v>
      </c>
      <c r="B24" s="720">
        <v>130.59</v>
      </c>
      <c r="C24" s="716">
        <v>3.600267973081387E-2</v>
      </c>
      <c r="D24" s="720">
        <v>3496.64</v>
      </c>
      <c r="E24" s="716">
        <v>0.96399732026918605</v>
      </c>
      <c r="F24" s="721">
        <v>3627.23</v>
      </c>
    </row>
    <row r="25" spans="1:6" ht="14.4" customHeight="1" x14ac:dyDescent="0.3">
      <c r="A25" s="725" t="s">
        <v>1949</v>
      </c>
      <c r="B25" s="720">
        <v>103.38</v>
      </c>
      <c r="C25" s="716">
        <v>0.55449474361724949</v>
      </c>
      <c r="D25" s="720">
        <v>83.06</v>
      </c>
      <c r="E25" s="716">
        <v>0.44550525638275051</v>
      </c>
      <c r="F25" s="721">
        <v>186.44</v>
      </c>
    </row>
    <row r="26" spans="1:6" ht="14.4" customHeight="1" x14ac:dyDescent="0.3">
      <c r="A26" s="725" t="s">
        <v>1951</v>
      </c>
      <c r="B26" s="720">
        <v>67.42</v>
      </c>
      <c r="C26" s="716">
        <v>0.16666666666666666</v>
      </c>
      <c r="D26" s="720">
        <v>337.1</v>
      </c>
      <c r="E26" s="716">
        <v>0.83333333333333326</v>
      </c>
      <c r="F26" s="721">
        <v>404.52000000000004</v>
      </c>
    </row>
    <row r="27" spans="1:6" ht="14.4" customHeight="1" x14ac:dyDescent="0.3">
      <c r="A27" s="725" t="s">
        <v>2667</v>
      </c>
      <c r="B27" s="720">
        <v>41.55</v>
      </c>
      <c r="C27" s="716">
        <v>1</v>
      </c>
      <c r="D27" s="720"/>
      <c r="E27" s="716">
        <v>0</v>
      </c>
      <c r="F27" s="721">
        <v>41.55</v>
      </c>
    </row>
    <row r="28" spans="1:6" ht="14.4" customHeight="1" x14ac:dyDescent="0.3">
      <c r="A28" s="725" t="s">
        <v>2668</v>
      </c>
      <c r="B28" s="720"/>
      <c r="C28" s="716">
        <v>0</v>
      </c>
      <c r="D28" s="720">
        <v>251.33999999999997</v>
      </c>
      <c r="E28" s="716">
        <v>1</v>
      </c>
      <c r="F28" s="721">
        <v>251.33999999999997</v>
      </c>
    </row>
    <row r="29" spans="1:6" ht="14.4" customHeight="1" x14ac:dyDescent="0.3">
      <c r="A29" s="725" t="s">
        <v>1920</v>
      </c>
      <c r="B29" s="720"/>
      <c r="C29" s="716">
        <v>0</v>
      </c>
      <c r="D29" s="720">
        <v>342.86</v>
      </c>
      <c r="E29" s="716">
        <v>1</v>
      </c>
      <c r="F29" s="721">
        <v>342.86</v>
      </c>
    </row>
    <row r="30" spans="1:6" ht="14.4" customHeight="1" x14ac:dyDescent="0.3">
      <c r="A30" s="725" t="s">
        <v>2669</v>
      </c>
      <c r="B30" s="720"/>
      <c r="C30" s="716">
        <v>0</v>
      </c>
      <c r="D30" s="720">
        <v>557.70000000000005</v>
      </c>
      <c r="E30" s="716">
        <v>1</v>
      </c>
      <c r="F30" s="721">
        <v>557.70000000000005</v>
      </c>
    </row>
    <row r="31" spans="1:6" ht="14.4" customHeight="1" x14ac:dyDescent="0.3">
      <c r="A31" s="725" t="s">
        <v>2670</v>
      </c>
      <c r="B31" s="720"/>
      <c r="C31" s="716">
        <v>0</v>
      </c>
      <c r="D31" s="720">
        <v>2378.7199999999998</v>
      </c>
      <c r="E31" s="716">
        <v>1</v>
      </c>
      <c r="F31" s="721">
        <v>2378.7199999999998</v>
      </c>
    </row>
    <row r="32" spans="1:6" ht="14.4" customHeight="1" x14ac:dyDescent="0.3">
      <c r="A32" s="725" t="s">
        <v>1971</v>
      </c>
      <c r="B32" s="720"/>
      <c r="C32" s="716">
        <v>0</v>
      </c>
      <c r="D32" s="720">
        <v>997.41</v>
      </c>
      <c r="E32" s="716">
        <v>1</v>
      </c>
      <c r="F32" s="721">
        <v>997.41</v>
      </c>
    </row>
    <row r="33" spans="1:6" ht="14.4" customHeight="1" x14ac:dyDescent="0.3">
      <c r="A33" s="725" t="s">
        <v>1929</v>
      </c>
      <c r="B33" s="720"/>
      <c r="C33" s="716">
        <v>0</v>
      </c>
      <c r="D33" s="720">
        <v>1264.0999999999999</v>
      </c>
      <c r="E33" s="716">
        <v>1</v>
      </c>
      <c r="F33" s="721">
        <v>1264.0999999999999</v>
      </c>
    </row>
    <row r="34" spans="1:6" ht="14.4" customHeight="1" x14ac:dyDescent="0.3">
      <c r="A34" s="725" t="s">
        <v>1936</v>
      </c>
      <c r="B34" s="720"/>
      <c r="C34" s="716"/>
      <c r="D34" s="720">
        <v>0</v>
      </c>
      <c r="E34" s="716"/>
      <c r="F34" s="721">
        <v>0</v>
      </c>
    </row>
    <row r="35" spans="1:6" ht="14.4" customHeight="1" x14ac:dyDescent="0.3">
      <c r="A35" s="725" t="s">
        <v>2671</v>
      </c>
      <c r="B35" s="720"/>
      <c r="C35" s="716">
        <v>0</v>
      </c>
      <c r="D35" s="720">
        <v>146.99</v>
      </c>
      <c r="E35" s="716">
        <v>1</v>
      </c>
      <c r="F35" s="721">
        <v>146.99</v>
      </c>
    </row>
    <row r="36" spans="1:6" ht="14.4" customHeight="1" x14ac:dyDescent="0.3">
      <c r="A36" s="725" t="s">
        <v>1914</v>
      </c>
      <c r="B36" s="720"/>
      <c r="C36" s="716">
        <v>0</v>
      </c>
      <c r="D36" s="720">
        <v>591.79999999999995</v>
      </c>
      <c r="E36" s="716">
        <v>1</v>
      </c>
      <c r="F36" s="721">
        <v>591.79999999999995</v>
      </c>
    </row>
    <row r="37" spans="1:6" ht="14.4" customHeight="1" x14ac:dyDescent="0.3">
      <c r="A37" s="725" t="s">
        <v>2672</v>
      </c>
      <c r="B37" s="720"/>
      <c r="C37" s="716">
        <v>0</v>
      </c>
      <c r="D37" s="720">
        <v>107.34</v>
      </c>
      <c r="E37" s="716">
        <v>1</v>
      </c>
      <c r="F37" s="721">
        <v>107.34</v>
      </c>
    </row>
    <row r="38" spans="1:6" ht="14.4" customHeight="1" x14ac:dyDescent="0.3">
      <c r="A38" s="725" t="s">
        <v>1927</v>
      </c>
      <c r="B38" s="720"/>
      <c r="C38" s="716">
        <v>0</v>
      </c>
      <c r="D38" s="720">
        <v>224.09</v>
      </c>
      <c r="E38" s="716">
        <v>1</v>
      </c>
      <c r="F38" s="721">
        <v>224.09</v>
      </c>
    </row>
    <row r="39" spans="1:6" ht="14.4" customHeight="1" x14ac:dyDescent="0.3">
      <c r="A39" s="725" t="s">
        <v>1919</v>
      </c>
      <c r="B39" s="720">
        <v>0</v>
      </c>
      <c r="C39" s="716">
        <v>0</v>
      </c>
      <c r="D39" s="720">
        <v>289.16000000000003</v>
      </c>
      <c r="E39" s="716">
        <v>1</v>
      </c>
      <c r="F39" s="721">
        <v>289.16000000000003</v>
      </c>
    </row>
    <row r="40" spans="1:6" ht="14.4" customHeight="1" x14ac:dyDescent="0.3">
      <c r="A40" s="725" t="s">
        <v>1931</v>
      </c>
      <c r="B40" s="720"/>
      <c r="C40" s="716">
        <v>0</v>
      </c>
      <c r="D40" s="720">
        <v>24350.480000000003</v>
      </c>
      <c r="E40" s="716">
        <v>1</v>
      </c>
      <c r="F40" s="721">
        <v>24350.480000000003</v>
      </c>
    </row>
    <row r="41" spans="1:6" ht="14.4" customHeight="1" x14ac:dyDescent="0.3">
      <c r="A41" s="725" t="s">
        <v>2673</v>
      </c>
      <c r="B41" s="720"/>
      <c r="C41" s="716">
        <v>0</v>
      </c>
      <c r="D41" s="720">
        <v>273.48</v>
      </c>
      <c r="E41" s="716">
        <v>1</v>
      </c>
      <c r="F41" s="721">
        <v>273.48</v>
      </c>
    </row>
    <row r="42" spans="1:6" ht="14.4" customHeight="1" x14ac:dyDescent="0.3">
      <c r="A42" s="725" t="s">
        <v>1926</v>
      </c>
      <c r="B42" s="720"/>
      <c r="C42" s="716">
        <v>0</v>
      </c>
      <c r="D42" s="720">
        <v>56.01</v>
      </c>
      <c r="E42" s="716">
        <v>1</v>
      </c>
      <c r="F42" s="721">
        <v>56.01</v>
      </c>
    </row>
    <row r="43" spans="1:6" ht="14.4" customHeight="1" x14ac:dyDescent="0.3">
      <c r="A43" s="725" t="s">
        <v>1946</v>
      </c>
      <c r="B43" s="720"/>
      <c r="C43" s="716">
        <v>0</v>
      </c>
      <c r="D43" s="720">
        <v>1167.98</v>
      </c>
      <c r="E43" s="716">
        <v>1</v>
      </c>
      <c r="F43" s="721">
        <v>1167.98</v>
      </c>
    </row>
    <row r="44" spans="1:6" ht="14.4" customHeight="1" x14ac:dyDescent="0.3">
      <c r="A44" s="725" t="s">
        <v>1944</v>
      </c>
      <c r="B44" s="720"/>
      <c r="C44" s="716">
        <v>0</v>
      </c>
      <c r="D44" s="720">
        <v>666.62</v>
      </c>
      <c r="E44" s="716">
        <v>1</v>
      </c>
      <c r="F44" s="721">
        <v>666.62</v>
      </c>
    </row>
    <row r="45" spans="1:6" ht="14.4" customHeight="1" x14ac:dyDescent="0.3">
      <c r="A45" s="725" t="s">
        <v>2674</v>
      </c>
      <c r="B45" s="720"/>
      <c r="C45" s="716">
        <v>0</v>
      </c>
      <c r="D45" s="720">
        <v>434.83</v>
      </c>
      <c r="E45" s="716">
        <v>1</v>
      </c>
      <c r="F45" s="721">
        <v>434.83</v>
      </c>
    </row>
    <row r="46" spans="1:6" ht="14.4" customHeight="1" x14ac:dyDescent="0.3">
      <c r="A46" s="725" t="s">
        <v>2675</v>
      </c>
      <c r="B46" s="720"/>
      <c r="C46" s="716">
        <v>0</v>
      </c>
      <c r="D46" s="720">
        <v>444.5</v>
      </c>
      <c r="E46" s="716">
        <v>1</v>
      </c>
      <c r="F46" s="721">
        <v>444.5</v>
      </c>
    </row>
    <row r="47" spans="1:6" ht="14.4" customHeight="1" x14ac:dyDescent="0.3">
      <c r="A47" s="725" t="s">
        <v>1934</v>
      </c>
      <c r="B47" s="720"/>
      <c r="C47" s="716">
        <v>0</v>
      </c>
      <c r="D47" s="720">
        <v>1027.5999999999999</v>
      </c>
      <c r="E47" s="716">
        <v>1</v>
      </c>
      <c r="F47" s="721">
        <v>1027.5999999999999</v>
      </c>
    </row>
    <row r="48" spans="1:6" ht="14.4" customHeight="1" x14ac:dyDescent="0.3">
      <c r="A48" s="725" t="s">
        <v>1937</v>
      </c>
      <c r="B48" s="720"/>
      <c r="C48" s="716">
        <v>0</v>
      </c>
      <c r="D48" s="720">
        <v>301.12</v>
      </c>
      <c r="E48" s="716">
        <v>1</v>
      </c>
      <c r="F48" s="721">
        <v>301.12</v>
      </c>
    </row>
    <row r="49" spans="1:6" ht="14.4" customHeight="1" x14ac:dyDescent="0.3">
      <c r="A49" s="725" t="s">
        <v>1956</v>
      </c>
      <c r="B49" s="720"/>
      <c r="C49" s="716">
        <v>0</v>
      </c>
      <c r="D49" s="720">
        <v>3104.66</v>
      </c>
      <c r="E49" s="716">
        <v>1</v>
      </c>
      <c r="F49" s="721">
        <v>3104.66</v>
      </c>
    </row>
    <row r="50" spans="1:6" ht="14.4" customHeight="1" x14ac:dyDescent="0.3">
      <c r="A50" s="725" t="s">
        <v>1955</v>
      </c>
      <c r="B50" s="720"/>
      <c r="C50" s="716">
        <v>0</v>
      </c>
      <c r="D50" s="720">
        <v>306.04000000000002</v>
      </c>
      <c r="E50" s="716">
        <v>1</v>
      </c>
      <c r="F50" s="721">
        <v>306.04000000000002</v>
      </c>
    </row>
    <row r="51" spans="1:6" ht="14.4" customHeight="1" x14ac:dyDescent="0.3">
      <c r="A51" s="725" t="s">
        <v>1954</v>
      </c>
      <c r="B51" s="720"/>
      <c r="C51" s="716">
        <v>0</v>
      </c>
      <c r="D51" s="720">
        <v>229.19</v>
      </c>
      <c r="E51" s="716">
        <v>1</v>
      </c>
      <c r="F51" s="721">
        <v>229.19</v>
      </c>
    </row>
    <row r="52" spans="1:6" ht="14.4" customHeight="1" x14ac:dyDescent="0.3">
      <c r="A52" s="725" t="s">
        <v>1957</v>
      </c>
      <c r="B52" s="720">
        <v>0</v>
      </c>
      <c r="C52" s="716">
        <v>0</v>
      </c>
      <c r="D52" s="720">
        <v>53.129999999999995</v>
      </c>
      <c r="E52" s="716">
        <v>1</v>
      </c>
      <c r="F52" s="721">
        <v>53.129999999999995</v>
      </c>
    </row>
    <row r="53" spans="1:6" ht="14.4" customHeight="1" x14ac:dyDescent="0.3">
      <c r="A53" s="725" t="s">
        <v>1915</v>
      </c>
      <c r="B53" s="720"/>
      <c r="C53" s="716">
        <v>0</v>
      </c>
      <c r="D53" s="720">
        <v>886.91</v>
      </c>
      <c r="E53" s="716">
        <v>1</v>
      </c>
      <c r="F53" s="721">
        <v>886.91</v>
      </c>
    </row>
    <row r="54" spans="1:6" ht="14.4" customHeight="1" x14ac:dyDescent="0.3">
      <c r="A54" s="725" t="s">
        <v>2676</v>
      </c>
      <c r="B54" s="720"/>
      <c r="C54" s="716">
        <v>0</v>
      </c>
      <c r="D54" s="720">
        <v>605.25</v>
      </c>
      <c r="E54" s="716">
        <v>1</v>
      </c>
      <c r="F54" s="721">
        <v>605.25</v>
      </c>
    </row>
    <row r="55" spans="1:6" ht="14.4" customHeight="1" x14ac:dyDescent="0.3">
      <c r="A55" s="725" t="s">
        <v>1939</v>
      </c>
      <c r="B55" s="720"/>
      <c r="C55" s="716">
        <v>0</v>
      </c>
      <c r="D55" s="720">
        <v>391.88</v>
      </c>
      <c r="E55" s="716">
        <v>1</v>
      </c>
      <c r="F55" s="721">
        <v>391.88</v>
      </c>
    </row>
    <row r="56" spans="1:6" ht="14.4" customHeight="1" x14ac:dyDescent="0.3">
      <c r="A56" s="725" t="s">
        <v>1960</v>
      </c>
      <c r="B56" s="720"/>
      <c r="C56" s="716">
        <v>0</v>
      </c>
      <c r="D56" s="720">
        <v>594.45000000000005</v>
      </c>
      <c r="E56" s="716">
        <v>1</v>
      </c>
      <c r="F56" s="721">
        <v>594.45000000000005</v>
      </c>
    </row>
    <row r="57" spans="1:6" ht="14.4" customHeight="1" x14ac:dyDescent="0.3">
      <c r="A57" s="725" t="s">
        <v>1961</v>
      </c>
      <c r="B57" s="720"/>
      <c r="C57" s="716">
        <v>0</v>
      </c>
      <c r="D57" s="720">
        <v>101.68</v>
      </c>
      <c r="E57" s="716">
        <v>1</v>
      </c>
      <c r="F57" s="721">
        <v>101.68</v>
      </c>
    </row>
    <row r="58" spans="1:6" ht="14.4" customHeight="1" x14ac:dyDescent="0.3">
      <c r="A58" s="725" t="s">
        <v>1958</v>
      </c>
      <c r="B58" s="720"/>
      <c r="C58" s="716">
        <v>0</v>
      </c>
      <c r="D58" s="720">
        <v>464.88</v>
      </c>
      <c r="E58" s="716">
        <v>1</v>
      </c>
      <c r="F58" s="721">
        <v>464.88</v>
      </c>
    </row>
    <row r="59" spans="1:6" ht="14.4" customHeight="1" x14ac:dyDescent="0.3">
      <c r="A59" s="725" t="s">
        <v>2677</v>
      </c>
      <c r="B59" s="720"/>
      <c r="C59" s="716">
        <v>0</v>
      </c>
      <c r="D59" s="720">
        <v>74.87</v>
      </c>
      <c r="E59" s="716">
        <v>1</v>
      </c>
      <c r="F59" s="721">
        <v>74.87</v>
      </c>
    </row>
    <row r="60" spans="1:6" ht="14.4" customHeight="1" x14ac:dyDescent="0.3">
      <c r="A60" s="725" t="s">
        <v>1962</v>
      </c>
      <c r="B60" s="720"/>
      <c r="C60" s="716"/>
      <c r="D60" s="720">
        <v>0</v>
      </c>
      <c r="E60" s="716"/>
      <c r="F60" s="721">
        <v>0</v>
      </c>
    </row>
    <row r="61" spans="1:6" ht="14.4" customHeight="1" x14ac:dyDescent="0.3">
      <c r="A61" s="725" t="s">
        <v>1963</v>
      </c>
      <c r="B61" s="720">
        <v>0</v>
      </c>
      <c r="C61" s="716">
        <v>0</v>
      </c>
      <c r="D61" s="720">
        <v>107.81</v>
      </c>
      <c r="E61" s="716">
        <v>1</v>
      </c>
      <c r="F61" s="721">
        <v>107.81</v>
      </c>
    </row>
    <row r="62" spans="1:6" ht="14.4" customHeight="1" x14ac:dyDescent="0.3">
      <c r="A62" s="725" t="s">
        <v>1964</v>
      </c>
      <c r="B62" s="720"/>
      <c r="C62" s="716">
        <v>0</v>
      </c>
      <c r="D62" s="720">
        <v>309.60000000000002</v>
      </c>
      <c r="E62" s="716">
        <v>1</v>
      </c>
      <c r="F62" s="721">
        <v>309.60000000000002</v>
      </c>
    </row>
    <row r="63" spans="1:6" ht="14.4" customHeight="1" x14ac:dyDescent="0.3">
      <c r="A63" s="725" t="s">
        <v>1965</v>
      </c>
      <c r="B63" s="720"/>
      <c r="C63" s="716">
        <v>0</v>
      </c>
      <c r="D63" s="720">
        <v>143.71</v>
      </c>
      <c r="E63" s="716">
        <v>1</v>
      </c>
      <c r="F63" s="721">
        <v>143.71</v>
      </c>
    </row>
    <row r="64" spans="1:6" ht="14.4" customHeight="1" thickBot="1" x14ac:dyDescent="0.35">
      <c r="A64" s="663" t="s">
        <v>1967</v>
      </c>
      <c r="B64" s="658">
        <v>0</v>
      </c>
      <c r="C64" s="659">
        <v>0</v>
      </c>
      <c r="D64" s="658">
        <v>250.62</v>
      </c>
      <c r="E64" s="659">
        <v>1</v>
      </c>
      <c r="F64" s="660">
        <v>250.62</v>
      </c>
    </row>
    <row r="65" spans="1:6" ht="14.4" customHeight="1" thickBot="1" x14ac:dyDescent="0.35">
      <c r="A65" s="651" t="s">
        <v>6</v>
      </c>
      <c r="B65" s="652">
        <v>3195</v>
      </c>
      <c r="C65" s="653">
        <v>6.0813403540615339E-2</v>
      </c>
      <c r="D65" s="652">
        <v>49342.760000000009</v>
      </c>
      <c r="E65" s="653">
        <v>0.93918659645938452</v>
      </c>
      <c r="F65" s="654">
        <v>52537.760000000017</v>
      </c>
    </row>
  </sheetData>
  <mergeCells count="3">
    <mergeCell ref="A1:F1"/>
    <mergeCell ref="B3:C3"/>
    <mergeCell ref="D3:E3"/>
  </mergeCells>
  <conditionalFormatting sqref="C5:C1048576">
    <cfRule type="cellIs" dxfId="34" priority="12" stopIfTrue="1" operator="greaterThan">
      <formula>0.2</formula>
    </cfRule>
  </conditionalFormatting>
  <conditionalFormatting sqref="F5:F1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{08939E0F-AE65-4E04-B6F5-A251F0296F64}</x14:id>
        </ext>
      </extLst>
    </cfRule>
  </conditionalFormatting>
  <conditionalFormatting sqref="F14:F6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{19D463D6-6184-4575-974D-EE2898A3151D}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939E0F-AE65-4E04-B6F5-A251F0296F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F5:F11</xm:sqref>
        </x14:conditionalFormatting>
        <x14:conditionalFormatting xmlns:xm="http://schemas.microsoft.com/office/excel/2006/main">
          <x14:cfRule type="dataBar" id="{19D463D6-6184-4575-974D-EE2898A3151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F14:F64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5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60" customWidth="1"/>
    <col min="2" max="2" width="8.88671875" style="260" bestFit="1" customWidth="1"/>
    <col min="3" max="3" width="7" style="260" bestFit="1" customWidth="1"/>
    <col min="4" max="5" width="22.21875" style="260" customWidth="1"/>
    <col min="6" max="6" width="6.6640625" style="343" customWidth="1"/>
    <col min="7" max="7" width="10" style="343" customWidth="1"/>
    <col min="8" max="8" width="6.77734375" style="346" customWidth="1"/>
    <col min="9" max="9" width="6.6640625" style="343" customWidth="1"/>
    <col min="10" max="10" width="10" style="343" customWidth="1"/>
    <col min="11" max="11" width="6.77734375" style="346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2693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49</v>
      </c>
      <c r="G3" s="47">
        <f>SUBTOTAL(9,G6:G1048576)</f>
        <v>3195</v>
      </c>
      <c r="H3" s="48">
        <f>IF(M3=0,0,G3/M3)</f>
        <v>6.0813403540615381E-2</v>
      </c>
      <c r="I3" s="47">
        <f>SUBTOTAL(9,I6:I1048576)</f>
        <v>207</v>
      </c>
      <c r="J3" s="47">
        <f>SUBTOTAL(9,J6:J1048576)</f>
        <v>49342.759999999966</v>
      </c>
      <c r="K3" s="48">
        <f>IF(M3=0,0,J3/M3)</f>
        <v>0.93918659645938429</v>
      </c>
      <c r="L3" s="47">
        <f>SUBTOTAL(9,L6:L1048576)</f>
        <v>256</v>
      </c>
      <c r="M3" s="49">
        <f>SUBTOTAL(9,M6:M1048576)</f>
        <v>52537.75999999998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718" t="s">
        <v>171</v>
      </c>
      <c r="B5" s="726" t="s">
        <v>167</v>
      </c>
      <c r="C5" s="726" t="s">
        <v>93</v>
      </c>
      <c r="D5" s="726" t="s">
        <v>168</v>
      </c>
      <c r="E5" s="726" t="s">
        <v>169</v>
      </c>
      <c r="F5" s="665" t="s">
        <v>31</v>
      </c>
      <c r="G5" s="665" t="s">
        <v>17</v>
      </c>
      <c r="H5" s="646" t="s">
        <v>170</v>
      </c>
      <c r="I5" s="645" t="s">
        <v>31</v>
      </c>
      <c r="J5" s="665" t="s">
        <v>17</v>
      </c>
      <c r="K5" s="646" t="s">
        <v>170</v>
      </c>
      <c r="L5" s="645" t="s">
        <v>31</v>
      </c>
      <c r="M5" s="666" t="s">
        <v>17</v>
      </c>
    </row>
    <row r="6" spans="1:13" ht="14.4" customHeight="1" x14ac:dyDescent="0.3">
      <c r="A6" s="695" t="s">
        <v>2093</v>
      </c>
      <c r="B6" s="696" t="s">
        <v>1981</v>
      </c>
      <c r="C6" s="696" t="s">
        <v>2450</v>
      </c>
      <c r="D6" s="696" t="s">
        <v>2451</v>
      </c>
      <c r="E6" s="696" t="s">
        <v>1698</v>
      </c>
      <c r="F6" s="235"/>
      <c r="G6" s="235"/>
      <c r="H6" s="701">
        <v>0</v>
      </c>
      <c r="I6" s="235">
        <v>1</v>
      </c>
      <c r="J6" s="235">
        <v>886.91</v>
      </c>
      <c r="K6" s="701">
        <v>1</v>
      </c>
      <c r="L6" s="235">
        <v>1</v>
      </c>
      <c r="M6" s="719">
        <v>886.91</v>
      </c>
    </row>
    <row r="7" spans="1:13" ht="14.4" customHeight="1" x14ac:dyDescent="0.3">
      <c r="A7" s="710" t="s">
        <v>2093</v>
      </c>
      <c r="B7" s="711" t="s">
        <v>1983</v>
      </c>
      <c r="C7" s="711" t="s">
        <v>2475</v>
      </c>
      <c r="D7" s="711" t="s">
        <v>1555</v>
      </c>
      <c r="E7" s="711" t="s">
        <v>2476</v>
      </c>
      <c r="F7" s="720"/>
      <c r="G7" s="720"/>
      <c r="H7" s="716">
        <v>0</v>
      </c>
      <c r="I7" s="720">
        <v>1</v>
      </c>
      <c r="J7" s="720">
        <v>172.82</v>
      </c>
      <c r="K7" s="716">
        <v>1</v>
      </c>
      <c r="L7" s="720">
        <v>1</v>
      </c>
      <c r="M7" s="721">
        <v>172.82</v>
      </c>
    </row>
    <row r="8" spans="1:13" ht="14.4" customHeight="1" x14ac:dyDescent="0.3">
      <c r="A8" s="710" t="s">
        <v>2093</v>
      </c>
      <c r="B8" s="711" t="s">
        <v>1983</v>
      </c>
      <c r="C8" s="711" t="s">
        <v>1554</v>
      </c>
      <c r="D8" s="711" t="s">
        <v>1555</v>
      </c>
      <c r="E8" s="711" t="s">
        <v>1984</v>
      </c>
      <c r="F8" s="720"/>
      <c r="G8" s="720"/>
      <c r="H8" s="716">
        <v>0</v>
      </c>
      <c r="I8" s="720">
        <v>1</v>
      </c>
      <c r="J8" s="720">
        <v>86.41</v>
      </c>
      <c r="K8" s="716">
        <v>1</v>
      </c>
      <c r="L8" s="720">
        <v>1</v>
      </c>
      <c r="M8" s="721">
        <v>86.41</v>
      </c>
    </row>
    <row r="9" spans="1:13" ht="14.4" customHeight="1" x14ac:dyDescent="0.3">
      <c r="A9" s="710" t="s">
        <v>2093</v>
      </c>
      <c r="B9" s="711" t="s">
        <v>1985</v>
      </c>
      <c r="C9" s="711" t="s">
        <v>2435</v>
      </c>
      <c r="D9" s="711" t="s">
        <v>2436</v>
      </c>
      <c r="E9" s="711" t="s">
        <v>2437</v>
      </c>
      <c r="F9" s="720"/>
      <c r="G9" s="720"/>
      <c r="H9" s="716">
        <v>0</v>
      </c>
      <c r="I9" s="720">
        <v>3</v>
      </c>
      <c r="J9" s="720">
        <v>174.87</v>
      </c>
      <c r="K9" s="716">
        <v>1</v>
      </c>
      <c r="L9" s="720">
        <v>3</v>
      </c>
      <c r="M9" s="721">
        <v>174.87</v>
      </c>
    </row>
    <row r="10" spans="1:13" ht="14.4" customHeight="1" x14ac:dyDescent="0.3">
      <c r="A10" s="710" t="s">
        <v>2093</v>
      </c>
      <c r="B10" s="711" t="s">
        <v>1986</v>
      </c>
      <c r="C10" s="711" t="s">
        <v>1601</v>
      </c>
      <c r="D10" s="711" t="s">
        <v>1989</v>
      </c>
      <c r="E10" s="711" t="s">
        <v>1990</v>
      </c>
      <c r="F10" s="720"/>
      <c r="G10" s="720"/>
      <c r="H10" s="716">
        <v>0</v>
      </c>
      <c r="I10" s="720">
        <v>1</v>
      </c>
      <c r="J10" s="720">
        <v>193.14</v>
      </c>
      <c r="K10" s="716">
        <v>1</v>
      </c>
      <c r="L10" s="720">
        <v>1</v>
      </c>
      <c r="M10" s="721">
        <v>193.14</v>
      </c>
    </row>
    <row r="11" spans="1:13" ht="14.4" customHeight="1" x14ac:dyDescent="0.3">
      <c r="A11" s="710" t="s">
        <v>2093</v>
      </c>
      <c r="B11" s="711" t="s">
        <v>1998</v>
      </c>
      <c r="C11" s="711" t="s">
        <v>2445</v>
      </c>
      <c r="D11" s="711" t="s">
        <v>2446</v>
      </c>
      <c r="E11" s="711" t="s">
        <v>2266</v>
      </c>
      <c r="F11" s="720">
        <v>1</v>
      </c>
      <c r="G11" s="720">
        <v>56.23</v>
      </c>
      <c r="H11" s="716">
        <v>1</v>
      </c>
      <c r="I11" s="720"/>
      <c r="J11" s="720"/>
      <c r="K11" s="716">
        <v>0</v>
      </c>
      <c r="L11" s="720">
        <v>1</v>
      </c>
      <c r="M11" s="721">
        <v>56.23</v>
      </c>
    </row>
    <row r="12" spans="1:13" ht="14.4" customHeight="1" x14ac:dyDescent="0.3">
      <c r="A12" s="710" t="s">
        <v>2093</v>
      </c>
      <c r="B12" s="711" t="s">
        <v>1998</v>
      </c>
      <c r="C12" s="711" t="s">
        <v>2447</v>
      </c>
      <c r="D12" s="711" t="s">
        <v>2448</v>
      </c>
      <c r="E12" s="711" t="s">
        <v>837</v>
      </c>
      <c r="F12" s="720">
        <v>3</v>
      </c>
      <c r="G12" s="720">
        <v>101.19</v>
      </c>
      <c r="H12" s="716">
        <v>1</v>
      </c>
      <c r="I12" s="720"/>
      <c r="J12" s="720"/>
      <c r="K12" s="716">
        <v>0</v>
      </c>
      <c r="L12" s="720">
        <v>3</v>
      </c>
      <c r="M12" s="721">
        <v>101.19</v>
      </c>
    </row>
    <row r="13" spans="1:13" ht="14.4" customHeight="1" x14ac:dyDescent="0.3">
      <c r="A13" s="710" t="s">
        <v>2093</v>
      </c>
      <c r="B13" s="711" t="s">
        <v>2678</v>
      </c>
      <c r="C13" s="711" t="s">
        <v>2333</v>
      </c>
      <c r="D13" s="711" t="s">
        <v>2334</v>
      </c>
      <c r="E13" s="711" t="s">
        <v>2335</v>
      </c>
      <c r="F13" s="720">
        <v>3</v>
      </c>
      <c r="G13" s="720">
        <v>180.06</v>
      </c>
      <c r="H13" s="716">
        <v>1</v>
      </c>
      <c r="I13" s="720"/>
      <c r="J13" s="720"/>
      <c r="K13" s="716">
        <v>0</v>
      </c>
      <c r="L13" s="720">
        <v>3</v>
      </c>
      <c r="M13" s="721">
        <v>180.06</v>
      </c>
    </row>
    <row r="14" spans="1:13" ht="14.4" customHeight="1" x14ac:dyDescent="0.3">
      <c r="A14" s="710" t="s">
        <v>2093</v>
      </c>
      <c r="B14" s="711" t="s">
        <v>2679</v>
      </c>
      <c r="C14" s="711" t="s">
        <v>2111</v>
      </c>
      <c r="D14" s="711" t="s">
        <v>2112</v>
      </c>
      <c r="E14" s="711" t="s">
        <v>2113</v>
      </c>
      <c r="F14" s="720"/>
      <c r="G14" s="720"/>
      <c r="H14" s="716">
        <v>0</v>
      </c>
      <c r="I14" s="720">
        <v>5</v>
      </c>
      <c r="J14" s="720">
        <v>209.45</v>
      </c>
      <c r="K14" s="716">
        <v>1</v>
      </c>
      <c r="L14" s="720">
        <v>5</v>
      </c>
      <c r="M14" s="721">
        <v>209.45</v>
      </c>
    </row>
    <row r="15" spans="1:13" ht="14.4" customHeight="1" x14ac:dyDescent="0.3">
      <c r="A15" s="710" t="s">
        <v>2093</v>
      </c>
      <c r="B15" s="711" t="s">
        <v>1999</v>
      </c>
      <c r="C15" s="711" t="s">
        <v>2356</v>
      </c>
      <c r="D15" s="711" t="s">
        <v>2357</v>
      </c>
      <c r="E15" s="711" t="s">
        <v>2358</v>
      </c>
      <c r="F15" s="720">
        <v>3</v>
      </c>
      <c r="G15" s="720">
        <v>94.289999999999992</v>
      </c>
      <c r="H15" s="716">
        <v>1</v>
      </c>
      <c r="I15" s="720"/>
      <c r="J15" s="720"/>
      <c r="K15" s="716">
        <v>0</v>
      </c>
      <c r="L15" s="720">
        <v>3</v>
      </c>
      <c r="M15" s="721">
        <v>94.289999999999992</v>
      </c>
    </row>
    <row r="16" spans="1:13" ht="14.4" customHeight="1" x14ac:dyDescent="0.3">
      <c r="A16" s="710" t="s">
        <v>2093</v>
      </c>
      <c r="B16" s="711" t="s">
        <v>1999</v>
      </c>
      <c r="C16" s="711" t="s">
        <v>1536</v>
      </c>
      <c r="D16" s="711" t="s">
        <v>1537</v>
      </c>
      <c r="E16" s="711" t="s">
        <v>1538</v>
      </c>
      <c r="F16" s="720"/>
      <c r="G16" s="720"/>
      <c r="H16" s="716">
        <v>0</v>
      </c>
      <c r="I16" s="720">
        <v>3</v>
      </c>
      <c r="J16" s="720">
        <v>134.67000000000002</v>
      </c>
      <c r="K16" s="716">
        <v>1</v>
      </c>
      <c r="L16" s="720">
        <v>3</v>
      </c>
      <c r="M16" s="721">
        <v>134.67000000000002</v>
      </c>
    </row>
    <row r="17" spans="1:13" ht="14.4" customHeight="1" x14ac:dyDescent="0.3">
      <c r="A17" s="710" t="s">
        <v>2093</v>
      </c>
      <c r="B17" s="711" t="s">
        <v>1999</v>
      </c>
      <c r="C17" s="711" t="s">
        <v>2411</v>
      </c>
      <c r="D17" s="711" t="s">
        <v>2412</v>
      </c>
      <c r="E17" s="711" t="s">
        <v>1538</v>
      </c>
      <c r="F17" s="720">
        <v>3</v>
      </c>
      <c r="G17" s="720">
        <v>134.67000000000002</v>
      </c>
      <c r="H17" s="716">
        <v>1</v>
      </c>
      <c r="I17" s="720"/>
      <c r="J17" s="720"/>
      <c r="K17" s="716">
        <v>0</v>
      </c>
      <c r="L17" s="720">
        <v>3</v>
      </c>
      <c r="M17" s="721">
        <v>134.67000000000002</v>
      </c>
    </row>
    <row r="18" spans="1:13" ht="14.4" customHeight="1" x14ac:dyDescent="0.3">
      <c r="A18" s="710" t="s">
        <v>2093</v>
      </c>
      <c r="B18" s="711" t="s">
        <v>2001</v>
      </c>
      <c r="C18" s="711" t="s">
        <v>2169</v>
      </c>
      <c r="D18" s="711" t="s">
        <v>1627</v>
      </c>
      <c r="E18" s="711" t="s">
        <v>1399</v>
      </c>
      <c r="F18" s="720"/>
      <c r="G18" s="720"/>
      <c r="H18" s="716"/>
      <c r="I18" s="720">
        <v>1</v>
      </c>
      <c r="J18" s="720">
        <v>0</v>
      </c>
      <c r="K18" s="716"/>
      <c r="L18" s="720">
        <v>1</v>
      </c>
      <c r="M18" s="721">
        <v>0</v>
      </c>
    </row>
    <row r="19" spans="1:13" ht="14.4" customHeight="1" x14ac:dyDescent="0.3">
      <c r="A19" s="710" t="s">
        <v>2093</v>
      </c>
      <c r="B19" s="711" t="s">
        <v>2001</v>
      </c>
      <c r="C19" s="711" t="s">
        <v>1626</v>
      </c>
      <c r="D19" s="711" t="s">
        <v>1627</v>
      </c>
      <c r="E19" s="711" t="s">
        <v>1399</v>
      </c>
      <c r="F19" s="720"/>
      <c r="G19" s="720"/>
      <c r="H19" s="716">
        <v>0</v>
      </c>
      <c r="I19" s="720">
        <v>3</v>
      </c>
      <c r="J19" s="720">
        <v>182.76</v>
      </c>
      <c r="K19" s="716">
        <v>1</v>
      </c>
      <c r="L19" s="720">
        <v>3</v>
      </c>
      <c r="M19" s="721">
        <v>182.76</v>
      </c>
    </row>
    <row r="20" spans="1:13" ht="14.4" customHeight="1" x14ac:dyDescent="0.3">
      <c r="A20" s="710" t="s">
        <v>2093</v>
      </c>
      <c r="B20" s="711" t="s">
        <v>2002</v>
      </c>
      <c r="C20" s="711" t="s">
        <v>2487</v>
      </c>
      <c r="D20" s="711" t="s">
        <v>2488</v>
      </c>
      <c r="E20" s="711" t="s">
        <v>2489</v>
      </c>
      <c r="F20" s="720">
        <v>2</v>
      </c>
      <c r="G20" s="720">
        <v>103.38</v>
      </c>
      <c r="H20" s="716">
        <v>1</v>
      </c>
      <c r="I20" s="720"/>
      <c r="J20" s="720"/>
      <c r="K20" s="716">
        <v>0</v>
      </c>
      <c r="L20" s="720">
        <v>2</v>
      </c>
      <c r="M20" s="721">
        <v>103.38</v>
      </c>
    </row>
    <row r="21" spans="1:13" ht="14.4" customHeight="1" x14ac:dyDescent="0.3">
      <c r="A21" s="710" t="s">
        <v>2093</v>
      </c>
      <c r="B21" s="711" t="s">
        <v>2004</v>
      </c>
      <c r="C21" s="711" t="s">
        <v>2345</v>
      </c>
      <c r="D21" s="711" t="s">
        <v>1485</v>
      </c>
      <c r="E21" s="711" t="s">
        <v>2346</v>
      </c>
      <c r="F21" s="720"/>
      <c r="G21" s="720"/>
      <c r="H21" s="716">
        <v>0</v>
      </c>
      <c r="I21" s="720">
        <v>3</v>
      </c>
      <c r="J21" s="720">
        <v>65.760000000000005</v>
      </c>
      <c r="K21" s="716">
        <v>1</v>
      </c>
      <c r="L21" s="720">
        <v>3</v>
      </c>
      <c r="M21" s="721">
        <v>65.760000000000005</v>
      </c>
    </row>
    <row r="22" spans="1:13" ht="14.4" customHeight="1" x14ac:dyDescent="0.3">
      <c r="A22" s="710" t="s">
        <v>2093</v>
      </c>
      <c r="B22" s="711" t="s">
        <v>2004</v>
      </c>
      <c r="C22" s="711" t="s">
        <v>2497</v>
      </c>
      <c r="D22" s="711" t="s">
        <v>1488</v>
      </c>
      <c r="E22" s="711" t="s">
        <v>2498</v>
      </c>
      <c r="F22" s="720"/>
      <c r="G22" s="720"/>
      <c r="H22" s="716">
        <v>0</v>
      </c>
      <c r="I22" s="720">
        <v>1</v>
      </c>
      <c r="J22" s="720">
        <v>33.72</v>
      </c>
      <c r="K22" s="716">
        <v>1</v>
      </c>
      <c r="L22" s="720">
        <v>1</v>
      </c>
      <c r="M22" s="721">
        <v>33.72</v>
      </c>
    </row>
    <row r="23" spans="1:13" ht="14.4" customHeight="1" x14ac:dyDescent="0.3">
      <c r="A23" s="710" t="s">
        <v>2093</v>
      </c>
      <c r="B23" s="711" t="s">
        <v>2004</v>
      </c>
      <c r="C23" s="711" t="s">
        <v>2499</v>
      </c>
      <c r="D23" s="711" t="s">
        <v>1488</v>
      </c>
      <c r="E23" s="711" t="s">
        <v>2500</v>
      </c>
      <c r="F23" s="720"/>
      <c r="G23" s="720"/>
      <c r="H23" s="716">
        <v>0</v>
      </c>
      <c r="I23" s="720">
        <v>1</v>
      </c>
      <c r="J23" s="720">
        <v>56.18</v>
      </c>
      <c r="K23" s="716">
        <v>1</v>
      </c>
      <c r="L23" s="720">
        <v>1</v>
      </c>
      <c r="M23" s="721">
        <v>56.18</v>
      </c>
    </row>
    <row r="24" spans="1:13" ht="14.4" customHeight="1" x14ac:dyDescent="0.3">
      <c r="A24" s="710" t="s">
        <v>2093</v>
      </c>
      <c r="B24" s="711" t="s">
        <v>2010</v>
      </c>
      <c r="C24" s="711" t="s">
        <v>2459</v>
      </c>
      <c r="D24" s="711" t="s">
        <v>2460</v>
      </c>
      <c r="E24" s="711" t="s">
        <v>528</v>
      </c>
      <c r="F24" s="720">
        <v>3</v>
      </c>
      <c r="G24" s="720">
        <v>0</v>
      </c>
      <c r="H24" s="716"/>
      <c r="I24" s="720"/>
      <c r="J24" s="720"/>
      <c r="K24" s="716"/>
      <c r="L24" s="720">
        <v>3</v>
      </c>
      <c r="M24" s="721">
        <v>0</v>
      </c>
    </row>
    <row r="25" spans="1:13" ht="14.4" customHeight="1" x14ac:dyDescent="0.3">
      <c r="A25" s="710" t="s">
        <v>2093</v>
      </c>
      <c r="B25" s="711" t="s">
        <v>2012</v>
      </c>
      <c r="C25" s="711" t="s">
        <v>2462</v>
      </c>
      <c r="D25" s="711" t="s">
        <v>1511</v>
      </c>
      <c r="E25" s="711" t="s">
        <v>1068</v>
      </c>
      <c r="F25" s="720"/>
      <c r="G25" s="720"/>
      <c r="H25" s="716">
        <v>0</v>
      </c>
      <c r="I25" s="720">
        <v>1</v>
      </c>
      <c r="J25" s="720">
        <v>250.62</v>
      </c>
      <c r="K25" s="716">
        <v>1</v>
      </c>
      <c r="L25" s="720">
        <v>1</v>
      </c>
      <c r="M25" s="721">
        <v>250.62</v>
      </c>
    </row>
    <row r="26" spans="1:13" ht="14.4" customHeight="1" x14ac:dyDescent="0.3">
      <c r="A26" s="710" t="s">
        <v>2093</v>
      </c>
      <c r="B26" s="711" t="s">
        <v>2012</v>
      </c>
      <c r="C26" s="711" t="s">
        <v>2463</v>
      </c>
      <c r="D26" s="711" t="s">
        <v>2464</v>
      </c>
      <c r="E26" s="711" t="s">
        <v>2465</v>
      </c>
      <c r="F26" s="720">
        <v>1</v>
      </c>
      <c r="G26" s="720">
        <v>0</v>
      </c>
      <c r="H26" s="716"/>
      <c r="I26" s="720"/>
      <c r="J26" s="720"/>
      <c r="K26" s="716"/>
      <c r="L26" s="720">
        <v>1</v>
      </c>
      <c r="M26" s="721">
        <v>0</v>
      </c>
    </row>
    <row r="27" spans="1:13" ht="14.4" customHeight="1" x14ac:dyDescent="0.3">
      <c r="A27" s="710" t="s">
        <v>2093</v>
      </c>
      <c r="B27" s="711" t="s">
        <v>2013</v>
      </c>
      <c r="C27" s="711" t="s">
        <v>1593</v>
      </c>
      <c r="D27" s="711" t="s">
        <v>1598</v>
      </c>
      <c r="E27" s="711" t="s">
        <v>942</v>
      </c>
      <c r="F27" s="720"/>
      <c r="G27" s="720"/>
      <c r="H27" s="716">
        <v>0</v>
      </c>
      <c r="I27" s="720">
        <v>9</v>
      </c>
      <c r="J27" s="720">
        <v>1175.31</v>
      </c>
      <c r="K27" s="716">
        <v>1</v>
      </c>
      <c r="L27" s="720">
        <v>9</v>
      </c>
      <c r="M27" s="721">
        <v>1175.31</v>
      </c>
    </row>
    <row r="28" spans="1:13" ht="14.4" customHeight="1" x14ac:dyDescent="0.3">
      <c r="A28" s="710" t="s">
        <v>2093</v>
      </c>
      <c r="B28" s="711" t="s">
        <v>2013</v>
      </c>
      <c r="C28" s="711" t="s">
        <v>1669</v>
      </c>
      <c r="D28" s="711" t="s">
        <v>2015</v>
      </c>
      <c r="E28" s="711" t="s">
        <v>2016</v>
      </c>
      <c r="F28" s="720"/>
      <c r="G28" s="720"/>
      <c r="H28" s="716">
        <v>0</v>
      </c>
      <c r="I28" s="720">
        <v>6</v>
      </c>
      <c r="J28" s="720">
        <v>1211.28</v>
      </c>
      <c r="K28" s="716">
        <v>1</v>
      </c>
      <c r="L28" s="720">
        <v>6</v>
      </c>
      <c r="M28" s="721">
        <v>1211.28</v>
      </c>
    </row>
    <row r="29" spans="1:13" ht="14.4" customHeight="1" x14ac:dyDescent="0.3">
      <c r="A29" s="710" t="s">
        <v>2093</v>
      </c>
      <c r="B29" s="711" t="s">
        <v>2017</v>
      </c>
      <c r="C29" s="711" t="s">
        <v>2504</v>
      </c>
      <c r="D29" s="711" t="s">
        <v>2505</v>
      </c>
      <c r="E29" s="711" t="s">
        <v>1694</v>
      </c>
      <c r="F29" s="720"/>
      <c r="G29" s="720"/>
      <c r="H29" s="716">
        <v>0</v>
      </c>
      <c r="I29" s="720">
        <v>1</v>
      </c>
      <c r="J29" s="720">
        <v>391.77</v>
      </c>
      <c r="K29" s="716">
        <v>1</v>
      </c>
      <c r="L29" s="720">
        <v>1</v>
      </c>
      <c r="M29" s="721">
        <v>391.77</v>
      </c>
    </row>
    <row r="30" spans="1:13" ht="14.4" customHeight="1" x14ac:dyDescent="0.3">
      <c r="A30" s="710" t="s">
        <v>2093</v>
      </c>
      <c r="B30" s="711" t="s">
        <v>2021</v>
      </c>
      <c r="C30" s="711" t="s">
        <v>2454</v>
      </c>
      <c r="D30" s="711" t="s">
        <v>530</v>
      </c>
      <c r="E30" s="711" t="s">
        <v>2455</v>
      </c>
      <c r="F30" s="720"/>
      <c r="G30" s="720"/>
      <c r="H30" s="716">
        <v>0</v>
      </c>
      <c r="I30" s="720">
        <v>1</v>
      </c>
      <c r="J30" s="720">
        <v>50.57</v>
      </c>
      <c r="K30" s="716">
        <v>1</v>
      </c>
      <c r="L30" s="720">
        <v>1</v>
      </c>
      <c r="M30" s="721">
        <v>50.57</v>
      </c>
    </row>
    <row r="31" spans="1:13" ht="14.4" customHeight="1" x14ac:dyDescent="0.3">
      <c r="A31" s="710" t="s">
        <v>2093</v>
      </c>
      <c r="B31" s="711" t="s">
        <v>2021</v>
      </c>
      <c r="C31" s="711" t="s">
        <v>2132</v>
      </c>
      <c r="D31" s="711" t="s">
        <v>2133</v>
      </c>
      <c r="E31" s="711" t="s">
        <v>2134</v>
      </c>
      <c r="F31" s="720"/>
      <c r="G31" s="720"/>
      <c r="H31" s="716">
        <v>0</v>
      </c>
      <c r="I31" s="720">
        <v>1</v>
      </c>
      <c r="J31" s="720">
        <v>86.76</v>
      </c>
      <c r="K31" s="716">
        <v>1</v>
      </c>
      <c r="L31" s="720">
        <v>1</v>
      </c>
      <c r="M31" s="721">
        <v>86.76</v>
      </c>
    </row>
    <row r="32" spans="1:13" ht="14.4" customHeight="1" x14ac:dyDescent="0.3">
      <c r="A32" s="710" t="s">
        <v>2093</v>
      </c>
      <c r="B32" s="711" t="s">
        <v>2680</v>
      </c>
      <c r="C32" s="711" t="s">
        <v>2432</v>
      </c>
      <c r="D32" s="711" t="s">
        <v>2433</v>
      </c>
      <c r="E32" s="711" t="s">
        <v>2434</v>
      </c>
      <c r="F32" s="720">
        <v>1</v>
      </c>
      <c r="G32" s="720">
        <v>41.55</v>
      </c>
      <c r="H32" s="716">
        <v>1</v>
      </c>
      <c r="I32" s="720"/>
      <c r="J32" s="720"/>
      <c r="K32" s="716">
        <v>0</v>
      </c>
      <c r="L32" s="720">
        <v>1</v>
      </c>
      <c r="M32" s="721">
        <v>41.55</v>
      </c>
    </row>
    <row r="33" spans="1:13" ht="14.4" customHeight="1" x14ac:dyDescent="0.3">
      <c r="A33" s="710" t="s">
        <v>2093</v>
      </c>
      <c r="B33" s="711" t="s">
        <v>2022</v>
      </c>
      <c r="C33" s="711" t="s">
        <v>1840</v>
      </c>
      <c r="D33" s="711" t="s">
        <v>2023</v>
      </c>
      <c r="E33" s="711" t="s">
        <v>2024</v>
      </c>
      <c r="F33" s="720"/>
      <c r="G33" s="720"/>
      <c r="H33" s="716">
        <v>0</v>
      </c>
      <c r="I33" s="720">
        <v>2</v>
      </c>
      <c r="J33" s="720">
        <v>666.62</v>
      </c>
      <c r="K33" s="716">
        <v>1</v>
      </c>
      <c r="L33" s="720">
        <v>2</v>
      </c>
      <c r="M33" s="721">
        <v>666.62</v>
      </c>
    </row>
    <row r="34" spans="1:13" ht="14.4" customHeight="1" x14ac:dyDescent="0.3">
      <c r="A34" s="710" t="s">
        <v>2093</v>
      </c>
      <c r="B34" s="711" t="s">
        <v>2681</v>
      </c>
      <c r="C34" s="711" t="s">
        <v>2471</v>
      </c>
      <c r="D34" s="711" t="s">
        <v>2472</v>
      </c>
      <c r="E34" s="711" t="s">
        <v>2473</v>
      </c>
      <c r="F34" s="720">
        <v>3</v>
      </c>
      <c r="G34" s="720">
        <v>579.78</v>
      </c>
      <c r="H34" s="716">
        <v>1</v>
      </c>
      <c r="I34" s="720"/>
      <c r="J34" s="720"/>
      <c r="K34" s="716">
        <v>0</v>
      </c>
      <c r="L34" s="720">
        <v>3</v>
      </c>
      <c r="M34" s="721">
        <v>579.78</v>
      </c>
    </row>
    <row r="35" spans="1:13" ht="14.4" customHeight="1" x14ac:dyDescent="0.3">
      <c r="A35" s="710" t="s">
        <v>2093</v>
      </c>
      <c r="B35" s="711" t="s">
        <v>2682</v>
      </c>
      <c r="C35" s="711" t="s">
        <v>2483</v>
      </c>
      <c r="D35" s="711" t="s">
        <v>661</v>
      </c>
      <c r="E35" s="711" t="s">
        <v>2484</v>
      </c>
      <c r="F35" s="720"/>
      <c r="G35" s="720"/>
      <c r="H35" s="716">
        <v>0</v>
      </c>
      <c r="I35" s="720">
        <v>1</v>
      </c>
      <c r="J35" s="720">
        <v>48.31</v>
      </c>
      <c r="K35" s="716">
        <v>1</v>
      </c>
      <c r="L35" s="720">
        <v>1</v>
      </c>
      <c r="M35" s="721">
        <v>48.31</v>
      </c>
    </row>
    <row r="36" spans="1:13" ht="14.4" customHeight="1" x14ac:dyDescent="0.3">
      <c r="A36" s="710" t="s">
        <v>2093</v>
      </c>
      <c r="B36" s="711" t="s">
        <v>2682</v>
      </c>
      <c r="C36" s="711" t="s">
        <v>2485</v>
      </c>
      <c r="D36" s="711" t="s">
        <v>661</v>
      </c>
      <c r="E36" s="711" t="s">
        <v>2486</v>
      </c>
      <c r="F36" s="720"/>
      <c r="G36" s="720"/>
      <c r="H36" s="716">
        <v>0</v>
      </c>
      <c r="I36" s="720">
        <v>4</v>
      </c>
      <c r="J36" s="720">
        <v>386.52</v>
      </c>
      <c r="K36" s="716">
        <v>1</v>
      </c>
      <c r="L36" s="720">
        <v>4</v>
      </c>
      <c r="M36" s="721">
        <v>386.52</v>
      </c>
    </row>
    <row r="37" spans="1:13" ht="14.4" customHeight="1" x14ac:dyDescent="0.3">
      <c r="A37" s="710" t="s">
        <v>2093</v>
      </c>
      <c r="B37" s="711" t="s">
        <v>2050</v>
      </c>
      <c r="C37" s="711" t="s">
        <v>2400</v>
      </c>
      <c r="D37" s="711" t="s">
        <v>2102</v>
      </c>
      <c r="E37" s="711" t="s">
        <v>2103</v>
      </c>
      <c r="F37" s="720">
        <v>2</v>
      </c>
      <c r="G37" s="720">
        <v>95.26</v>
      </c>
      <c r="H37" s="716">
        <v>1</v>
      </c>
      <c r="I37" s="720"/>
      <c r="J37" s="720"/>
      <c r="K37" s="716">
        <v>0</v>
      </c>
      <c r="L37" s="720">
        <v>2</v>
      </c>
      <c r="M37" s="721">
        <v>95.26</v>
      </c>
    </row>
    <row r="38" spans="1:13" ht="14.4" customHeight="1" x14ac:dyDescent="0.3">
      <c r="A38" s="710" t="s">
        <v>2093</v>
      </c>
      <c r="B38" s="711" t="s">
        <v>2062</v>
      </c>
      <c r="C38" s="711" t="s">
        <v>2403</v>
      </c>
      <c r="D38" s="711" t="s">
        <v>2404</v>
      </c>
      <c r="E38" s="711" t="s">
        <v>2405</v>
      </c>
      <c r="F38" s="720"/>
      <c r="G38" s="720"/>
      <c r="H38" s="716">
        <v>0</v>
      </c>
      <c r="I38" s="720">
        <v>3</v>
      </c>
      <c r="J38" s="720">
        <v>32.19</v>
      </c>
      <c r="K38" s="716">
        <v>1</v>
      </c>
      <c r="L38" s="720">
        <v>3</v>
      </c>
      <c r="M38" s="721">
        <v>32.19</v>
      </c>
    </row>
    <row r="39" spans="1:13" ht="14.4" customHeight="1" x14ac:dyDescent="0.3">
      <c r="A39" s="710" t="s">
        <v>2093</v>
      </c>
      <c r="B39" s="711" t="s">
        <v>2062</v>
      </c>
      <c r="C39" s="711" t="s">
        <v>2401</v>
      </c>
      <c r="D39" s="711" t="s">
        <v>2063</v>
      </c>
      <c r="E39" s="711" t="s">
        <v>2402</v>
      </c>
      <c r="F39" s="720">
        <v>1</v>
      </c>
      <c r="G39" s="720">
        <v>0</v>
      </c>
      <c r="H39" s="716"/>
      <c r="I39" s="720"/>
      <c r="J39" s="720"/>
      <c r="K39" s="716"/>
      <c r="L39" s="720">
        <v>1</v>
      </c>
      <c r="M39" s="721">
        <v>0</v>
      </c>
    </row>
    <row r="40" spans="1:13" ht="14.4" customHeight="1" x14ac:dyDescent="0.3">
      <c r="A40" s="710" t="s">
        <v>2093</v>
      </c>
      <c r="B40" s="711" t="s">
        <v>2065</v>
      </c>
      <c r="C40" s="711" t="s">
        <v>1646</v>
      </c>
      <c r="D40" s="711" t="s">
        <v>1647</v>
      </c>
      <c r="E40" s="711" t="s">
        <v>2066</v>
      </c>
      <c r="F40" s="720"/>
      <c r="G40" s="720"/>
      <c r="H40" s="716">
        <v>0</v>
      </c>
      <c r="I40" s="720">
        <v>1</v>
      </c>
      <c r="J40" s="720">
        <v>162.13</v>
      </c>
      <c r="K40" s="716">
        <v>1</v>
      </c>
      <c r="L40" s="720">
        <v>1</v>
      </c>
      <c r="M40" s="721">
        <v>162.13</v>
      </c>
    </row>
    <row r="41" spans="1:13" ht="14.4" customHeight="1" x14ac:dyDescent="0.3">
      <c r="A41" s="710" t="s">
        <v>2093</v>
      </c>
      <c r="B41" s="711" t="s">
        <v>2069</v>
      </c>
      <c r="C41" s="711" t="s">
        <v>2534</v>
      </c>
      <c r="D41" s="711" t="s">
        <v>1496</v>
      </c>
      <c r="E41" s="711" t="s">
        <v>2535</v>
      </c>
      <c r="F41" s="720"/>
      <c r="G41" s="720"/>
      <c r="H41" s="716"/>
      <c r="I41" s="720">
        <v>1</v>
      </c>
      <c r="J41" s="720">
        <v>0</v>
      </c>
      <c r="K41" s="716"/>
      <c r="L41" s="720">
        <v>1</v>
      </c>
      <c r="M41" s="721">
        <v>0</v>
      </c>
    </row>
    <row r="42" spans="1:13" ht="14.4" customHeight="1" x14ac:dyDescent="0.3">
      <c r="A42" s="710" t="s">
        <v>2094</v>
      </c>
      <c r="B42" s="711" t="s">
        <v>2683</v>
      </c>
      <c r="C42" s="711" t="s">
        <v>2555</v>
      </c>
      <c r="D42" s="711" t="s">
        <v>2556</v>
      </c>
      <c r="E42" s="711" t="s">
        <v>2557</v>
      </c>
      <c r="F42" s="720"/>
      <c r="G42" s="720"/>
      <c r="H42" s="716">
        <v>0</v>
      </c>
      <c r="I42" s="720">
        <v>1</v>
      </c>
      <c r="J42" s="720">
        <v>1019.11</v>
      </c>
      <c r="K42" s="716">
        <v>1</v>
      </c>
      <c r="L42" s="720">
        <v>1</v>
      </c>
      <c r="M42" s="721">
        <v>1019.11</v>
      </c>
    </row>
    <row r="43" spans="1:13" ht="14.4" customHeight="1" x14ac:dyDescent="0.3">
      <c r="A43" s="710" t="s">
        <v>2094</v>
      </c>
      <c r="B43" s="711" t="s">
        <v>2683</v>
      </c>
      <c r="C43" s="711" t="s">
        <v>2558</v>
      </c>
      <c r="D43" s="711" t="s">
        <v>2559</v>
      </c>
      <c r="E43" s="711" t="s">
        <v>2560</v>
      </c>
      <c r="F43" s="720"/>
      <c r="G43" s="720"/>
      <c r="H43" s="716">
        <v>0</v>
      </c>
      <c r="I43" s="720">
        <v>1</v>
      </c>
      <c r="J43" s="720">
        <v>1359.61</v>
      </c>
      <c r="K43" s="716">
        <v>1</v>
      </c>
      <c r="L43" s="720">
        <v>1</v>
      </c>
      <c r="M43" s="721">
        <v>1359.61</v>
      </c>
    </row>
    <row r="44" spans="1:13" ht="14.4" customHeight="1" x14ac:dyDescent="0.3">
      <c r="A44" s="710" t="s">
        <v>2094</v>
      </c>
      <c r="B44" s="711" t="s">
        <v>1983</v>
      </c>
      <c r="C44" s="711" t="s">
        <v>2551</v>
      </c>
      <c r="D44" s="711" t="s">
        <v>2552</v>
      </c>
      <c r="E44" s="711" t="s">
        <v>2553</v>
      </c>
      <c r="F44" s="720">
        <v>2</v>
      </c>
      <c r="G44" s="720">
        <v>172.82</v>
      </c>
      <c r="H44" s="716">
        <v>1</v>
      </c>
      <c r="I44" s="720"/>
      <c r="J44" s="720"/>
      <c r="K44" s="716">
        <v>0</v>
      </c>
      <c r="L44" s="720">
        <v>2</v>
      </c>
      <c r="M44" s="721">
        <v>172.82</v>
      </c>
    </row>
    <row r="45" spans="1:13" ht="14.4" customHeight="1" x14ac:dyDescent="0.3">
      <c r="A45" s="710" t="s">
        <v>2094</v>
      </c>
      <c r="B45" s="711" t="s">
        <v>1991</v>
      </c>
      <c r="C45" s="711" t="s">
        <v>1700</v>
      </c>
      <c r="D45" s="711" t="s">
        <v>1518</v>
      </c>
      <c r="E45" s="711" t="s">
        <v>1701</v>
      </c>
      <c r="F45" s="720"/>
      <c r="G45" s="720"/>
      <c r="H45" s="716">
        <v>0</v>
      </c>
      <c r="I45" s="720">
        <v>2</v>
      </c>
      <c r="J45" s="720">
        <v>937.92</v>
      </c>
      <c r="K45" s="716">
        <v>1</v>
      </c>
      <c r="L45" s="720">
        <v>2</v>
      </c>
      <c r="M45" s="721">
        <v>937.92</v>
      </c>
    </row>
    <row r="46" spans="1:13" ht="14.4" customHeight="1" x14ac:dyDescent="0.3">
      <c r="A46" s="710" t="s">
        <v>2094</v>
      </c>
      <c r="B46" s="711" t="s">
        <v>2679</v>
      </c>
      <c r="C46" s="711" t="s">
        <v>2111</v>
      </c>
      <c r="D46" s="711" t="s">
        <v>2112</v>
      </c>
      <c r="E46" s="711" t="s">
        <v>2113</v>
      </c>
      <c r="F46" s="720"/>
      <c r="G46" s="720"/>
      <c r="H46" s="716">
        <v>0</v>
      </c>
      <c r="I46" s="720">
        <v>1</v>
      </c>
      <c r="J46" s="720">
        <v>41.89</v>
      </c>
      <c r="K46" s="716">
        <v>1</v>
      </c>
      <c r="L46" s="720">
        <v>1</v>
      </c>
      <c r="M46" s="721">
        <v>41.89</v>
      </c>
    </row>
    <row r="47" spans="1:13" ht="14.4" customHeight="1" x14ac:dyDescent="0.3">
      <c r="A47" s="710" t="s">
        <v>2094</v>
      </c>
      <c r="B47" s="711" t="s">
        <v>1999</v>
      </c>
      <c r="C47" s="711" t="s">
        <v>1536</v>
      </c>
      <c r="D47" s="711" t="s">
        <v>1537</v>
      </c>
      <c r="E47" s="711" t="s">
        <v>1538</v>
      </c>
      <c r="F47" s="720"/>
      <c r="G47" s="720"/>
      <c r="H47" s="716">
        <v>0</v>
      </c>
      <c r="I47" s="720">
        <v>2</v>
      </c>
      <c r="J47" s="720">
        <v>89.78</v>
      </c>
      <c r="K47" s="716">
        <v>1</v>
      </c>
      <c r="L47" s="720">
        <v>2</v>
      </c>
      <c r="M47" s="721">
        <v>89.78</v>
      </c>
    </row>
    <row r="48" spans="1:13" ht="14.4" customHeight="1" x14ac:dyDescent="0.3">
      <c r="A48" s="710" t="s">
        <v>2094</v>
      </c>
      <c r="B48" s="711" t="s">
        <v>2001</v>
      </c>
      <c r="C48" s="711" t="s">
        <v>2105</v>
      </c>
      <c r="D48" s="711" t="s">
        <v>1630</v>
      </c>
      <c r="E48" s="711" t="s">
        <v>1497</v>
      </c>
      <c r="F48" s="720"/>
      <c r="G48" s="720"/>
      <c r="H48" s="716">
        <v>0</v>
      </c>
      <c r="I48" s="720">
        <v>1</v>
      </c>
      <c r="J48" s="720">
        <v>81.209999999999994</v>
      </c>
      <c r="K48" s="716">
        <v>1</v>
      </c>
      <c r="L48" s="720">
        <v>1</v>
      </c>
      <c r="M48" s="721">
        <v>81.209999999999994</v>
      </c>
    </row>
    <row r="49" spans="1:13" ht="14.4" customHeight="1" x14ac:dyDescent="0.3">
      <c r="A49" s="710" t="s">
        <v>2094</v>
      </c>
      <c r="B49" s="711" t="s">
        <v>2003</v>
      </c>
      <c r="C49" s="711" t="s">
        <v>1639</v>
      </c>
      <c r="D49" s="711" t="s">
        <v>1640</v>
      </c>
      <c r="E49" s="711" t="s">
        <v>1641</v>
      </c>
      <c r="F49" s="720"/>
      <c r="G49" s="720"/>
      <c r="H49" s="716">
        <v>0</v>
      </c>
      <c r="I49" s="720">
        <v>1</v>
      </c>
      <c r="J49" s="720">
        <v>67.42</v>
      </c>
      <c r="K49" s="716">
        <v>1</v>
      </c>
      <c r="L49" s="720">
        <v>1</v>
      </c>
      <c r="M49" s="721">
        <v>67.42</v>
      </c>
    </row>
    <row r="50" spans="1:13" ht="14.4" customHeight="1" x14ac:dyDescent="0.3">
      <c r="A50" s="710" t="s">
        <v>2094</v>
      </c>
      <c r="B50" s="711" t="s">
        <v>2004</v>
      </c>
      <c r="C50" s="711" t="s">
        <v>1562</v>
      </c>
      <c r="D50" s="711" t="s">
        <v>2005</v>
      </c>
      <c r="E50" s="711" t="s">
        <v>1399</v>
      </c>
      <c r="F50" s="720"/>
      <c r="G50" s="720"/>
      <c r="H50" s="716">
        <v>0</v>
      </c>
      <c r="I50" s="720">
        <v>1</v>
      </c>
      <c r="J50" s="720">
        <v>67.42</v>
      </c>
      <c r="K50" s="716">
        <v>1</v>
      </c>
      <c r="L50" s="720">
        <v>1</v>
      </c>
      <c r="M50" s="721">
        <v>67.42</v>
      </c>
    </row>
    <row r="51" spans="1:13" ht="14.4" customHeight="1" x14ac:dyDescent="0.3">
      <c r="A51" s="710" t="s">
        <v>2094</v>
      </c>
      <c r="B51" s="711" t="s">
        <v>2684</v>
      </c>
      <c r="C51" s="711" t="s">
        <v>2122</v>
      </c>
      <c r="D51" s="711" t="s">
        <v>2123</v>
      </c>
      <c r="E51" s="711" t="s">
        <v>958</v>
      </c>
      <c r="F51" s="720"/>
      <c r="G51" s="720"/>
      <c r="H51" s="716">
        <v>0</v>
      </c>
      <c r="I51" s="720">
        <v>1</v>
      </c>
      <c r="J51" s="720">
        <v>74.87</v>
      </c>
      <c r="K51" s="716">
        <v>1</v>
      </c>
      <c r="L51" s="720">
        <v>1</v>
      </c>
      <c r="M51" s="721">
        <v>74.87</v>
      </c>
    </row>
    <row r="52" spans="1:13" ht="14.4" customHeight="1" x14ac:dyDescent="0.3">
      <c r="A52" s="710" t="s">
        <v>2094</v>
      </c>
      <c r="B52" s="711" t="s">
        <v>2010</v>
      </c>
      <c r="C52" s="711" t="s">
        <v>2136</v>
      </c>
      <c r="D52" s="711" t="s">
        <v>1606</v>
      </c>
      <c r="E52" s="711" t="s">
        <v>1607</v>
      </c>
      <c r="F52" s="720"/>
      <c r="G52" s="720"/>
      <c r="H52" s="716">
        <v>0</v>
      </c>
      <c r="I52" s="720">
        <v>1</v>
      </c>
      <c r="J52" s="720">
        <v>107.81</v>
      </c>
      <c r="K52" s="716">
        <v>1</v>
      </c>
      <c r="L52" s="720">
        <v>1</v>
      </c>
      <c r="M52" s="721">
        <v>107.81</v>
      </c>
    </row>
    <row r="53" spans="1:13" ht="14.4" customHeight="1" x14ac:dyDescent="0.3">
      <c r="A53" s="710" t="s">
        <v>2094</v>
      </c>
      <c r="B53" s="711" t="s">
        <v>2013</v>
      </c>
      <c r="C53" s="711" t="s">
        <v>1590</v>
      </c>
      <c r="D53" s="711" t="s">
        <v>1690</v>
      </c>
      <c r="E53" s="711" t="s">
        <v>818</v>
      </c>
      <c r="F53" s="720"/>
      <c r="G53" s="720"/>
      <c r="H53" s="716">
        <v>0</v>
      </c>
      <c r="I53" s="720">
        <v>1</v>
      </c>
      <c r="J53" s="720">
        <v>65.3</v>
      </c>
      <c r="K53" s="716">
        <v>1</v>
      </c>
      <c r="L53" s="720">
        <v>1</v>
      </c>
      <c r="M53" s="721">
        <v>65.3</v>
      </c>
    </row>
    <row r="54" spans="1:13" ht="14.4" customHeight="1" x14ac:dyDescent="0.3">
      <c r="A54" s="710" t="s">
        <v>2094</v>
      </c>
      <c r="B54" s="711" t="s">
        <v>2685</v>
      </c>
      <c r="C54" s="711" t="s">
        <v>2118</v>
      </c>
      <c r="D54" s="711" t="s">
        <v>2119</v>
      </c>
      <c r="E54" s="711" t="s">
        <v>1538</v>
      </c>
      <c r="F54" s="720"/>
      <c r="G54" s="720"/>
      <c r="H54" s="716">
        <v>0</v>
      </c>
      <c r="I54" s="720">
        <v>1</v>
      </c>
      <c r="J54" s="720">
        <v>273.48</v>
      </c>
      <c r="K54" s="716">
        <v>1</v>
      </c>
      <c r="L54" s="720">
        <v>1</v>
      </c>
      <c r="M54" s="721">
        <v>273.48</v>
      </c>
    </row>
    <row r="55" spans="1:13" ht="14.4" customHeight="1" x14ac:dyDescent="0.3">
      <c r="A55" s="710" t="s">
        <v>2094</v>
      </c>
      <c r="B55" s="711" t="s">
        <v>2021</v>
      </c>
      <c r="C55" s="711" t="s">
        <v>2132</v>
      </c>
      <c r="D55" s="711" t="s">
        <v>2133</v>
      </c>
      <c r="E55" s="711" t="s">
        <v>2134</v>
      </c>
      <c r="F55" s="720"/>
      <c r="G55" s="720"/>
      <c r="H55" s="716">
        <v>0</v>
      </c>
      <c r="I55" s="720">
        <v>1</v>
      </c>
      <c r="J55" s="720">
        <v>86.76</v>
      </c>
      <c r="K55" s="716">
        <v>1</v>
      </c>
      <c r="L55" s="720">
        <v>1</v>
      </c>
      <c r="M55" s="721">
        <v>86.76</v>
      </c>
    </row>
    <row r="56" spans="1:13" ht="14.4" customHeight="1" x14ac:dyDescent="0.3">
      <c r="A56" s="710" t="s">
        <v>2094</v>
      </c>
      <c r="B56" s="711" t="s">
        <v>2050</v>
      </c>
      <c r="C56" s="711" t="s">
        <v>2101</v>
      </c>
      <c r="D56" s="711" t="s">
        <v>2102</v>
      </c>
      <c r="E56" s="711" t="s">
        <v>2103</v>
      </c>
      <c r="F56" s="720">
        <v>1</v>
      </c>
      <c r="G56" s="720">
        <v>47.63</v>
      </c>
      <c r="H56" s="716">
        <v>1</v>
      </c>
      <c r="I56" s="720"/>
      <c r="J56" s="720"/>
      <c r="K56" s="716">
        <v>0</v>
      </c>
      <c r="L56" s="720">
        <v>1</v>
      </c>
      <c r="M56" s="721">
        <v>47.63</v>
      </c>
    </row>
    <row r="57" spans="1:13" ht="14.4" customHeight="1" x14ac:dyDescent="0.3">
      <c r="A57" s="710" t="s">
        <v>2094</v>
      </c>
      <c r="B57" s="711" t="s">
        <v>2055</v>
      </c>
      <c r="C57" s="711" t="s">
        <v>1580</v>
      </c>
      <c r="D57" s="711" t="s">
        <v>2058</v>
      </c>
      <c r="E57" s="711" t="s">
        <v>2059</v>
      </c>
      <c r="F57" s="720"/>
      <c r="G57" s="720"/>
      <c r="H57" s="716">
        <v>0</v>
      </c>
      <c r="I57" s="720">
        <v>1</v>
      </c>
      <c r="J57" s="720">
        <v>443.52</v>
      </c>
      <c r="K57" s="716">
        <v>1</v>
      </c>
      <c r="L57" s="720">
        <v>1</v>
      </c>
      <c r="M57" s="721">
        <v>443.52</v>
      </c>
    </row>
    <row r="58" spans="1:13" ht="14.4" customHeight="1" x14ac:dyDescent="0.3">
      <c r="A58" s="710" t="s">
        <v>2095</v>
      </c>
      <c r="B58" s="711" t="s">
        <v>1973</v>
      </c>
      <c r="C58" s="711" t="s">
        <v>1543</v>
      </c>
      <c r="D58" s="711" t="s">
        <v>1482</v>
      </c>
      <c r="E58" s="711" t="s">
        <v>1974</v>
      </c>
      <c r="F58" s="720"/>
      <c r="G58" s="720"/>
      <c r="H58" s="716">
        <v>0</v>
      </c>
      <c r="I58" s="720">
        <v>3</v>
      </c>
      <c r="J58" s="720">
        <v>146.94</v>
      </c>
      <c r="K58" s="716">
        <v>1</v>
      </c>
      <c r="L58" s="720">
        <v>3</v>
      </c>
      <c r="M58" s="721">
        <v>146.94</v>
      </c>
    </row>
    <row r="59" spans="1:13" ht="14.4" customHeight="1" x14ac:dyDescent="0.3">
      <c r="A59" s="710" t="s">
        <v>2095</v>
      </c>
      <c r="B59" s="711" t="s">
        <v>1980</v>
      </c>
      <c r="C59" s="711" t="s">
        <v>1532</v>
      </c>
      <c r="D59" s="711" t="s">
        <v>1533</v>
      </c>
      <c r="E59" s="711" t="s">
        <v>1534</v>
      </c>
      <c r="F59" s="720"/>
      <c r="G59" s="720"/>
      <c r="H59" s="716"/>
      <c r="I59" s="720">
        <v>1</v>
      </c>
      <c r="J59" s="720">
        <v>0</v>
      </c>
      <c r="K59" s="716"/>
      <c r="L59" s="720">
        <v>1</v>
      </c>
      <c r="M59" s="721">
        <v>0</v>
      </c>
    </row>
    <row r="60" spans="1:13" ht="14.4" customHeight="1" x14ac:dyDescent="0.3">
      <c r="A60" s="710" t="s">
        <v>2095</v>
      </c>
      <c r="B60" s="711" t="s">
        <v>1986</v>
      </c>
      <c r="C60" s="711" t="s">
        <v>1672</v>
      </c>
      <c r="D60" s="711" t="s">
        <v>1987</v>
      </c>
      <c r="E60" s="711" t="s">
        <v>1988</v>
      </c>
      <c r="F60" s="720"/>
      <c r="G60" s="720"/>
      <c r="H60" s="716">
        <v>0</v>
      </c>
      <c r="I60" s="720">
        <v>1</v>
      </c>
      <c r="J60" s="720">
        <v>156.25</v>
      </c>
      <c r="K60" s="716">
        <v>1</v>
      </c>
      <c r="L60" s="720">
        <v>1</v>
      </c>
      <c r="M60" s="721">
        <v>156.25</v>
      </c>
    </row>
    <row r="61" spans="1:13" ht="14.4" customHeight="1" x14ac:dyDescent="0.3">
      <c r="A61" s="710" t="s">
        <v>2095</v>
      </c>
      <c r="B61" s="711" t="s">
        <v>1991</v>
      </c>
      <c r="C61" s="711" t="s">
        <v>1700</v>
      </c>
      <c r="D61" s="711" t="s">
        <v>1518</v>
      </c>
      <c r="E61" s="711" t="s">
        <v>1701</v>
      </c>
      <c r="F61" s="720"/>
      <c r="G61" s="720"/>
      <c r="H61" s="716">
        <v>0</v>
      </c>
      <c r="I61" s="720">
        <v>1</v>
      </c>
      <c r="J61" s="720">
        <v>468.96</v>
      </c>
      <c r="K61" s="716">
        <v>1</v>
      </c>
      <c r="L61" s="720">
        <v>1</v>
      </c>
      <c r="M61" s="721">
        <v>468.96</v>
      </c>
    </row>
    <row r="62" spans="1:13" ht="14.4" customHeight="1" x14ac:dyDescent="0.3">
      <c r="A62" s="710" t="s">
        <v>2095</v>
      </c>
      <c r="B62" s="711" t="s">
        <v>1991</v>
      </c>
      <c r="C62" s="711" t="s">
        <v>1703</v>
      </c>
      <c r="D62" s="711" t="s">
        <v>1518</v>
      </c>
      <c r="E62" s="711" t="s">
        <v>1704</v>
      </c>
      <c r="F62" s="720"/>
      <c r="G62" s="720"/>
      <c r="H62" s="716">
        <v>0</v>
      </c>
      <c r="I62" s="720">
        <v>3</v>
      </c>
      <c r="J62" s="720">
        <v>1875.87</v>
      </c>
      <c r="K62" s="716">
        <v>1</v>
      </c>
      <c r="L62" s="720">
        <v>3</v>
      </c>
      <c r="M62" s="721">
        <v>1875.87</v>
      </c>
    </row>
    <row r="63" spans="1:13" ht="14.4" customHeight="1" x14ac:dyDescent="0.3">
      <c r="A63" s="710" t="s">
        <v>2095</v>
      </c>
      <c r="B63" s="711" t="s">
        <v>1991</v>
      </c>
      <c r="C63" s="711" t="s">
        <v>1517</v>
      </c>
      <c r="D63" s="711" t="s">
        <v>1518</v>
      </c>
      <c r="E63" s="711" t="s">
        <v>1519</v>
      </c>
      <c r="F63" s="720"/>
      <c r="G63" s="720"/>
      <c r="H63" s="716">
        <v>0</v>
      </c>
      <c r="I63" s="720">
        <v>6</v>
      </c>
      <c r="J63" s="720">
        <v>5627.58</v>
      </c>
      <c r="K63" s="716">
        <v>1</v>
      </c>
      <c r="L63" s="720">
        <v>6</v>
      </c>
      <c r="M63" s="721">
        <v>5627.58</v>
      </c>
    </row>
    <row r="64" spans="1:13" ht="14.4" customHeight="1" x14ac:dyDescent="0.3">
      <c r="A64" s="710" t="s">
        <v>2095</v>
      </c>
      <c r="B64" s="711" t="s">
        <v>1991</v>
      </c>
      <c r="C64" s="711" t="s">
        <v>2203</v>
      </c>
      <c r="D64" s="711" t="s">
        <v>1571</v>
      </c>
      <c r="E64" s="711" t="s">
        <v>1522</v>
      </c>
      <c r="F64" s="720"/>
      <c r="G64" s="720"/>
      <c r="H64" s="716">
        <v>0</v>
      </c>
      <c r="I64" s="720">
        <v>2</v>
      </c>
      <c r="J64" s="720">
        <v>4665.84</v>
      </c>
      <c r="K64" s="716">
        <v>1</v>
      </c>
      <c r="L64" s="720">
        <v>2</v>
      </c>
      <c r="M64" s="721">
        <v>4665.84</v>
      </c>
    </row>
    <row r="65" spans="1:13" ht="14.4" customHeight="1" x14ac:dyDescent="0.3">
      <c r="A65" s="710" t="s">
        <v>2095</v>
      </c>
      <c r="B65" s="711" t="s">
        <v>2001</v>
      </c>
      <c r="C65" s="711" t="s">
        <v>2169</v>
      </c>
      <c r="D65" s="711" t="s">
        <v>1627</v>
      </c>
      <c r="E65" s="711" t="s">
        <v>1399</v>
      </c>
      <c r="F65" s="720"/>
      <c r="G65" s="720"/>
      <c r="H65" s="716"/>
      <c r="I65" s="720">
        <v>4</v>
      </c>
      <c r="J65" s="720">
        <v>0</v>
      </c>
      <c r="K65" s="716"/>
      <c r="L65" s="720">
        <v>4</v>
      </c>
      <c r="M65" s="721">
        <v>0</v>
      </c>
    </row>
    <row r="66" spans="1:13" ht="14.4" customHeight="1" x14ac:dyDescent="0.3">
      <c r="A66" s="710" t="s">
        <v>2095</v>
      </c>
      <c r="B66" s="711" t="s">
        <v>2003</v>
      </c>
      <c r="C66" s="711" t="s">
        <v>2210</v>
      </c>
      <c r="D66" s="711" t="s">
        <v>2211</v>
      </c>
      <c r="E66" s="711" t="s">
        <v>1641</v>
      </c>
      <c r="F66" s="720">
        <v>1</v>
      </c>
      <c r="G66" s="720">
        <v>67.42</v>
      </c>
      <c r="H66" s="716">
        <v>1</v>
      </c>
      <c r="I66" s="720"/>
      <c r="J66" s="720"/>
      <c r="K66" s="716">
        <v>0</v>
      </c>
      <c r="L66" s="720">
        <v>1</v>
      </c>
      <c r="M66" s="721">
        <v>67.42</v>
      </c>
    </row>
    <row r="67" spans="1:13" ht="14.4" customHeight="1" x14ac:dyDescent="0.3">
      <c r="A67" s="710" t="s">
        <v>2095</v>
      </c>
      <c r="B67" s="711" t="s">
        <v>2011</v>
      </c>
      <c r="C67" s="711" t="s">
        <v>1665</v>
      </c>
      <c r="D67" s="711" t="s">
        <v>1666</v>
      </c>
      <c r="E67" s="711" t="s">
        <v>1667</v>
      </c>
      <c r="F67" s="720"/>
      <c r="G67" s="720"/>
      <c r="H67" s="716">
        <v>0</v>
      </c>
      <c r="I67" s="720">
        <v>1</v>
      </c>
      <c r="J67" s="720">
        <v>143.71</v>
      </c>
      <c r="K67" s="716">
        <v>1</v>
      </c>
      <c r="L67" s="720">
        <v>1</v>
      </c>
      <c r="M67" s="721">
        <v>143.71</v>
      </c>
    </row>
    <row r="68" spans="1:13" ht="14.4" customHeight="1" x14ac:dyDescent="0.3">
      <c r="A68" s="710" t="s">
        <v>2095</v>
      </c>
      <c r="B68" s="711" t="s">
        <v>2013</v>
      </c>
      <c r="C68" s="711" t="s">
        <v>2170</v>
      </c>
      <c r="D68" s="711" t="s">
        <v>2171</v>
      </c>
      <c r="E68" s="711" t="s">
        <v>942</v>
      </c>
      <c r="F68" s="720">
        <v>1</v>
      </c>
      <c r="G68" s="720">
        <v>130.59</v>
      </c>
      <c r="H68" s="716">
        <v>1</v>
      </c>
      <c r="I68" s="720"/>
      <c r="J68" s="720"/>
      <c r="K68" s="716">
        <v>0</v>
      </c>
      <c r="L68" s="720">
        <v>1</v>
      </c>
      <c r="M68" s="721">
        <v>130.59</v>
      </c>
    </row>
    <row r="69" spans="1:13" ht="14.4" customHeight="1" x14ac:dyDescent="0.3">
      <c r="A69" s="710" t="s">
        <v>2095</v>
      </c>
      <c r="B69" s="711" t="s">
        <v>2686</v>
      </c>
      <c r="C69" s="711" t="s">
        <v>2175</v>
      </c>
      <c r="D69" s="711" t="s">
        <v>2176</v>
      </c>
      <c r="E69" s="711" t="s">
        <v>2177</v>
      </c>
      <c r="F69" s="720">
        <v>1</v>
      </c>
      <c r="G69" s="720">
        <v>145.15</v>
      </c>
      <c r="H69" s="716">
        <v>1</v>
      </c>
      <c r="I69" s="720"/>
      <c r="J69" s="720"/>
      <c r="K69" s="716">
        <v>0</v>
      </c>
      <c r="L69" s="720">
        <v>1</v>
      </c>
      <c r="M69" s="721">
        <v>145.15</v>
      </c>
    </row>
    <row r="70" spans="1:13" ht="14.4" customHeight="1" x14ac:dyDescent="0.3">
      <c r="A70" s="710" t="s">
        <v>2095</v>
      </c>
      <c r="B70" s="711" t="s">
        <v>2050</v>
      </c>
      <c r="C70" s="711" t="s">
        <v>1612</v>
      </c>
      <c r="D70" s="711" t="s">
        <v>1613</v>
      </c>
      <c r="E70" s="711" t="s">
        <v>1614</v>
      </c>
      <c r="F70" s="720"/>
      <c r="G70" s="720"/>
      <c r="H70" s="716">
        <v>0</v>
      </c>
      <c r="I70" s="720">
        <v>1</v>
      </c>
      <c r="J70" s="720">
        <v>95.25</v>
      </c>
      <c r="K70" s="716">
        <v>1</v>
      </c>
      <c r="L70" s="720">
        <v>1</v>
      </c>
      <c r="M70" s="721">
        <v>95.25</v>
      </c>
    </row>
    <row r="71" spans="1:13" ht="14.4" customHeight="1" x14ac:dyDescent="0.3">
      <c r="A71" s="710" t="s">
        <v>2095</v>
      </c>
      <c r="B71" s="711" t="s">
        <v>2060</v>
      </c>
      <c r="C71" s="711" t="s">
        <v>1737</v>
      </c>
      <c r="D71" s="711" t="s">
        <v>1738</v>
      </c>
      <c r="E71" s="711" t="s">
        <v>1739</v>
      </c>
      <c r="F71" s="720"/>
      <c r="G71" s="720"/>
      <c r="H71" s="716">
        <v>0</v>
      </c>
      <c r="I71" s="720">
        <v>1</v>
      </c>
      <c r="J71" s="720">
        <v>306.04000000000002</v>
      </c>
      <c r="K71" s="716">
        <v>1</v>
      </c>
      <c r="L71" s="720">
        <v>1</v>
      </c>
      <c r="M71" s="721">
        <v>306.04000000000002</v>
      </c>
    </row>
    <row r="72" spans="1:13" ht="14.4" customHeight="1" x14ac:dyDescent="0.3">
      <c r="A72" s="710" t="s">
        <v>2095</v>
      </c>
      <c r="B72" s="711" t="s">
        <v>2062</v>
      </c>
      <c r="C72" s="711" t="s">
        <v>1584</v>
      </c>
      <c r="D72" s="711" t="s">
        <v>2063</v>
      </c>
      <c r="E72" s="711" t="s">
        <v>2064</v>
      </c>
      <c r="F72" s="720"/>
      <c r="G72" s="720"/>
      <c r="H72" s="716">
        <v>0</v>
      </c>
      <c r="I72" s="720">
        <v>1</v>
      </c>
      <c r="J72" s="720">
        <v>6.98</v>
      </c>
      <c r="K72" s="716">
        <v>1</v>
      </c>
      <c r="L72" s="720">
        <v>1</v>
      </c>
      <c r="M72" s="721">
        <v>6.98</v>
      </c>
    </row>
    <row r="73" spans="1:13" ht="14.4" customHeight="1" x14ac:dyDescent="0.3">
      <c r="A73" s="710" t="s">
        <v>2095</v>
      </c>
      <c r="B73" s="711" t="s">
        <v>2068</v>
      </c>
      <c r="C73" s="711" t="s">
        <v>1682</v>
      </c>
      <c r="D73" s="711" t="s">
        <v>1683</v>
      </c>
      <c r="E73" s="711" t="s">
        <v>818</v>
      </c>
      <c r="F73" s="720"/>
      <c r="G73" s="720"/>
      <c r="H73" s="716">
        <v>0</v>
      </c>
      <c r="I73" s="720">
        <v>1</v>
      </c>
      <c r="J73" s="720">
        <v>232.44</v>
      </c>
      <c r="K73" s="716">
        <v>1</v>
      </c>
      <c r="L73" s="720">
        <v>1</v>
      </c>
      <c r="M73" s="721">
        <v>232.44</v>
      </c>
    </row>
    <row r="74" spans="1:13" ht="14.4" customHeight="1" x14ac:dyDescent="0.3">
      <c r="A74" s="710" t="s">
        <v>2095</v>
      </c>
      <c r="B74" s="711" t="s">
        <v>2072</v>
      </c>
      <c r="C74" s="711" t="s">
        <v>1706</v>
      </c>
      <c r="D74" s="711" t="s">
        <v>1707</v>
      </c>
      <c r="E74" s="711" t="s">
        <v>2073</v>
      </c>
      <c r="F74" s="720"/>
      <c r="G74" s="720"/>
      <c r="H74" s="716">
        <v>0</v>
      </c>
      <c r="I74" s="720">
        <v>1</v>
      </c>
      <c r="J74" s="720">
        <v>172</v>
      </c>
      <c r="K74" s="716">
        <v>1</v>
      </c>
      <c r="L74" s="720">
        <v>1</v>
      </c>
      <c r="M74" s="721">
        <v>172</v>
      </c>
    </row>
    <row r="75" spans="1:13" ht="14.4" customHeight="1" x14ac:dyDescent="0.3">
      <c r="A75" s="710" t="s">
        <v>2096</v>
      </c>
      <c r="B75" s="711" t="s">
        <v>1973</v>
      </c>
      <c r="C75" s="711" t="s">
        <v>1543</v>
      </c>
      <c r="D75" s="711" t="s">
        <v>1482</v>
      </c>
      <c r="E75" s="711" t="s">
        <v>1974</v>
      </c>
      <c r="F75" s="720"/>
      <c r="G75" s="720"/>
      <c r="H75" s="716">
        <v>0</v>
      </c>
      <c r="I75" s="720">
        <v>3</v>
      </c>
      <c r="J75" s="720">
        <v>146.94</v>
      </c>
      <c r="K75" s="716">
        <v>1</v>
      </c>
      <c r="L75" s="720">
        <v>3</v>
      </c>
      <c r="M75" s="721">
        <v>146.94</v>
      </c>
    </row>
    <row r="76" spans="1:13" ht="14.4" customHeight="1" x14ac:dyDescent="0.3">
      <c r="A76" s="710" t="s">
        <v>2096</v>
      </c>
      <c r="B76" s="711" t="s">
        <v>1976</v>
      </c>
      <c r="C76" s="711" t="s">
        <v>2269</v>
      </c>
      <c r="D76" s="711" t="s">
        <v>1977</v>
      </c>
      <c r="E76" s="711" t="s">
        <v>2270</v>
      </c>
      <c r="F76" s="720"/>
      <c r="G76" s="720"/>
      <c r="H76" s="716">
        <v>0</v>
      </c>
      <c r="I76" s="720">
        <v>1</v>
      </c>
      <c r="J76" s="720">
        <v>97.97</v>
      </c>
      <c r="K76" s="716">
        <v>1</v>
      </c>
      <c r="L76" s="720">
        <v>1</v>
      </c>
      <c r="M76" s="721">
        <v>97.97</v>
      </c>
    </row>
    <row r="77" spans="1:13" ht="14.4" customHeight="1" x14ac:dyDescent="0.3">
      <c r="A77" s="710" t="s">
        <v>2096</v>
      </c>
      <c r="B77" s="711" t="s">
        <v>1979</v>
      </c>
      <c r="C77" s="711" t="s">
        <v>1576</v>
      </c>
      <c r="D77" s="711" t="s">
        <v>1577</v>
      </c>
      <c r="E77" s="711" t="s">
        <v>1578</v>
      </c>
      <c r="F77" s="720"/>
      <c r="G77" s="720"/>
      <c r="H77" s="716">
        <v>0</v>
      </c>
      <c r="I77" s="720">
        <v>1</v>
      </c>
      <c r="J77" s="720">
        <v>56.01</v>
      </c>
      <c r="K77" s="716">
        <v>1</v>
      </c>
      <c r="L77" s="720">
        <v>1</v>
      </c>
      <c r="M77" s="721">
        <v>56.01</v>
      </c>
    </row>
    <row r="78" spans="1:13" ht="14.4" customHeight="1" x14ac:dyDescent="0.3">
      <c r="A78" s="710" t="s">
        <v>2096</v>
      </c>
      <c r="B78" s="711" t="s">
        <v>1986</v>
      </c>
      <c r="C78" s="711" t="s">
        <v>1672</v>
      </c>
      <c r="D78" s="711" t="s">
        <v>1987</v>
      </c>
      <c r="E78" s="711" t="s">
        <v>1988</v>
      </c>
      <c r="F78" s="720"/>
      <c r="G78" s="720"/>
      <c r="H78" s="716">
        <v>0</v>
      </c>
      <c r="I78" s="720">
        <v>1</v>
      </c>
      <c r="J78" s="720">
        <v>156.25</v>
      </c>
      <c r="K78" s="716">
        <v>1</v>
      </c>
      <c r="L78" s="720">
        <v>1</v>
      </c>
      <c r="M78" s="721">
        <v>156.25</v>
      </c>
    </row>
    <row r="79" spans="1:13" ht="14.4" customHeight="1" x14ac:dyDescent="0.3">
      <c r="A79" s="710" t="s">
        <v>2096</v>
      </c>
      <c r="B79" s="711" t="s">
        <v>1991</v>
      </c>
      <c r="C79" s="711" t="s">
        <v>1517</v>
      </c>
      <c r="D79" s="711" t="s">
        <v>1518</v>
      </c>
      <c r="E79" s="711" t="s">
        <v>1519</v>
      </c>
      <c r="F79" s="720"/>
      <c r="G79" s="720"/>
      <c r="H79" s="716">
        <v>0</v>
      </c>
      <c r="I79" s="720">
        <v>4</v>
      </c>
      <c r="J79" s="720">
        <v>3751.72</v>
      </c>
      <c r="K79" s="716">
        <v>1</v>
      </c>
      <c r="L79" s="720">
        <v>4</v>
      </c>
      <c r="M79" s="721">
        <v>3751.72</v>
      </c>
    </row>
    <row r="80" spans="1:13" ht="14.4" customHeight="1" x14ac:dyDescent="0.3">
      <c r="A80" s="710" t="s">
        <v>2096</v>
      </c>
      <c r="B80" s="711" t="s">
        <v>1994</v>
      </c>
      <c r="C80" s="711" t="s">
        <v>1499</v>
      </c>
      <c r="D80" s="711" t="s">
        <v>1500</v>
      </c>
      <c r="E80" s="711" t="s">
        <v>1995</v>
      </c>
      <c r="F80" s="720"/>
      <c r="G80" s="720"/>
      <c r="H80" s="716">
        <v>0</v>
      </c>
      <c r="I80" s="720">
        <v>1</v>
      </c>
      <c r="J80" s="720">
        <v>75.28</v>
      </c>
      <c r="K80" s="716">
        <v>1</v>
      </c>
      <c r="L80" s="720">
        <v>1</v>
      </c>
      <c r="M80" s="721">
        <v>75.28</v>
      </c>
    </row>
    <row r="81" spans="1:13" ht="14.4" customHeight="1" x14ac:dyDescent="0.3">
      <c r="A81" s="710" t="s">
        <v>2096</v>
      </c>
      <c r="B81" s="711" t="s">
        <v>2687</v>
      </c>
      <c r="C81" s="711" t="s">
        <v>2279</v>
      </c>
      <c r="D81" s="711" t="s">
        <v>2280</v>
      </c>
      <c r="E81" s="711" t="s">
        <v>2281</v>
      </c>
      <c r="F81" s="720"/>
      <c r="G81" s="720"/>
      <c r="H81" s="716">
        <v>0</v>
      </c>
      <c r="I81" s="720">
        <v>1</v>
      </c>
      <c r="J81" s="720">
        <v>146.99</v>
      </c>
      <c r="K81" s="716">
        <v>1</v>
      </c>
      <c r="L81" s="720">
        <v>1</v>
      </c>
      <c r="M81" s="721">
        <v>146.99</v>
      </c>
    </row>
    <row r="82" spans="1:13" ht="14.4" customHeight="1" x14ac:dyDescent="0.3">
      <c r="A82" s="710" t="s">
        <v>2096</v>
      </c>
      <c r="B82" s="711" t="s">
        <v>1999</v>
      </c>
      <c r="C82" s="711" t="s">
        <v>1536</v>
      </c>
      <c r="D82" s="711" t="s">
        <v>1537</v>
      </c>
      <c r="E82" s="711" t="s">
        <v>1538</v>
      </c>
      <c r="F82" s="720"/>
      <c r="G82" s="720"/>
      <c r="H82" s="716">
        <v>0</v>
      </c>
      <c r="I82" s="720">
        <v>1</v>
      </c>
      <c r="J82" s="720">
        <v>44.89</v>
      </c>
      <c r="K82" s="716">
        <v>1</v>
      </c>
      <c r="L82" s="720">
        <v>1</v>
      </c>
      <c r="M82" s="721">
        <v>44.89</v>
      </c>
    </row>
    <row r="83" spans="1:13" ht="14.4" customHeight="1" x14ac:dyDescent="0.3">
      <c r="A83" s="710" t="s">
        <v>2096</v>
      </c>
      <c r="B83" s="711" t="s">
        <v>2001</v>
      </c>
      <c r="C83" s="711" t="s">
        <v>2169</v>
      </c>
      <c r="D83" s="711" t="s">
        <v>1627</v>
      </c>
      <c r="E83" s="711" t="s">
        <v>1399</v>
      </c>
      <c r="F83" s="720"/>
      <c r="G83" s="720"/>
      <c r="H83" s="716"/>
      <c r="I83" s="720">
        <v>1</v>
      </c>
      <c r="J83" s="720">
        <v>0</v>
      </c>
      <c r="K83" s="716"/>
      <c r="L83" s="720">
        <v>1</v>
      </c>
      <c r="M83" s="721">
        <v>0</v>
      </c>
    </row>
    <row r="84" spans="1:13" ht="14.4" customHeight="1" x14ac:dyDescent="0.3">
      <c r="A84" s="710" t="s">
        <v>2096</v>
      </c>
      <c r="B84" s="711" t="s">
        <v>2002</v>
      </c>
      <c r="C84" s="711" t="s">
        <v>1731</v>
      </c>
      <c r="D84" s="711" t="s">
        <v>1732</v>
      </c>
      <c r="E84" s="711" t="s">
        <v>1497</v>
      </c>
      <c r="F84" s="720"/>
      <c r="G84" s="720"/>
      <c r="H84" s="716">
        <v>0</v>
      </c>
      <c r="I84" s="720">
        <v>1</v>
      </c>
      <c r="J84" s="720">
        <v>41.53</v>
      </c>
      <c r="K84" s="716">
        <v>1</v>
      </c>
      <c r="L84" s="720">
        <v>1</v>
      </c>
      <c r="M84" s="721">
        <v>41.53</v>
      </c>
    </row>
    <row r="85" spans="1:13" ht="14.4" customHeight="1" x14ac:dyDescent="0.3">
      <c r="A85" s="710" t="s">
        <v>2096</v>
      </c>
      <c r="B85" s="711" t="s">
        <v>2004</v>
      </c>
      <c r="C85" s="711" t="s">
        <v>1562</v>
      </c>
      <c r="D85" s="711" t="s">
        <v>2005</v>
      </c>
      <c r="E85" s="711" t="s">
        <v>1399</v>
      </c>
      <c r="F85" s="720"/>
      <c r="G85" s="720"/>
      <c r="H85" s="716">
        <v>0</v>
      </c>
      <c r="I85" s="720">
        <v>1</v>
      </c>
      <c r="J85" s="720">
        <v>67.42</v>
      </c>
      <c r="K85" s="716">
        <v>1</v>
      </c>
      <c r="L85" s="720">
        <v>1</v>
      </c>
      <c r="M85" s="721">
        <v>67.42</v>
      </c>
    </row>
    <row r="86" spans="1:13" ht="14.4" customHeight="1" x14ac:dyDescent="0.3">
      <c r="A86" s="710" t="s">
        <v>2096</v>
      </c>
      <c r="B86" s="711" t="s">
        <v>2009</v>
      </c>
      <c r="C86" s="711" t="s">
        <v>1609</v>
      </c>
      <c r="D86" s="711" t="s">
        <v>1610</v>
      </c>
      <c r="E86" s="711" t="s">
        <v>837</v>
      </c>
      <c r="F86" s="720"/>
      <c r="G86" s="720"/>
      <c r="H86" s="716">
        <v>0</v>
      </c>
      <c r="I86" s="720">
        <v>1</v>
      </c>
      <c r="J86" s="720">
        <v>101.68</v>
      </c>
      <c r="K86" s="716">
        <v>1</v>
      </c>
      <c r="L86" s="720">
        <v>1</v>
      </c>
      <c r="M86" s="721">
        <v>101.68</v>
      </c>
    </row>
    <row r="87" spans="1:13" ht="14.4" customHeight="1" x14ac:dyDescent="0.3">
      <c r="A87" s="710" t="s">
        <v>2096</v>
      </c>
      <c r="B87" s="711" t="s">
        <v>2021</v>
      </c>
      <c r="C87" s="711" t="s">
        <v>2271</v>
      </c>
      <c r="D87" s="711" t="s">
        <v>2272</v>
      </c>
      <c r="E87" s="711" t="s">
        <v>2273</v>
      </c>
      <c r="F87" s="720"/>
      <c r="G87" s="720"/>
      <c r="H87" s="716">
        <v>0</v>
      </c>
      <c r="I87" s="720">
        <v>1</v>
      </c>
      <c r="J87" s="720">
        <v>65.069999999999993</v>
      </c>
      <c r="K87" s="716">
        <v>1</v>
      </c>
      <c r="L87" s="720">
        <v>1</v>
      </c>
      <c r="M87" s="721">
        <v>65.069999999999993</v>
      </c>
    </row>
    <row r="88" spans="1:13" ht="14.4" customHeight="1" x14ac:dyDescent="0.3">
      <c r="A88" s="710" t="s">
        <v>2096</v>
      </c>
      <c r="B88" s="711" t="s">
        <v>2034</v>
      </c>
      <c r="C88" s="711" t="s">
        <v>1855</v>
      </c>
      <c r="D88" s="711" t="s">
        <v>1856</v>
      </c>
      <c r="E88" s="711" t="s">
        <v>2036</v>
      </c>
      <c r="F88" s="720"/>
      <c r="G88" s="720"/>
      <c r="H88" s="716">
        <v>0</v>
      </c>
      <c r="I88" s="720">
        <v>1</v>
      </c>
      <c r="J88" s="720">
        <v>116.8</v>
      </c>
      <c r="K88" s="716">
        <v>1</v>
      </c>
      <c r="L88" s="720">
        <v>1</v>
      </c>
      <c r="M88" s="721">
        <v>116.8</v>
      </c>
    </row>
    <row r="89" spans="1:13" ht="14.4" customHeight="1" x14ac:dyDescent="0.3">
      <c r="A89" s="710" t="s">
        <v>2096</v>
      </c>
      <c r="B89" s="711" t="s">
        <v>2050</v>
      </c>
      <c r="C89" s="711" t="s">
        <v>2238</v>
      </c>
      <c r="D89" s="711" t="s">
        <v>1613</v>
      </c>
      <c r="E89" s="711" t="s">
        <v>2103</v>
      </c>
      <c r="F89" s="720">
        <v>1</v>
      </c>
      <c r="G89" s="720">
        <v>0</v>
      </c>
      <c r="H89" s="716"/>
      <c r="I89" s="720"/>
      <c r="J89" s="720"/>
      <c r="K89" s="716"/>
      <c r="L89" s="720">
        <v>1</v>
      </c>
      <c r="M89" s="721">
        <v>0</v>
      </c>
    </row>
    <row r="90" spans="1:13" ht="14.4" customHeight="1" x14ac:dyDescent="0.3">
      <c r="A90" s="710" t="s">
        <v>2096</v>
      </c>
      <c r="B90" s="711" t="s">
        <v>2052</v>
      </c>
      <c r="C90" s="711" t="s">
        <v>2299</v>
      </c>
      <c r="D90" s="711" t="s">
        <v>1567</v>
      </c>
      <c r="E90" s="711" t="s">
        <v>2300</v>
      </c>
      <c r="F90" s="720"/>
      <c r="G90" s="720"/>
      <c r="H90" s="716">
        <v>0</v>
      </c>
      <c r="I90" s="720">
        <v>1</v>
      </c>
      <c r="J90" s="720">
        <v>32.74</v>
      </c>
      <c r="K90" s="716">
        <v>1</v>
      </c>
      <c r="L90" s="720">
        <v>1</v>
      </c>
      <c r="M90" s="721">
        <v>32.74</v>
      </c>
    </row>
    <row r="91" spans="1:13" ht="14.4" customHeight="1" x14ac:dyDescent="0.3">
      <c r="A91" s="710" t="s">
        <v>2096</v>
      </c>
      <c r="B91" s="711" t="s">
        <v>2052</v>
      </c>
      <c r="C91" s="711" t="s">
        <v>1566</v>
      </c>
      <c r="D91" s="711" t="s">
        <v>1567</v>
      </c>
      <c r="E91" s="711" t="s">
        <v>2053</v>
      </c>
      <c r="F91" s="720"/>
      <c r="G91" s="720"/>
      <c r="H91" s="716">
        <v>0</v>
      </c>
      <c r="I91" s="720">
        <v>1</v>
      </c>
      <c r="J91" s="720">
        <v>98.23</v>
      </c>
      <c r="K91" s="716">
        <v>1</v>
      </c>
      <c r="L91" s="720">
        <v>1</v>
      </c>
      <c r="M91" s="721">
        <v>98.23</v>
      </c>
    </row>
    <row r="92" spans="1:13" ht="14.4" customHeight="1" x14ac:dyDescent="0.3">
      <c r="A92" s="710" t="s">
        <v>2096</v>
      </c>
      <c r="B92" s="711" t="s">
        <v>2055</v>
      </c>
      <c r="C92" s="711" t="s">
        <v>1580</v>
      </c>
      <c r="D92" s="711" t="s">
        <v>2058</v>
      </c>
      <c r="E92" s="711" t="s">
        <v>2059</v>
      </c>
      <c r="F92" s="720"/>
      <c r="G92" s="720"/>
      <c r="H92" s="716">
        <v>0</v>
      </c>
      <c r="I92" s="720">
        <v>1</v>
      </c>
      <c r="J92" s="720">
        <v>443.52</v>
      </c>
      <c r="K92" s="716">
        <v>1</v>
      </c>
      <c r="L92" s="720">
        <v>1</v>
      </c>
      <c r="M92" s="721">
        <v>443.52</v>
      </c>
    </row>
    <row r="93" spans="1:13" ht="14.4" customHeight="1" x14ac:dyDescent="0.3">
      <c r="A93" s="710" t="s">
        <v>2096</v>
      </c>
      <c r="B93" s="711" t="s">
        <v>2062</v>
      </c>
      <c r="C93" s="711" t="s">
        <v>1584</v>
      </c>
      <c r="D93" s="711" t="s">
        <v>2063</v>
      </c>
      <c r="E93" s="711" t="s">
        <v>2064</v>
      </c>
      <c r="F93" s="720"/>
      <c r="G93" s="720"/>
      <c r="H93" s="716">
        <v>0</v>
      </c>
      <c r="I93" s="720">
        <v>2</v>
      </c>
      <c r="J93" s="720">
        <v>13.96</v>
      </c>
      <c r="K93" s="716">
        <v>1</v>
      </c>
      <c r="L93" s="720">
        <v>2</v>
      </c>
      <c r="M93" s="721">
        <v>13.96</v>
      </c>
    </row>
    <row r="94" spans="1:13" ht="14.4" customHeight="1" x14ac:dyDescent="0.3">
      <c r="A94" s="710" t="s">
        <v>2096</v>
      </c>
      <c r="B94" s="711" t="s">
        <v>2065</v>
      </c>
      <c r="C94" s="711" t="s">
        <v>1721</v>
      </c>
      <c r="D94" s="711" t="s">
        <v>1722</v>
      </c>
      <c r="E94" s="711" t="s">
        <v>2067</v>
      </c>
      <c r="F94" s="720"/>
      <c r="G94" s="720"/>
      <c r="H94" s="716">
        <v>0</v>
      </c>
      <c r="I94" s="720">
        <v>1</v>
      </c>
      <c r="J94" s="720">
        <v>216.16</v>
      </c>
      <c r="K94" s="716">
        <v>1</v>
      </c>
      <c r="L94" s="720">
        <v>1</v>
      </c>
      <c r="M94" s="721">
        <v>216.16</v>
      </c>
    </row>
    <row r="95" spans="1:13" ht="14.4" customHeight="1" x14ac:dyDescent="0.3">
      <c r="A95" s="710" t="s">
        <v>2096</v>
      </c>
      <c r="B95" s="711" t="s">
        <v>2068</v>
      </c>
      <c r="C95" s="711" t="s">
        <v>1682</v>
      </c>
      <c r="D95" s="711" t="s">
        <v>1683</v>
      </c>
      <c r="E95" s="711" t="s">
        <v>818</v>
      </c>
      <c r="F95" s="720"/>
      <c r="G95" s="720"/>
      <c r="H95" s="716">
        <v>0</v>
      </c>
      <c r="I95" s="720">
        <v>1</v>
      </c>
      <c r="J95" s="720">
        <v>232.44</v>
      </c>
      <c r="K95" s="716">
        <v>1</v>
      </c>
      <c r="L95" s="720">
        <v>1</v>
      </c>
      <c r="M95" s="721">
        <v>232.44</v>
      </c>
    </row>
    <row r="96" spans="1:13" ht="14.4" customHeight="1" x14ac:dyDescent="0.3">
      <c r="A96" s="710" t="s">
        <v>2097</v>
      </c>
      <c r="B96" s="711" t="s">
        <v>1973</v>
      </c>
      <c r="C96" s="711" t="s">
        <v>1543</v>
      </c>
      <c r="D96" s="711" t="s">
        <v>1482</v>
      </c>
      <c r="E96" s="711" t="s">
        <v>1974</v>
      </c>
      <c r="F96" s="720"/>
      <c r="G96" s="720"/>
      <c r="H96" s="716">
        <v>0</v>
      </c>
      <c r="I96" s="720">
        <v>1</v>
      </c>
      <c r="J96" s="720">
        <v>48.98</v>
      </c>
      <c r="K96" s="716">
        <v>1</v>
      </c>
      <c r="L96" s="720">
        <v>1</v>
      </c>
      <c r="M96" s="721">
        <v>48.98</v>
      </c>
    </row>
    <row r="97" spans="1:13" ht="14.4" customHeight="1" x14ac:dyDescent="0.3">
      <c r="A97" s="710" t="s">
        <v>2097</v>
      </c>
      <c r="B97" s="711" t="s">
        <v>1973</v>
      </c>
      <c r="C97" s="711" t="s">
        <v>2339</v>
      </c>
      <c r="D97" s="711" t="s">
        <v>1547</v>
      </c>
      <c r="E97" s="711" t="s">
        <v>1548</v>
      </c>
      <c r="F97" s="720"/>
      <c r="G97" s="720"/>
      <c r="H97" s="716"/>
      <c r="I97" s="720">
        <v>1</v>
      </c>
      <c r="J97" s="720">
        <v>0</v>
      </c>
      <c r="K97" s="716"/>
      <c r="L97" s="720">
        <v>1</v>
      </c>
      <c r="M97" s="721">
        <v>0</v>
      </c>
    </row>
    <row r="98" spans="1:13" ht="14.4" customHeight="1" x14ac:dyDescent="0.3">
      <c r="A98" s="710" t="s">
        <v>2097</v>
      </c>
      <c r="B98" s="711" t="s">
        <v>1986</v>
      </c>
      <c r="C98" s="711" t="s">
        <v>2352</v>
      </c>
      <c r="D98" s="711" t="s">
        <v>2353</v>
      </c>
      <c r="E98" s="711" t="s">
        <v>2354</v>
      </c>
      <c r="F98" s="720"/>
      <c r="G98" s="720"/>
      <c r="H98" s="716">
        <v>0</v>
      </c>
      <c r="I98" s="720">
        <v>1</v>
      </c>
      <c r="J98" s="720">
        <v>96.57</v>
      </c>
      <c r="K98" s="716">
        <v>1</v>
      </c>
      <c r="L98" s="720">
        <v>1</v>
      </c>
      <c r="M98" s="721">
        <v>96.57</v>
      </c>
    </row>
    <row r="99" spans="1:13" ht="14.4" customHeight="1" x14ac:dyDescent="0.3">
      <c r="A99" s="710" t="s">
        <v>2097</v>
      </c>
      <c r="B99" s="711" t="s">
        <v>1986</v>
      </c>
      <c r="C99" s="711" t="s">
        <v>1672</v>
      </c>
      <c r="D99" s="711" t="s">
        <v>1987</v>
      </c>
      <c r="E99" s="711" t="s">
        <v>1988</v>
      </c>
      <c r="F99" s="720"/>
      <c r="G99" s="720"/>
      <c r="H99" s="716">
        <v>0</v>
      </c>
      <c r="I99" s="720">
        <v>1</v>
      </c>
      <c r="J99" s="720">
        <v>156.25</v>
      </c>
      <c r="K99" s="716">
        <v>1</v>
      </c>
      <c r="L99" s="720">
        <v>1</v>
      </c>
      <c r="M99" s="721">
        <v>156.25</v>
      </c>
    </row>
    <row r="100" spans="1:13" ht="14.4" customHeight="1" x14ac:dyDescent="0.3">
      <c r="A100" s="710" t="s">
        <v>2097</v>
      </c>
      <c r="B100" s="711" t="s">
        <v>1991</v>
      </c>
      <c r="C100" s="711" t="s">
        <v>1703</v>
      </c>
      <c r="D100" s="711" t="s">
        <v>1518</v>
      </c>
      <c r="E100" s="711" t="s">
        <v>1704</v>
      </c>
      <c r="F100" s="720"/>
      <c r="G100" s="720"/>
      <c r="H100" s="716">
        <v>0</v>
      </c>
      <c r="I100" s="720">
        <v>2</v>
      </c>
      <c r="J100" s="720">
        <v>1250.58</v>
      </c>
      <c r="K100" s="716">
        <v>1</v>
      </c>
      <c r="L100" s="720">
        <v>2</v>
      </c>
      <c r="M100" s="721">
        <v>1250.58</v>
      </c>
    </row>
    <row r="101" spans="1:13" ht="14.4" customHeight="1" x14ac:dyDescent="0.3">
      <c r="A101" s="710" t="s">
        <v>2097</v>
      </c>
      <c r="B101" s="711" t="s">
        <v>1991</v>
      </c>
      <c r="C101" s="711" t="s">
        <v>1517</v>
      </c>
      <c r="D101" s="711" t="s">
        <v>1518</v>
      </c>
      <c r="E101" s="711" t="s">
        <v>1519</v>
      </c>
      <c r="F101" s="720"/>
      <c r="G101" s="720"/>
      <c r="H101" s="716">
        <v>0</v>
      </c>
      <c r="I101" s="720">
        <v>2</v>
      </c>
      <c r="J101" s="720">
        <v>1875.86</v>
      </c>
      <c r="K101" s="716">
        <v>1</v>
      </c>
      <c r="L101" s="720">
        <v>2</v>
      </c>
      <c r="M101" s="721">
        <v>1875.86</v>
      </c>
    </row>
    <row r="102" spans="1:13" ht="14.4" customHeight="1" x14ac:dyDescent="0.3">
      <c r="A102" s="710" t="s">
        <v>2097</v>
      </c>
      <c r="B102" s="711" t="s">
        <v>1991</v>
      </c>
      <c r="C102" s="711" t="s">
        <v>1521</v>
      </c>
      <c r="D102" s="711" t="s">
        <v>1518</v>
      </c>
      <c r="E102" s="711" t="s">
        <v>1522</v>
      </c>
      <c r="F102" s="720"/>
      <c r="G102" s="720"/>
      <c r="H102" s="716">
        <v>0</v>
      </c>
      <c r="I102" s="720">
        <v>2</v>
      </c>
      <c r="J102" s="720">
        <v>2332.94</v>
      </c>
      <c r="K102" s="716">
        <v>1</v>
      </c>
      <c r="L102" s="720">
        <v>2</v>
      </c>
      <c r="M102" s="721">
        <v>2332.94</v>
      </c>
    </row>
    <row r="103" spans="1:13" ht="14.4" customHeight="1" x14ac:dyDescent="0.3">
      <c r="A103" s="710" t="s">
        <v>2097</v>
      </c>
      <c r="B103" s="711" t="s">
        <v>1994</v>
      </c>
      <c r="C103" s="711" t="s">
        <v>1499</v>
      </c>
      <c r="D103" s="711" t="s">
        <v>1500</v>
      </c>
      <c r="E103" s="711" t="s">
        <v>1995</v>
      </c>
      <c r="F103" s="720"/>
      <c r="G103" s="720"/>
      <c r="H103" s="716">
        <v>0</v>
      </c>
      <c r="I103" s="720">
        <v>2</v>
      </c>
      <c r="J103" s="720">
        <v>150.56</v>
      </c>
      <c r="K103" s="716">
        <v>1</v>
      </c>
      <c r="L103" s="720">
        <v>2</v>
      </c>
      <c r="M103" s="721">
        <v>150.56</v>
      </c>
    </row>
    <row r="104" spans="1:13" ht="14.4" customHeight="1" x14ac:dyDescent="0.3">
      <c r="A104" s="710" t="s">
        <v>2097</v>
      </c>
      <c r="B104" s="711" t="s">
        <v>2678</v>
      </c>
      <c r="C104" s="711" t="s">
        <v>2333</v>
      </c>
      <c r="D104" s="711" t="s">
        <v>2334</v>
      </c>
      <c r="E104" s="711" t="s">
        <v>2335</v>
      </c>
      <c r="F104" s="720">
        <v>3</v>
      </c>
      <c r="G104" s="720">
        <v>180.06</v>
      </c>
      <c r="H104" s="716">
        <v>1</v>
      </c>
      <c r="I104" s="720"/>
      <c r="J104" s="720"/>
      <c r="K104" s="716">
        <v>0</v>
      </c>
      <c r="L104" s="720">
        <v>3</v>
      </c>
      <c r="M104" s="721">
        <v>180.06</v>
      </c>
    </row>
    <row r="105" spans="1:13" ht="14.4" customHeight="1" x14ac:dyDescent="0.3">
      <c r="A105" s="710" t="s">
        <v>2097</v>
      </c>
      <c r="B105" s="711" t="s">
        <v>1999</v>
      </c>
      <c r="C105" s="711" t="s">
        <v>1536</v>
      </c>
      <c r="D105" s="711" t="s">
        <v>1537</v>
      </c>
      <c r="E105" s="711" t="s">
        <v>1538</v>
      </c>
      <c r="F105" s="720"/>
      <c r="G105" s="720"/>
      <c r="H105" s="716">
        <v>0</v>
      </c>
      <c r="I105" s="720">
        <v>1</v>
      </c>
      <c r="J105" s="720">
        <v>44.89</v>
      </c>
      <c r="K105" s="716">
        <v>1</v>
      </c>
      <c r="L105" s="720">
        <v>1</v>
      </c>
      <c r="M105" s="721">
        <v>44.89</v>
      </c>
    </row>
    <row r="106" spans="1:13" ht="14.4" customHeight="1" x14ac:dyDescent="0.3">
      <c r="A106" s="710" t="s">
        <v>2097</v>
      </c>
      <c r="B106" s="711" t="s">
        <v>2002</v>
      </c>
      <c r="C106" s="711" t="s">
        <v>1731</v>
      </c>
      <c r="D106" s="711" t="s">
        <v>1732</v>
      </c>
      <c r="E106" s="711" t="s">
        <v>1497</v>
      </c>
      <c r="F106" s="720"/>
      <c r="G106" s="720"/>
      <c r="H106" s="716">
        <v>0</v>
      </c>
      <c r="I106" s="720">
        <v>1</v>
      </c>
      <c r="J106" s="720">
        <v>41.53</v>
      </c>
      <c r="K106" s="716">
        <v>1</v>
      </c>
      <c r="L106" s="720">
        <v>1</v>
      </c>
      <c r="M106" s="721">
        <v>41.53</v>
      </c>
    </row>
    <row r="107" spans="1:13" ht="14.4" customHeight="1" x14ac:dyDescent="0.3">
      <c r="A107" s="710" t="s">
        <v>2097</v>
      </c>
      <c r="B107" s="711" t="s">
        <v>2003</v>
      </c>
      <c r="C107" s="711" t="s">
        <v>1639</v>
      </c>
      <c r="D107" s="711" t="s">
        <v>1640</v>
      </c>
      <c r="E107" s="711" t="s">
        <v>1641</v>
      </c>
      <c r="F107" s="720"/>
      <c r="G107" s="720"/>
      <c r="H107" s="716">
        <v>0</v>
      </c>
      <c r="I107" s="720">
        <v>4</v>
      </c>
      <c r="J107" s="720">
        <v>269.68</v>
      </c>
      <c r="K107" s="716">
        <v>1</v>
      </c>
      <c r="L107" s="720">
        <v>4</v>
      </c>
      <c r="M107" s="721">
        <v>269.68</v>
      </c>
    </row>
    <row r="108" spans="1:13" ht="14.4" customHeight="1" x14ac:dyDescent="0.3">
      <c r="A108" s="710" t="s">
        <v>2097</v>
      </c>
      <c r="B108" s="711" t="s">
        <v>2004</v>
      </c>
      <c r="C108" s="711" t="s">
        <v>2345</v>
      </c>
      <c r="D108" s="711" t="s">
        <v>1485</v>
      </c>
      <c r="E108" s="711" t="s">
        <v>2346</v>
      </c>
      <c r="F108" s="720"/>
      <c r="G108" s="720"/>
      <c r="H108" s="716">
        <v>0</v>
      </c>
      <c r="I108" s="720">
        <v>1</v>
      </c>
      <c r="J108" s="720">
        <v>21.92</v>
      </c>
      <c r="K108" s="716">
        <v>1</v>
      </c>
      <c r="L108" s="720">
        <v>1</v>
      </c>
      <c r="M108" s="721">
        <v>21.92</v>
      </c>
    </row>
    <row r="109" spans="1:13" ht="14.4" customHeight="1" x14ac:dyDescent="0.3">
      <c r="A109" s="710" t="s">
        <v>2097</v>
      </c>
      <c r="B109" s="711" t="s">
        <v>2013</v>
      </c>
      <c r="C109" s="711" t="s">
        <v>1593</v>
      </c>
      <c r="D109" s="711" t="s">
        <v>1598</v>
      </c>
      <c r="E109" s="711" t="s">
        <v>942</v>
      </c>
      <c r="F109" s="720"/>
      <c r="G109" s="720"/>
      <c r="H109" s="716">
        <v>0</v>
      </c>
      <c r="I109" s="720">
        <v>1</v>
      </c>
      <c r="J109" s="720">
        <v>130.59</v>
      </c>
      <c r="K109" s="716">
        <v>1</v>
      </c>
      <c r="L109" s="720">
        <v>1</v>
      </c>
      <c r="M109" s="721">
        <v>130.59</v>
      </c>
    </row>
    <row r="110" spans="1:13" ht="14.4" customHeight="1" x14ac:dyDescent="0.3">
      <c r="A110" s="710" t="s">
        <v>2097</v>
      </c>
      <c r="B110" s="711" t="s">
        <v>2017</v>
      </c>
      <c r="C110" s="711" t="s">
        <v>1619</v>
      </c>
      <c r="D110" s="711" t="s">
        <v>1620</v>
      </c>
      <c r="E110" s="711" t="s">
        <v>942</v>
      </c>
      <c r="F110" s="720"/>
      <c r="G110" s="720"/>
      <c r="H110" s="716">
        <v>0</v>
      </c>
      <c r="I110" s="720">
        <v>3</v>
      </c>
      <c r="J110" s="720">
        <v>605.64</v>
      </c>
      <c r="K110" s="716">
        <v>1</v>
      </c>
      <c r="L110" s="720">
        <v>3</v>
      </c>
      <c r="M110" s="721">
        <v>605.64</v>
      </c>
    </row>
    <row r="111" spans="1:13" ht="14.4" customHeight="1" x14ac:dyDescent="0.3">
      <c r="A111" s="710" t="s">
        <v>2097</v>
      </c>
      <c r="B111" s="711" t="s">
        <v>2021</v>
      </c>
      <c r="C111" s="711" t="s">
        <v>2329</v>
      </c>
      <c r="D111" s="711" t="s">
        <v>2327</v>
      </c>
      <c r="E111" s="711" t="s">
        <v>2330</v>
      </c>
      <c r="F111" s="720">
        <v>1</v>
      </c>
      <c r="G111" s="720">
        <v>0</v>
      </c>
      <c r="H111" s="716"/>
      <c r="I111" s="720"/>
      <c r="J111" s="720"/>
      <c r="K111" s="716"/>
      <c r="L111" s="720">
        <v>1</v>
      </c>
      <c r="M111" s="721">
        <v>0</v>
      </c>
    </row>
    <row r="112" spans="1:13" ht="14.4" customHeight="1" x14ac:dyDescent="0.3">
      <c r="A112" s="710" t="s">
        <v>2097</v>
      </c>
      <c r="B112" s="711" t="s">
        <v>2034</v>
      </c>
      <c r="C112" s="711" t="s">
        <v>1855</v>
      </c>
      <c r="D112" s="711" t="s">
        <v>1856</v>
      </c>
      <c r="E112" s="711" t="s">
        <v>2036</v>
      </c>
      <c r="F112" s="720"/>
      <c r="G112" s="720"/>
      <c r="H112" s="716">
        <v>0</v>
      </c>
      <c r="I112" s="720">
        <v>4</v>
      </c>
      <c r="J112" s="720">
        <v>467.2</v>
      </c>
      <c r="K112" s="716">
        <v>1</v>
      </c>
      <c r="L112" s="720">
        <v>4</v>
      </c>
      <c r="M112" s="721">
        <v>467.2</v>
      </c>
    </row>
    <row r="113" spans="1:13" ht="14.4" customHeight="1" x14ac:dyDescent="0.3">
      <c r="A113" s="710" t="s">
        <v>2097</v>
      </c>
      <c r="B113" s="711" t="s">
        <v>2050</v>
      </c>
      <c r="C113" s="711" t="s">
        <v>2238</v>
      </c>
      <c r="D113" s="711" t="s">
        <v>1613</v>
      </c>
      <c r="E113" s="711" t="s">
        <v>2103</v>
      </c>
      <c r="F113" s="720">
        <v>2</v>
      </c>
      <c r="G113" s="720">
        <v>0</v>
      </c>
      <c r="H113" s="716"/>
      <c r="I113" s="720"/>
      <c r="J113" s="720"/>
      <c r="K113" s="716"/>
      <c r="L113" s="720">
        <v>2</v>
      </c>
      <c r="M113" s="721">
        <v>0</v>
      </c>
    </row>
    <row r="114" spans="1:13" ht="14.4" customHeight="1" x14ac:dyDescent="0.3">
      <c r="A114" s="710" t="s">
        <v>2097</v>
      </c>
      <c r="B114" s="711" t="s">
        <v>2052</v>
      </c>
      <c r="C114" s="711" t="s">
        <v>1524</v>
      </c>
      <c r="D114" s="711" t="s">
        <v>1525</v>
      </c>
      <c r="E114" s="711" t="s">
        <v>1526</v>
      </c>
      <c r="F114" s="720"/>
      <c r="G114" s="720"/>
      <c r="H114" s="716">
        <v>0</v>
      </c>
      <c r="I114" s="720">
        <v>3</v>
      </c>
      <c r="J114" s="720">
        <v>98.22</v>
      </c>
      <c r="K114" s="716">
        <v>1</v>
      </c>
      <c r="L114" s="720">
        <v>3</v>
      </c>
      <c r="M114" s="721">
        <v>98.22</v>
      </c>
    </row>
    <row r="115" spans="1:13" ht="14.4" customHeight="1" x14ac:dyDescent="0.3">
      <c r="A115" s="710" t="s">
        <v>2097</v>
      </c>
      <c r="B115" s="711" t="s">
        <v>2055</v>
      </c>
      <c r="C115" s="711" t="s">
        <v>1580</v>
      </c>
      <c r="D115" s="711" t="s">
        <v>2058</v>
      </c>
      <c r="E115" s="711" t="s">
        <v>2059</v>
      </c>
      <c r="F115" s="720"/>
      <c r="G115" s="720"/>
      <c r="H115" s="716">
        <v>0</v>
      </c>
      <c r="I115" s="720">
        <v>1</v>
      </c>
      <c r="J115" s="720">
        <v>443.52</v>
      </c>
      <c r="K115" s="716">
        <v>1</v>
      </c>
      <c r="L115" s="720">
        <v>1</v>
      </c>
      <c r="M115" s="721">
        <v>443.52</v>
      </c>
    </row>
    <row r="116" spans="1:13" ht="14.4" customHeight="1" x14ac:dyDescent="0.3">
      <c r="A116" s="710" t="s">
        <v>2097</v>
      </c>
      <c r="B116" s="711" t="s">
        <v>2065</v>
      </c>
      <c r="C116" s="711" t="s">
        <v>1721</v>
      </c>
      <c r="D116" s="711" t="s">
        <v>1722</v>
      </c>
      <c r="E116" s="711" t="s">
        <v>2067</v>
      </c>
      <c r="F116" s="720"/>
      <c r="G116" s="720"/>
      <c r="H116" s="716">
        <v>0</v>
      </c>
      <c r="I116" s="720">
        <v>1</v>
      </c>
      <c r="J116" s="720">
        <v>216.16</v>
      </c>
      <c r="K116" s="716">
        <v>1</v>
      </c>
      <c r="L116" s="720">
        <v>1</v>
      </c>
      <c r="M116" s="721">
        <v>216.16</v>
      </c>
    </row>
    <row r="117" spans="1:13" ht="14.4" customHeight="1" x14ac:dyDescent="0.3">
      <c r="A117" s="710" t="s">
        <v>2097</v>
      </c>
      <c r="B117" s="711" t="s">
        <v>2688</v>
      </c>
      <c r="C117" s="711" t="s">
        <v>2602</v>
      </c>
      <c r="D117" s="711" t="s">
        <v>2603</v>
      </c>
      <c r="E117" s="711" t="s">
        <v>942</v>
      </c>
      <c r="F117" s="720">
        <v>3</v>
      </c>
      <c r="G117" s="720">
        <v>648.48</v>
      </c>
      <c r="H117" s="716">
        <v>1</v>
      </c>
      <c r="I117" s="720"/>
      <c r="J117" s="720"/>
      <c r="K117" s="716">
        <v>0</v>
      </c>
      <c r="L117" s="720">
        <v>3</v>
      </c>
      <c r="M117" s="721">
        <v>648.48</v>
      </c>
    </row>
    <row r="118" spans="1:13" ht="14.4" customHeight="1" x14ac:dyDescent="0.3">
      <c r="A118" s="710" t="s">
        <v>2097</v>
      </c>
      <c r="B118" s="711" t="s">
        <v>2689</v>
      </c>
      <c r="C118" s="711" t="s">
        <v>2607</v>
      </c>
      <c r="D118" s="711" t="s">
        <v>2608</v>
      </c>
      <c r="E118" s="711" t="s">
        <v>2609</v>
      </c>
      <c r="F118" s="720"/>
      <c r="G118" s="720"/>
      <c r="H118" s="716">
        <v>0</v>
      </c>
      <c r="I118" s="720">
        <v>3</v>
      </c>
      <c r="J118" s="720">
        <v>605.25</v>
      </c>
      <c r="K118" s="716">
        <v>1</v>
      </c>
      <c r="L118" s="720">
        <v>3</v>
      </c>
      <c r="M118" s="721">
        <v>605.25</v>
      </c>
    </row>
    <row r="119" spans="1:13" ht="14.4" customHeight="1" x14ac:dyDescent="0.3">
      <c r="A119" s="710" t="s">
        <v>2097</v>
      </c>
      <c r="B119" s="711" t="s">
        <v>2690</v>
      </c>
      <c r="C119" s="711" t="s">
        <v>2591</v>
      </c>
      <c r="D119" s="711" t="s">
        <v>2592</v>
      </c>
      <c r="E119" s="711" t="s">
        <v>2593</v>
      </c>
      <c r="F119" s="720"/>
      <c r="G119" s="720"/>
      <c r="H119" s="716">
        <v>0</v>
      </c>
      <c r="I119" s="720">
        <v>3</v>
      </c>
      <c r="J119" s="720">
        <v>557.70000000000005</v>
      </c>
      <c r="K119" s="716">
        <v>1</v>
      </c>
      <c r="L119" s="720">
        <v>3</v>
      </c>
      <c r="M119" s="721">
        <v>557.70000000000005</v>
      </c>
    </row>
    <row r="120" spans="1:13" ht="14.4" customHeight="1" x14ac:dyDescent="0.3">
      <c r="A120" s="710" t="s">
        <v>2097</v>
      </c>
      <c r="B120" s="711" t="s">
        <v>2071</v>
      </c>
      <c r="C120" s="711" t="s">
        <v>2318</v>
      </c>
      <c r="D120" s="711" t="s">
        <v>2319</v>
      </c>
      <c r="E120" s="711" t="s">
        <v>1538</v>
      </c>
      <c r="F120" s="720"/>
      <c r="G120" s="720"/>
      <c r="H120" s="716">
        <v>0</v>
      </c>
      <c r="I120" s="720">
        <v>1</v>
      </c>
      <c r="J120" s="720">
        <v>591.79999999999995</v>
      </c>
      <c r="K120" s="716">
        <v>1</v>
      </c>
      <c r="L120" s="720">
        <v>1</v>
      </c>
      <c r="M120" s="721">
        <v>591.79999999999995</v>
      </c>
    </row>
    <row r="121" spans="1:13" ht="14.4" customHeight="1" x14ac:dyDescent="0.3">
      <c r="A121" s="710" t="s">
        <v>2098</v>
      </c>
      <c r="B121" s="711" t="s">
        <v>1985</v>
      </c>
      <c r="C121" s="711" t="s">
        <v>1622</v>
      </c>
      <c r="D121" s="711" t="s">
        <v>1623</v>
      </c>
      <c r="E121" s="711" t="s">
        <v>1624</v>
      </c>
      <c r="F121" s="720"/>
      <c r="G121" s="720"/>
      <c r="H121" s="716">
        <v>0</v>
      </c>
      <c r="I121" s="720">
        <v>1</v>
      </c>
      <c r="J121" s="720">
        <v>49.22</v>
      </c>
      <c r="K121" s="716">
        <v>1</v>
      </c>
      <c r="L121" s="720">
        <v>1</v>
      </c>
      <c r="M121" s="721">
        <v>49.22</v>
      </c>
    </row>
    <row r="122" spans="1:13" ht="14.4" customHeight="1" x14ac:dyDescent="0.3">
      <c r="A122" s="710" t="s">
        <v>2098</v>
      </c>
      <c r="B122" s="711" t="s">
        <v>1986</v>
      </c>
      <c r="C122" s="711" t="s">
        <v>1672</v>
      </c>
      <c r="D122" s="711" t="s">
        <v>1987</v>
      </c>
      <c r="E122" s="711" t="s">
        <v>1988</v>
      </c>
      <c r="F122" s="720"/>
      <c r="G122" s="720"/>
      <c r="H122" s="716">
        <v>0</v>
      </c>
      <c r="I122" s="720">
        <v>2</v>
      </c>
      <c r="J122" s="720">
        <v>312.5</v>
      </c>
      <c r="K122" s="716">
        <v>1</v>
      </c>
      <c r="L122" s="720">
        <v>2</v>
      </c>
      <c r="M122" s="721">
        <v>312.5</v>
      </c>
    </row>
    <row r="123" spans="1:13" ht="14.4" customHeight="1" x14ac:dyDescent="0.3">
      <c r="A123" s="710" t="s">
        <v>2098</v>
      </c>
      <c r="B123" s="711" t="s">
        <v>1991</v>
      </c>
      <c r="C123" s="711" t="s">
        <v>1700</v>
      </c>
      <c r="D123" s="711" t="s">
        <v>1518</v>
      </c>
      <c r="E123" s="711" t="s">
        <v>1701</v>
      </c>
      <c r="F123" s="720"/>
      <c r="G123" s="720"/>
      <c r="H123" s="716">
        <v>0</v>
      </c>
      <c r="I123" s="720">
        <v>2</v>
      </c>
      <c r="J123" s="720">
        <v>937.92</v>
      </c>
      <c r="K123" s="716">
        <v>1</v>
      </c>
      <c r="L123" s="720">
        <v>2</v>
      </c>
      <c r="M123" s="721">
        <v>937.92</v>
      </c>
    </row>
    <row r="124" spans="1:13" ht="14.4" customHeight="1" x14ac:dyDescent="0.3">
      <c r="A124" s="710" t="s">
        <v>2098</v>
      </c>
      <c r="B124" s="711" t="s">
        <v>1991</v>
      </c>
      <c r="C124" s="711" t="s">
        <v>1703</v>
      </c>
      <c r="D124" s="711" t="s">
        <v>1518</v>
      </c>
      <c r="E124" s="711" t="s">
        <v>1704</v>
      </c>
      <c r="F124" s="720"/>
      <c r="G124" s="720"/>
      <c r="H124" s="716">
        <v>0</v>
      </c>
      <c r="I124" s="720">
        <v>1</v>
      </c>
      <c r="J124" s="720">
        <v>625.29</v>
      </c>
      <c r="K124" s="716">
        <v>1</v>
      </c>
      <c r="L124" s="720">
        <v>1</v>
      </c>
      <c r="M124" s="721">
        <v>625.29</v>
      </c>
    </row>
    <row r="125" spans="1:13" ht="14.4" customHeight="1" x14ac:dyDescent="0.3">
      <c r="A125" s="710" t="s">
        <v>2098</v>
      </c>
      <c r="B125" s="711" t="s">
        <v>1994</v>
      </c>
      <c r="C125" s="711" t="s">
        <v>1499</v>
      </c>
      <c r="D125" s="711" t="s">
        <v>1500</v>
      </c>
      <c r="E125" s="711" t="s">
        <v>1995</v>
      </c>
      <c r="F125" s="720"/>
      <c r="G125" s="720"/>
      <c r="H125" s="716">
        <v>0</v>
      </c>
      <c r="I125" s="720">
        <v>1</v>
      </c>
      <c r="J125" s="720">
        <v>75.28</v>
      </c>
      <c r="K125" s="716">
        <v>1</v>
      </c>
      <c r="L125" s="720">
        <v>1</v>
      </c>
      <c r="M125" s="721">
        <v>75.28</v>
      </c>
    </row>
    <row r="126" spans="1:13" ht="14.4" customHeight="1" x14ac:dyDescent="0.3">
      <c r="A126" s="710" t="s">
        <v>2098</v>
      </c>
      <c r="B126" s="711" t="s">
        <v>1999</v>
      </c>
      <c r="C126" s="711" t="s">
        <v>2356</v>
      </c>
      <c r="D126" s="711" t="s">
        <v>2357</v>
      </c>
      <c r="E126" s="711" t="s">
        <v>2358</v>
      </c>
      <c r="F126" s="720">
        <v>1</v>
      </c>
      <c r="G126" s="720">
        <v>31.43</v>
      </c>
      <c r="H126" s="716">
        <v>1</v>
      </c>
      <c r="I126" s="720"/>
      <c r="J126" s="720"/>
      <c r="K126" s="716">
        <v>0</v>
      </c>
      <c r="L126" s="720">
        <v>1</v>
      </c>
      <c r="M126" s="721">
        <v>31.43</v>
      </c>
    </row>
    <row r="127" spans="1:13" ht="14.4" customHeight="1" x14ac:dyDescent="0.3">
      <c r="A127" s="710" t="s">
        <v>2098</v>
      </c>
      <c r="B127" s="711" t="s">
        <v>1999</v>
      </c>
      <c r="C127" s="711" t="s">
        <v>1536</v>
      </c>
      <c r="D127" s="711" t="s">
        <v>1537</v>
      </c>
      <c r="E127" s="711" t="s">
        <v>1538</v>
      </c>
      <c r="F127" s="720"/>
      <c r="G127" s="720"/>
      <c r="H127" s="716">
        <v>0</v>
      </c>
      <c r="I127" s="720">
        <v>1</v>
      </c>
      <c r="J127" s="720">
        <v>44.89</v>
      </c>
      <c r="K127" s="716">
        <v>1</v>
      </c>
      <c r="L127" s="720">
        <v>1</v>
      </c>
      <c r="M127" s="721">
        <v>44.89</v>
      </c>
    </row>
    <row r="128" spans="1:13" ht="14.4" customHeight="1" x14ac:dyDescent="0.3">
      <c r="A128" s="710" t="s">
        <v>2098</v>
      </c>
      <c r="B128" s="711" t="s">
        <v>2001</v>
      </c>
      <c r="C128" s="711" t="s">
        <v>2105</v>
      </c>
      <c r="D128" s="711" t="s">
        <v>1630</v>
      </c>
      <c r="E128" s="711" t="s">
        <v>1497</v>
      </c>
      <c r="F128" s="720"/>
      <c r="G128" s="720"/>
      <c r="H128" s="716">
        <v>0</v>
      </c>
      <c r="I128" s="720">
        <v>1</v>
      </c>
      <c r="J128" s="720">
        <v>81.209999999999994</v>
      </c>
      <c r="K128" s="716">
        <v>1</v>
      </c>
      <c r="L128" s="720">
        <v>1</v>
      </c>
      <c r="M128" s="721">
        <v>81.209999999999994</v>
      </c>
    </row>
    <row r="129" spans="1:13" ht="14.4" customHeight="1" x14ac:dyDescent="0.3">
      <c r="A129" s="710" t="s">
        <v>2098</v>
      </c>
      <c r="B129" s="711" t="s">
        <v>2001</v>
      </c>
      <c r="C129" s="711" t="s">
        <v>2611</v>
      </c>
      <c r="D129" s="711" t="s">
        <v>1627</v>
      </c>
      <c r="E129" s="711" t="s">
        <v>1990</v>
      </c>
      <c r="F129" s="720"/>
      <c r="G129" s="720"/>
      <c r="H129" s="716">
        <v>0</v>
      </c>
      <c r="I129" s="720">
        <v>1</v>
      </c>
      <c r="J129" s="720">
        <v>203.07</v>
      </c>
      <c r="K129" s="716">
        <v>1</v>
      </c>
      <c r="L129" s="720">
        <v>1</v>
      </c>
      <c r="M129" s="721">
        <v>203.07</v>
      </c>
    </row>
    <row r="130" spans="1:13" ht="14.4" customHeight="1" x14ac:dyDescent="0.3">
      <c r="A130" s="710" t="s">
        <v>2098</v>
      </c>
      <c r="B130" s="711" t="s">
        <v>2691</v>
      </c>
      <c r="C130" s="711" t="s">
        <v>2362</v>
      </c>
      <c r="D130" s="711" t="s">
        <v>2363</v>
      </c>
      <c r="E130" s="711" t="s">
        <v>2364</v>
      </c>
      <c r="F130" s="720"/>
      <c r="G130" s="720"/>
      <c r="H130" s="716">
        <v>0</v>
      </c>
      <c r="I130" s="720">
        <v>1</v>
      </c>
      <c r="J130" s="720">
        <v>107.34</v>
      </c>
      <c r="K130" s="716">
        <v>1</v>
      </c>
      <c r="L130" s="720">
        <v>1</v>
      </c>
      <c r="M130" s="721">
        <v>107.34</v>
      </c>
    </row>
    <row r="131" spans="1:13" ht="14.4" customHeight="1" x14ac:dyDescent="0.3">
      <c r="A131" s="710" t="s">
        <v>2098</v>
      </c>
      <c r="B131" s="711" t="s">
        <v>2004</v>
      </c>
      <c r="C131" s="711" t="s">
        <v>1484</v>
      </c>
      <c r="D131" s="711" t="s">
        <v>1485</v>
      </c>
      <c r="E131" s="711" t="s">
        <v>1486</v>
      </c>
      <c r="F131" s="720"/>
      <c r="G131" s="720"/>
      <c r="H131" s="716">
        <v>0</v>
      </c>
      <c r="I131" s="720">
        <v>2</v>
      </c>
      <c r="J131" s="720">
        <v>29.2</v>
      </c>
      <c r="K131" s="716">
        <v>1</v>
      </c>
      <c r="L131" s="720">
        <v>2</v>
      </c>
      <c r="M131" s="721">
        <v>29.2</v>
      </c>
    </row>
    <row r="132" spans="1:13" ht="14.4" customHeight="1" x14ac:dyDescent="0.3">
      <c r="A132" s="710" t="s">
        <v>2098</v>
      </c>
      <c r="B132" s="711" t="s">
        <v>2004</v>
      </c>
      <c r="C132" s="711" t="s">
        <v>2345</v>
      </c>
      <c r="D132" s="711" t="s">
        <v>1485</v>
      </c>
      <c r="E132" s="711" t="s">
        <v>2346</v>
      </c>
      <c r="F132" s="720"/>
      <c r="G132" s="720"/>
      <c r="H132" s="716">
        <v>0</v>
      </c>
      <c r="I132" s="720">
        <v>3</v>
      </c>
      <c r="J132" s="720">
        <v>65.760000000000005</v>
      </c>
      <c r="K132" s="716">
        <v>1</v>
      </c>
      <c r="L132" s="720">
        <v>3</v>
      </c>
      <c r="M132" s="721">
        <v>65.760000000000005</v>
      </c>
    </row>
    <row r="133" spans="1:13" ht="14.4" customHeight="1" x14ac:dyDescent="0.3">
      <c r="A133" s="710" t="s">
        <v>2098</v>
      </c>
      <c r="B133" s="711" t="s">
        <v>2004</v>
      </c>
      <c r="C133" s="711" t="s">
        <v>1562</v>
      </c>
      <c r="D133" s="711" t="s">
        <v>2005</v>
      </c>
      <c r="E133" s="711" t="s">
        <v>1399</v>
      </c>
      <c r="F133" s="720"/>
      <c r="G133" s="720"/>
      <c r="H133" s="716">
        <v>0</v>
      </c>
      <c r="I133" s="720">
        <v>1</v>
      </c>
      <c r="J133" s="720">
        <v>67.42</v>
      </c>
      <c r="K133" s="716">
        <v>1</v>
      </c>
      <c r="L133" s="720">
        <v>1</v>
      </c>
      <c r="M133" s="721">
        <v>67.42</v>
      </c>
    </row>
    <row r="134" spans="1:13" ht="14.4" customHeight="1" x14ac:dyDescent="0.3">
      <c r="A134" s="710" t="s">
        <v>2098</v>
      </c>
      <c r="B134" s="711" t="s">
        <v>2013</v>
      </c>
      <c r="C134" s="711" t="s">
        <v>2612</v>
      </c>
      <c r="D134" s="711" t="s">
        <v>2613</v>
      </c>
      <c r="E134" s="711" t="s">
        <v>1694</v>
      </c>
      <c r="F134" s="720"/>
      <c r="G134" s="720"/>
      <c r="H134" s="716">
        <v>0</v>
      </c>
      <c r="I134" s="720">
        <v>1</v>
      </c>
      <c r="J134" s="720">
        <v>195.89</v>
      </c>
      <c r="K134" s="716">
        <v>1</v>
      </c>
      <c r="L134" s="720">
        <v>1</v>
      </c>
      <c r="M134" s="721">
        <v>195.89</v>
      </c>
    </row>
    <row r="135" spans="1:13" ht="14.4" customHeight="1" x14ac:dyDescent="0.3">
      <c r="A135" s="710" t="s">
        <v>2098</v>
      </c>
      <c r="B135" s="711" t="s">
        <v>2013</v>
      </c>
      <c r="C135" s="711" t="s">
        <v>1590</v>
      </c>
      <c r="D135" s="711" t="s">
        <v>1690</v>
      </c>
      <c r="E135" s="711" t="s">
        <v>818</v>
      </c>
      <c r="F135" s="720"/>
      <c r="G135" s="720"/>
      <c r="H135" s="716">
        <v>0</v>
      </c>
      <c r="I135" s="720">
        <v>2</v>
      </c>
      <c r="J135" s="720">
        <v>130.6</v>
      </c>
      <c r="K135" s="716">
        <v>1</v>
      </c>
      <c r="L135" s="720">
        <v>2</v>
      </c>
      <c r="M135" s="721">
        <v>130.6</v>
      </c>
    </row>
    <row r="136" spans="1:13" ht="14.4" customHeight="1" x14ac:dyDescent="0.3">
      <c r="A136" s="710" t="s">
        <v>2098</v>
      </c>
      <c r="B136" s="711" t="s">
        <v>2692</v>
      </c>
      <c r="C136" s="711" t="s">
        <v>2615</v>
      </c>
      <c r="D136" s="711" t="s">
        <v>2616</v>
      </c>
      <c r="E136" s="711" t="s">
        <v>2617</v>
      </c>
      <c r="F136" s="720"/>
      <c r="G136" s="720"/>
      <c r="H136" s="716">
        <v>0</v>
      </c>
      <c r="I136" s="720">
        <v>2</v>
      </c>
      <c r="J136" s="720">
        <v>444.5</v>
      </c>
      <c r="K136" s="716">
        <v>1</v>
      </c>
      <c r="L136" s="720">
        <v>2</v>
      </c>
      <c r="M136" s="721">
        <v>444.5</v>
      </c>
    </row>
    <row r="137" spans="1:13" ht="14.4" customHeight="1" x14ac:dyDescent="0.3">
      <c r="A137" s="710" t="s">
        <v>2098</v>
      </c>
      <c r="B137" s="711" t="s">
        <v>2050</v>
      </c>
      <c r="C137" s="711" t="s">
        <v>1612</v>
      </c>
      <c r="D137" s="711" t="s">
        <v>1613</v>
      </c>
      <c r="E137" s="711" t="s">
        <v>1614</v>
      </c>
      <c r="F137" s="720"/>
      <c r="G137" s="720"/>
      <c r="H137" s="716">
        <v>0</v>
      </c>
      <c r="I137" s="720">
        <v>1</v>
      </c>
      <c r="J137" s="720">
        <v>95.25</v>
      </c>
      <c r="K137" s="716">
        <v>1</v>
      </c>
      <c r="L137" s="720">
        <v>1</v>
      </c>
      <c r="M137" s="721">
        <v>95.25</v>
      </c>
    </row>
    <row r="138" spans="1:13" ht="14.4" customHeight="1" x14ac:dyDescent="0.3">
      <c r="A138" s="710" t="s">
        <v>2098</v>
      </c>
      <c r="B138" s="711" t="s">
        <v>2051</v>
      </c>
      <c r="C138" s="711" t="s">
        <v>1654</v>
      </c>
      <c r="D138" s="711" t="s">
        <v>1655</v>
      </c>
      <c r="E138" s="711" t="s">
        <v>1656</v>
      </c>
      <c r="F138" s="720"/>
      <c r="G138" s="720"/>
      <c r="H138" s="716">
        <v>0</v>
      </c>
      <c r="I138" s="720">
        <v>1</v>
      </c>
      <c r="J138" s="720">
        <v>1027.5999999999999</v>
      </c>
      <c r="K138" s="716">
        <v>1</v>
      </c>
      <c r="L138" s="720">
        <v>1</v>
      </c>
      <c r="M138" s="721">
        <v>1027.5999999999999</v>
      </c>
    </row>
    <row r="139" spans="1:13" ht="14.4" customHeight="1" x14ac:dyDescent="0.3">
      <c r="A139" s="710" t="s">
        <v>2098</v>
      </c>
      <c r="B139" s="711" t="s">
        <v>2055</v>
      </c>
      <c r="C139" s="711" t="s">
        <v>2618</v>
      </c>
      <c r="D139" s="711" t="s">
        <v>2058</v>
      </c>
      <c r="E139" s="711" t="s">
        <v>2619</v>
      </c>
      <c r="F139" s="720"/>
      <c r="G139" s="720"/>
      <c r="H139" s="716">
        <v>0</v>
      </c>
      <c r="I139" s="720">
        <v>2</v>
      </c>
      <c r="J139" s="720">
        <v>1774.1</v>
      </c>
      <c r="K139" s="716">
        <v>1</v>
      </c>
      <c r="L139" s="720">
        <v>2</v>
      </c>
      <c r="M139" s="721">
        <v>1774.1</v>
      </c>
    </row>
    <row r="140" spans="1:13" ht="14.4" customHeight="1" x14ac:dyDescent="0.3">
      <c r="A140" s="710" t="s">
        <v>2098</v>
      </c>
      <c r="B140" s="711" t="s">
        <v>2069</v>
      </c>
      <c r="C140" s="711" t="s">
        <v>1495</v>
      </c>
      <c r="D140" s="711" t="s">
        <v>1496</v>
      </c>
      <c r="E140" s="711" t="s">
        <v>1497</v>
      </c>
      <c r="F140" s="720"/>
      <c r="G140" s="720"/>
      <c r="H140" s="716"/>
      <c r="I140" s="720">
        <v>1</v>
      </c>
      <c r="J140" s="720">
        <v>0</v>
      </c>
      <c r="K140" s="716"/>
      <c r="L140" s="720">
        <v>1</v>
      </c>
      <c r="M140" s="721">
        <v>0</v>
      </c>
    </row>
    <row r="141" spans="1:13" ht="14.4" customHeight="1" x14ac:dyDescent="0.3">
      <c r="A141" s="710" t="s">
        <v>2098</v>
      </c>
      <c r="B141" s="711" t="s">
        <v>2069</v>
      </c>
      <c r="C141" s="711" t="s">
        <v>2391</v>
      </c>
      <c r="D141" s="711" t="s">
        <v>1735</v>
      </c>
      <c r="E141" s="711" t="s">
        <v>2354</v>
      </c>
      <c r="F141" s="720"/>
      <c r="G141" s="720"/>
      <c r="H141" s="716"/>
      <c r="I141" s="720">
        <v>1</v>
      </c>
      <c r="J141" s="720">
        <v>0</v>
      </c>
      <c r="K141" s="716"/>
      <c r="L141" s="720">
        <v>1</v>
      </c>
      <c r="M141" s="721">
        <v>0</v>
      </c>
    </row>
    <row r="142" spans="1:13" ht="14.4" customHeight="1" x14ac:dyDescent="0.3">
      <c r="A142" s="710" t="s">
        <v>2098</v>
      </c>
      <c r="B142" s="711" t="s">
        <v>2072</v>
      </c>
      <c r="C142" s="711" t="s">
        <v>1123</v>
      </c>
      <c r="D142" s="711" t="s">
        <v>1675</v>
      </c>
      <c r="E142" s="711" t="s">
        <v>1676</v>
      </c>
      <c r="F142" s="720"/>
      <c r="G142" s="720"/>
      <c r="H142" s="716">
        <v>0</v>
      </c>
      <c r="I142" s="720">
        <v>1</v>
      </c>
      <c r="J142" s="720">
        <v>137.6</v>
      </c>
      <c r="K142" s="716">
        <v>1</v>
      </c>
      <c r="L142" s="720">
        <v>1</v>
      </c>
      <c r="M142" s="721">
        <v>137.6</v>
      </c>
    </row>
    <row r="143" spans="1:13" ht="14.4" customHeight="1" x14ac:dyDescent="0.3">
      <c r="A143" s="710" t="s">
        <v>2099</v>
      </c>
      <c r="B143" s="711" t="s">
        <v>1976</v>
      </c>
      <c r="C143" s="711" t="s">
        <v>2269</v>
      </c>
      <c r="D143" s="711" t="s">
        <v>1977</v>
      </c>
      <c r="E143" s="711" t="s">
        <v>2270</v>
      </c>
      <c r="F143" s="720"/>
      <c r="G143" s="720"/>
      <c r="H143" s="716">
        <v>0</v>
      </c>
      <c r="I143" s="720">
        <v>3</v>
      </c>
      <c r="J143" s="720">
        <v>293.90999999999997</v>
      </c>
      <c r="K143" s="716">
        <v>1</v>
      </c>
      <c r="L143" s="720">
        <v>3</v>
      </c>
      <c r="M143" s="721">
        <v>293.90999999999997</v>
      </c>
    </row>
    <row r="144" spans="1:13" ht="14.4" customHeight="1" x14ac:dyDescent="0.3">
      <c r="A144" s="710" t="s">
        <v>2099</v>
      </c>
      <c r="B144" s="711" t="s">
        <v>1986</v>
      </c>
      <c r="C144" s="711" t="s">
        <v>1601</v>
      </c>
      <c r="D144" s="711" t="s">
        <v>1989</v>
      </c>
      <c r="E144" s="711" t="s">
        <v>1990</v>
      </c>
      <c r="F144" s="720"/>
      <c r="G144" s="720"/>
      <c r="H144" s="716">
        <v>0</v>
      </c>
      <c r="I144" s="720">
        <v>1</v>
      </c>
      <c r="J144" s="720">
        <v>193.14</v>
      </c>
      <c r="K144" s="716">
        <v>1</v>
      </c>
      <c r="L144" s="720">
        <v>1</v>
      </c>
      <c r="M144" s="721">
        <v>193.14</v>
      </c>
    </row>
    <row r="145" spans="1:13" ht="14.4" customHeight="1" x14ac:dyDescent="0.3">
      <c r="A145" s="710" t="s">
        <v>2099</v>
      </c>
      <c r="B145" s="711" t="s">
        <v>2001</v>
      </c>
      <c r="C145" s="711" t="s">
        <v>2634</v>
      </c>
      <c r="D145" s="711" t="s">
        <v>1627</v>
      </c>
      <c r="E145" s="711" t="s">
        <v>2635</v>
      </c>
      <c r="F145" s="720">
        <v>2</v>
      </c>
      <c r="G145" s="720">
        <v>0</v>
      </c>
      <c r="H145" s="716"/>
      <c r="I145" s="720"/>
      <c r="J145" s="720"/>
      <c r="K145" s="716"/>
      <c r="L145" s="720">
        <v>2</v>
      </c>
      <c r="M145" s="721">
        <v>0</v>
      </c>
    </row>
    <row r="146" spans="1:13" ht="14.4" customHeight="1" x14ac:dyDescent="0.3">
      <c r="A146" s="710" t="s">
        <v>2099</v>
      </c>
      <c r="B146" s="711" t="s">
        <v>2001</v>
      </c>
      <c r="C146" s="711" t="s">
        <v>2636</v>
      </c>
      <c r="D146" s="711" t="s">
        <v>2637</v>
      </c>
      <c r="E146" s="711" t="s">
        <v>2635</v>
      </c>
      <c r="F146" s="720">
        <v>1</v>
      </c>
      <c r="G146" s="720">
        <v>182.76</v>
      </c>
      <c r="H146" s="716">
        <v>1</v>
      </c>
      <c r="I146" s="720"/>
      <c r="J146" s="720"/>
      <c r="K146" s="716">
        <v>0</v>
      </c>
      <c r="L146" s="720">
        <v>1</v>
      </c>
      <c r="M146" s="721">
        <v>182.76</v>
      </c>
    </row>
    <row r="147" spans="1:13" ht="14.4" customHeight="1" x14ac:dyDescent="0.3">
      <c r="A147" s="710" t="s">
        <v>2099</v>
      </c>
      <c r="B147" s="711" t="s">
        <v>2004</v>
      </c>
      <c r="C147" s="711" t="s">
        <v>2654</v>
      </c>
      <c r="D147" s="711" t="s">
        <v>2655</v>
      </c>
      <c r="E147" s="711" t="s">
        <v>2635</v>
      </c>
      <c r="F147" s="720">
        <v>1</v>
      </c>
      <c r="G147" s="720">
        <v>202.25</v>
      </c>
      <c r="H147" s="716">
        <v>1</v>
      </c>
      <c r="I147" s="720"/>
      <c r="J147" s="720"/>
      <c r="K147" s="716">
        <v>0</v>
      </c>
      <c r="L147" s="720">
        <v>1</v>
      </c>
      <c r="M147" s="721">
        <v>202.25</v>
      </c>
    </row>
    <row r="148" spans="1:13" ht="14.4" customHeight="1" x14ac:dyDescent="0.3">
      <c r="A148" s="710" t="s">
        <v>2099</v>
      </c>
      <c r="B148" s="711" t="s">
        <v>2013</v>
      </c>
      <c r="C148" s="711" t="s">
        <v>2638</v>
      </c>
      <c r="D148" s="711" t="s">
        <v>1598</v>
      </c>
      <c r="E148" s="711" t="s">
        <v>2639</v>
      </c>
      <c r="F148" s="720">
        <v>1</v>
      </c>
      <c r="G148" s="720">
        <v>0</v>
      </c>
      <c r="H148" s="716"/>
      <c r="I148" s="720"/>
      <c r="J148" s="720"/>
      <c r="K148" s="716"/>
      <c r="L148" s="720">
        <v>1</v>
      </c>
      <c r="M148" s="721">
        <v>0</v>
      </c>
    </row>
    <row r="149" spans="1:13" ht="14.4" customHeight="1" x14ac:dyDescent="0.3">
      <c r="A149" s="710" t="s">
        <v>2099</v>
      </c>
      <c r="B149" s="711" t="s">
        <v>2013</v>
      </c>
      <c r="C149" s="711" t="s">
        <v>2640</v>
      </c>
      <c r="D149" s="711" t="s">
        <v>2015</v>
      </c>
      <c r="E149" s="711" t="s">
        <v>2375</v>
      </c>
      <c r="F149" s="720">
        <v>1</v>
      </c>
      <c r="G149" s="720">
        <v>0</v>
      </c>
      <c r="H149" s="716"/>
      <c r="I149" s="720"/>
      <c r="J149" s="720"/>
      <c r="K149" s="716"/>
      <c r="L149" s="720">
        <v>1</v>
      </c>
      <c r="M149" s="721">
        <v>0</v>
      </c>
    </row>
    <row r="150" spans="1:13" ht="14.4" customHeight="1" x14ac:dyDescent="0.3">
      <c r="A150" s="710" t="s">
        <v>2099</v>
      </c>
      <c r="B150" s="711" t="s">
        <v>2013</v>
      </c>
      <c r="C150" s="711" t="s">
        <v>1590</v>
      </c>
      <c r="D150" s="711" t="s">
        <v>1690</v>
      </c>
      <c r="E150" s="711" t="s">
        <v>818</v>
      </c>
      <c r="F150" s="720"/>
      <c r="G150" s="720"/>
      <c r="H150" s="716">
        <v>0</v>
      </c>
      <c r="I150" s="720">
        <v>3</v>
      </c>
      <c r="J150" s="720">
        <v>195.89999999999998</v>
      </c>
      <c r="K150" s="716">
        <v>1</v>
      </c>
      <c r="L150" s="720">
        <v>3</v>
      </c>
      <c r="M150" s="721">
        <v>195.89999999999998</v>
      </c>
    </row>
    <row r="151" spans="1:13" ht="14.4" customHeight="1" x14ac:dyDescent="0.3">
      <c r="A151" s="710" t="s">
        <v>2099</v>
      </c>
      <c r="B151" s="711" t="s">
        <v>2013</v>
      </c>
      <c r="C151" s="711" t="s">
        <v>1593</v>
      </c>
      <c r="D151" s="711" t="s">
        <v>1598</v>
      </c>
      <c r="E151" s="711" t="s">
        <v>942</v>
      </c>
      <c r="F151" s="720"/>
      <c r="G151" s="720"/>
      <c r="H151" s="716">
        <v>0</v>
      </c>
      <c r="I151" s="720">
        <v>3</v>
      </c>
      <c r="J151" s="720">
        <v>391.77</v>
      </c>
      <c r="K151" s="716">
        <v>1</v>
      </c>
      <c r="L151" s="720">
        <v>3</v>
      </c>
      <c r="M151" s="721">
        <v>391.77</v>
      </c>
    </row>
    <row r="152" spans="1:13" ht="14.4" customHeight="1" x14ac:dyDescent="0.3">
      <c r="A152" s="710" t="s">
        <v>2099</v>
      </c>
      <c r="B152" s="711" t="s">
        <v>2034</v>
      </c>
      <c r="C152" s="711" t="s">
        <v>1875</v>
      </c>
      <c r="D152" s="711" t="s">
        <v>1876</v>
      </c>
      <c r="E152" s="711" t="s">
        <v>2035</v>
      </c>
      <c r="F152" s="720"/>
      <c r="G152" s="720"/>
      <c r="H152" s="716">
        <v>0</v>
      </c>
      <c r="I152" s="720">
        <v>2</v>
      </c>
      <c r="J152" s="720">
        <v>350.38</v>
      </c>
      <c r="K152" s="716">
        <v>1</v>
      </c>
      <c r="L152" s="720">
        <v>2</v>
      </c>
      <c r="M152" s="721">
        <v>350.38</v>
      </c>
    </row>
    <row r="153" spans="1:13" ht="14.4" customHeight="1" x14ac:dyDescent="0.3">
      <c r="A153" s="710" t="s">
        <v>2099</v>
      </c>
      <c r="B153" s="711" t="s">
        <v>2034</v>
      </c>
      <c r="C153" s="711" t="s">
        <v>1855</v>
      </c>
      <c r="D153" s="711" t="s">
        <v>1856</v>
      </c>
      <c r="E153" s="711" t="s">
        <v>2036</v>
      </c>
      <c r="F153" s="720"/>
      <c r="G153" s="720"/>
      <c r="H153" s="716">
        <v>0</v>
      </c>
      <c r="I153" s="720">
        <v>2</v>
      </c>
      <c r="J153" s="720">
        <v>233.6</v>
      </c>
      <c r="K153" s="716">
        <v>1</v>
      </c>
      <c r="L153" s="720">
        <v>2</v>
      </c>
      <c r="M153" s="721">
        <v>233.6</v>
      </c>
    </row>
    <row r="154" spans="1:13" ht="14.4" customHeight="1" thickBot="1" x14ac:dyDescent="0.35">
      <c r="A154" s="702" t="s">
        <v>2099</v>
      </c>
      <c r="B154" s="703" t="s">
        <v>2050</v>
      </c>
      <c r="C154" s="703" t="s">
        <v>1612</v>
      </c>
      <c r="D154" s="703" t="s">
        <v>1613</v>
      </c>
      <c r="E154" s="703" t="s">
        <v>1614</v>
      </c>
      <c r="F154" s="722"/>
      <c r="G154" s="722"/>
      <c r="H154" s="708">
        <v>0</v>
      </c>
      <c r="I154" s="722">
        <v>1</v>
      </c>
      <c r="J154" s="722">
        <v>95.25</v>
      </c>
      <c r="K154" s="708">
        <v>1</v>
      </c>
      <c r="L154" s="722">
        <v>1</v>
      </c>
      <c r="M154" s="723">
        <v>95.25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25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9" ht="18.600000000000001" customHeight="1" thickBot="1" x14ac:dyDescent="0.4">
      <c r="A1" s="486" t="s">
        <v>182</v>
      </c>
      <c r="B1" s="487"/>
      <c r="C1" s="487"/>
      <c r="D1" s="487"/>
      <c r="E1" s="487"/>
      <c r="F1" s="487"/>
      <c r="G1" s="463"/>
    </row>
    <row r="2" spans="1:9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9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3</v>
      </c>
      <c r="E3" s="211" t="s">
        <v>4</v>
      </c>
      <c r="F3" s="211" t="s">
        <v>5</v>
      </c>
      <c r="G3" s="212" t="s">
        <v>188</v>
      </c>
    </row>
    <row r="4" spans="1:9" ht="14.4" customHeight="1" x14ac:dyDescent="0.3">
      <c r="A4" s="615" t="s">
        <v>499</v>
      </c>
      <c r="B4" s="616" t="s">
        <v>500</v>
      </c>
      <c r="C4" s="617" t="s">
        <v>501</v>
      </c>
      <c r="D4" s="617" t="s">
        <v>500</v>
      </c>
      <c r="E4" s="617" t="s">
        <v>500</v>
      </c>
      <c r="F4" s="618" t="s">
        <v>500</v>
      </c>
      <c r="G4" s="617" t="s">
        <v>500</v>
      </c>
      <c r="H4" s="617" t="s">
        <v>77</v>
      </c>
      <c r="I4"/>
    </row>
    <row r="5" spans="1:9" ht="14.4" customHeight="1" x14ac:dyDescent="0.3">
      <c r="A5" s="615" t="s">
        <v>499</v>
      </c>
      <c r="B5" s="616" t="s">
        <v>2694</v>
      </c>
      <c r="C5" s="617" t="s">
        <v>2695</v>
      </c>
      <c r="D5" s="617">
        <v>1291.3402989397835</v>
      </c>
      <c r="E5" s="617">
        <v>152.46</v>
      </c>
      <c r="F5" s="618">
        <v>0.11806337967240142</v>
      </c>
      <c r="G5" s="617">
        <v>-1138.8802989397834</v>
      </c>
      <c r="H5" s="617" t="s">
        <v>2</v>
      </c>
      <c r="I5"/>
    </row>
    <row r="6" spans="1:9" ht="14.4" customHeight="1" x14ac:dyDescent="0.3">
      <c r="A6" s="615" t="s">
        <v>499</v>
      </c>
      <c r="B6" s="616" t="s">
        <v>2696</v>
      </c>
      <c r="C6" s="617" t="s">
        <v>2697</v>
      </c>
      <c r="D6" s="617">
        <v>40222.071769857292</v>
      </c>
      <c r="E6" s="617">
        <v>45951.389999999992</v>
      </c>
      <c r="F6" s="618">
        <v>1.1424421462654812</v>
      </c>
      <c r="G6" s="617">
        <v>5729.3182301427005</v>
      </c>
      <c r="H6" s="617" t="s">
        <v>2</v>
      </c>
      <c r="I6"/>
    </row>
    <row r="7" spans="1:9" ht="14.4" customHeight="1" x14ac:dyDescent="0.3">
      <c r="A7" s="615" t="s">
        <v>499</v>
      </c>
      <c r="B7" s="616" t="s">
        <v>2698</v>
      </c>
      <c r="C7" s="617" t="s">
        <v>2699</v>
      </c>
      <c r="D7" s="617">
        <v>47626.687858691032</v>
      </c>
      <c r="E7" s="617">
        <v>35954.630000000005</v>
      </c>
      <c r="F7" s="618">
        <v>0.75492610585640207</v>
      </c>
      <c r="G7" s="617">
        <v>-11672.057858691027</v>
      </c>
      <c r="H7" s="617" t="s">
        <v>2</v>
      </c>
      <c r="I7"/>
    </row>
    <row r="8" spans="1:9" ht="14.4" customHeight="1" x14ac:dyDescent="0.3">
      <c r="A8" s="615" t="s">
        <v>499</v>
      </c>
      <c r="B8" s="616" t="s">
        <v>2700</v>
      </c>
      <c r="C8" s="617" t="s">
        <v>2701</v>
      </c>
      <c r="D8" s="617">
        <v>8090.1054379380948</v>
      </c>
      <c r="E8" s="617">
        <v>6746.2999999999993</v>
      </c>
      <c r="F8" s="618">
        <v>0.83389518860453959</v>
      </c>
      <c r="G8" s="617">
        <v>-1343.8054379380956</v>
      </c>
      <c r="H8" s="617" t="s">
        <v>2</v>
      </c>
      <c r="I8"/>
    </row>
    <row r="9" spans="1:9" ht="14.4" customHeight="1" x14ac:dyDescent="0.3">
      <c r="A9" s="615" t="s">
        <v>499</v>
      </c>
      <c r="B9" s="616" t="s">
        <v>2702</v>
      </c>
      <c r="C9" s="617" t="s">
        <v>2703</v>
      </c>
      <c r="D9" s="617">
        <v>692.25467234698579</v>
      </c>
      <c r="E9" s="617">
        <v>573</v>
      </c>
      <c r="F9" s="618">
        <v>0.8277300578663187</v>
      </c>
      <c r="G9" s="617">
        <v>-119.25467234698579</v>
      </c>
      <c r="H9" s="617" t="s">
        <v>2</v>
      </c>
      <c r="I9"/>
    </row>
    <row r="10" spans="1:9" ht="14.4" customHeight="1" x14ac:dyDescent="0.3">
      <c r="A10" s="615" t="s">
        <v>499</v>
      </c>
      <c r="B10" s="616" t="s">
        <v>2704</v>
      </c>
      <c r="C10" s="617" t="s">
        <v>2705</v>
      </c>
      <c r="D10" s="617">
        <v>16649.036805981319</v>
      </c>
      <c r="E10" s="617">
        <v>18112.5</v>
      </c>
      <c r="F10" s="618">
        <v>1.0879007723433538</v>
      </c>
      <c r="G10" s="617">
        <v>1463.463194018681</v>
      </c>
      <c r="H10" s="617" t="s">
        <v>2</v>
      </c>
      <c r="I10"/>
    </row>
    <row r="11" spans="1:9" ht="14.4" customHeight="1" x14ac:dyDescent="0.3">
      <c r="A11" s="615" t="s">
        <v>499</v>
      </c>
      <c r="B11" s="616" t="s">
        <v>6</v>
      </c>
      <c r="C11" s="617" t="s">
        <v>501</v>
      </c>
      <c r="D11" s="617">
        <v>116108.86985363079</v>
      </c>
      <c r="E11" s="617">
        <v>107490.28</v>
      </c>
      <c r="F11" s="618">
        <v>0.92577147754090139</v>
      </c>
      <c r="G11" s="617">
        <v>-8618.5898536307941</v>
      </c>
      <c r="H11" s="617" t="s">
        <v>510</v>
      </c>
      <c r="I11"/>
    </row>
    <row r="13" spans="1:9" ht="14.4" customHeight="1" x14ac:dyDescent="0.3">
      <c r="A13" s="615" t="s">
        <v>499</v>
      </c>
      <c r="B13" s="616" t="s">
        <v>500</v>
      </c>
      <c r="C13" s="617" t="s">
        <v>501</v>
      </c>
      <c r="D13" s="617" t="s">
        <v>500</v>
      </c>
      <c r="E13" s="617" t="s">
        <v>500</v>
      </c>
      <c r="F13" s="618" t="s">
        <v>500</v>
      </c>
      <c r="G13" s="617" t="s">
        <v>500</v>
      </c>
      <c r="H13" s="617" t="s">
        <v>77</v>
      </c>
      <c r="I13"/>
    </row>
    <row r="14" spans="1:9" ht="14.4" customHeight="1" x14ac:dyDescent="0.3">
      <c r="A14" s="615" t="s">
        <v>511</v>
      </c>
      <c r="B14" s="616" t="s">
        <v>2694</v>
      </c>
      <c r="C14" s="617" t="s">
        <v>2695</v>
      </c>
      <c r="D14" s="617">
        <v>1291.3402989397835</v>
      </c>
      <c r="E14" s="617">
        <v>152.46</v>
      </c>
      <c r="F14" s="618">
        <v>0.11806337967240142</v>
      </c>
      <c r="G14" s="617">
        <v>-1138.8802989397834</v>
      </c>
      <c r="H14" s="617" t="s">
        <v>2</v>
      </c>
      <c r="I14"/>
    </row>
    <row r="15" spans="1:9" ht="14.4" customHeight="1" x14ac:dyDescent="0.3">
      <c r="A15" s="615" t="s">
        <v>511</v>
      </c>
      <c r="B15" s="616" t="s">
        <v>2696</v>
      </c>
      <c r="C15" s="617" t="s">
        <v>2697</v>
      </c>
      <c r="D15" s="617">
        <v>40096.075898847834</v>
      </c>
      <c r="E15" s="617">
        <v>45951.389999999992</v>
      </c>
      <c r="F15" s="618">
        <v>1.1460320984009413</v>
      </c>
      <c r="G15" s="617">
        <v>5855.3141011521584</v>
      </c>
      <c r="H15" s="617" t="s">
        <v>2</v>
      </c>
      <c r="I15"/>
    </row>
    <row r="16" spans="1:9" ht="14.4" customHeight="1" x14ac:dyDescent="0.3">
      <c r="A16" s="615" t="s">
        <v>511</v>
      </c>
      <c r="B16" s="616" t="s">
        <v>2698</v>
      </c>
      <c r="C16" s="617" t="s">
        <v>2699</v>
      </c>
      <c r="D16" s="617">
        <v>45115.650108668495</v>
      </c>
      <c r="E16" s="617">
        <v>33955.369999999995</v>
      </c>
      <c r="F16" s="618">
        <v>0.75262951809877232</v>
      </c>
      <c r="G16" s="617">
        <v>-11160.280108668499</v>
      </c>
      <c r="H16" s="617" t="s">
        <v>2</v>
      </c>
      <c r="I16"/>
    </row>
    <row r="17" spans="1:9" ht="14.4" customHeight="1" x14ac:dyDescent="0.3">
      <c r="A17" s="615" t="s">
        <v>511</v>
      </c>
      <c r="B17" s="616" t="s">
        <v>2700</v>
      </c>
      <c r="C17" s="617" t="s">
        <v>2701</v>
      </c>
      <c r="D17" s="617">
        <v>7317.8348899298171</v>
      </c>
      <c r="E17" s="617">
        <v>6746.2999999999993</v>
      </c>
      <c r="F17" s="618">
        <v>0.92189836221690169</v>
      </c>
      <c r="G17" s="617">
        <v>-571.53488992981784</v>
      </c>
      <c r="H17" s="617" t="s">
        <v>2</v>
      </c>
      <c r="I17"/>
    </row>
    <row r="18" spans="1:9" ht="14.4" customHeight="1" x14ac:dyDescent="0.3">
      <c r="A18" s="615" t="s">
        <v>511</v>
      </c>
      <c r="B18" s="616" t="s">
        <v>2702</v>
      </c>
      <c r="C18" s="617" t="s">
        <v>2703</v>
      </c>
      <c r="D18" s="617">
        <v>612.75395052891997</v>
      </c>
      <c r="E18" s="617">
        <v>573</v>
      </c>
      <c r="F18" s="618">
        <v>0.93512249003926462</v>
      </c>
      <c r="G18" s="617">
        <v>-39.753950528919972</v>
      </c>
      <c r="H18" s="617" t="s">
        <v>2</v>
      </c>
      <c r="I18"/>
    </row>
    <row r="19" spans="1:9" ht="14.4" customHeight="1" x14ac:dyDescent="0.3">
      <c r="A19" s="615" t="s">
        <v>511</v>
      </c>
      <c r="B19" s="616" t="s">
        <v>2704</v>
      </c>
      <c r="C19" s="617" t="s">
        <v>2705</v>
      </c>
      <c r="D19" s="617">
        <v>16565.876466507332</v>
      </c>
      <c r="E19" s="617">
        <v>18112.5</v>
      </c>
      <c r="F19" s="618">
        <v>1.0933620105534174</v>
      </c>
      <c r="G19" s="617">
        <v>1546.6235334926678</v>
      </c>
      <c r="H19" s="617" t="s">
        <v>2</v>
      </c>
      <c r="I19"/>
    </row>
    <row r="20" spans="1:9" ht="14.4" customHeight="1" x14ac:dyDescent="0.3">
      <c r="A20" s="615" t="s">
        <v>511</v>
      </c>
      <c r="B20" s="616" t="s">
        <v>6</v>
      </c>
      <c r="C20" s="617" t="s">
        <v>512</v>
      </c>
      <c r="D20" s="617">
        <v>112536.90462329844</v>
      </c>
      <c r="E20" s="617">
        <v>105491.01999999999</v>
      </c>
      <c r="F20" s="618">
        <v>0.93739045296399826</v>
      </c>
      <c r="G20" s="617">
        <v>-7045.8846232984506</v>
      </c>
      <c r="H20" s="617" t="s">
        <v>513</v>
      </c>
      <c r="I20"/>
    </row>
    <row r="21" spans="1:9" ht="14.4" customHeight="1" x14ac:dyDescent="0.3">
      <c r="A21" s="615" t="s">
        <v>500</v>
      </c>
      <c r="B21" s="616" t="s">
        <v>500</v>
      </c>
      <c r="C21" s="617" t="s">
        <v>500</v>
      </c>
      <c r="D21" s="617" t="s">
        <v>500</v>
      </c>
      <c r="E21" s="617" t="s">
        <v>500</v>
      </c>
      <c r="F21" s="618" t="s">
        <v>500</v>
      </c>
      <c r="G21" s="617" t="s">
        <v>500</v>
      </c>
      <c r="H21" s="617" t="s">
        <v>514</v>
      </c>
      <c r="I21"/>
    </row>
    <row r="22" spans="1:9" ht="14.4" customHeight="1" x14ac:dyDescent="0.3">
      <c r="A22" s="615" t="s">
        <v>515</v>
      </c>
      <c r="B22" s="616" t="s">
        <v>2698</v>
      </c>
      <c r="C22" s="617" t="s">
        <v>2699</v>
      </c>
      <c r="D22" s="617">
        <v>2511.0377500225336</v>
      </c>
      <c r="E22" s="617">
        <v>1999.26</v>
      </c>
      <c r="F22" s="618">
        <v>0.79618874705569798</v>
      </c>
      <c r="G22" s="617">
        <v>-511.77775002253361</v>
      </c>
      <c r="H22" s="617" t="s">
        <v>2</v>
      </c>
      <c r="I22"/>
    </row>
    <row r="23" spans="1:9" ht="14.4" customHeight="1" x14ac:dyDescent="0.3">
      <c r="A23" s="615" t="s">
        <v>515</v>
      </c>
      <c r="B23" s="616" t="s">
        <v>6</v>
      </c>
      <c r="C23" s="617" t="s">
        <v>516</v>
      </c>
      <c r="D23" s="617">
        <v>3571.9652303323251</v>
      </c>
      <c r="E23" s="617">
        <v>1999.26</v>
      </c>
      <c r="F23" s="618">
        <v>0.55970869565659087</v>
      </c>
      <c r="G23" s="617">
        <v>-1572.7052303323251</v>
      </c>
      <c r="H23" s="617" t="s">
        <v>513</v>
      </c>
      <c r="I23"/>
    </row>
    <row r="24" spans="1:9" ht="14.4" customHeight="1" x14ac:dyDescent="0.3">
      <c r="A24" s="615" t="s">
        <v>500</v>
      </c>
      <c r="B24" s="616" t="s">
        <v>500</v>
      </c>
      <c r="C24" s="617" t="s">
        <v>500</v>
      </c>
      <c r="D24" s="617" t="s">
        <v>500</v>
      </c>
      <c r="E24" s="617" t="s">
        <v>500</v>
      </c>
      <c r="F24" s="618" t="s">
        <v>500</v>
      </c>
      <c r="G24" s="617" t="s">
        <v>500</v>
      </c>
      <c r="H24" s="617" t="s">
        <v>514</v>
      </c>
      <c r="I24"/>
    </row>
    <row r="25" spans="1:9" ht="14.4" customHeight="1" x14ac:dyDescent="0.3">
      <c r="A25" s="615" t="s">
        <v>499</v>
      </c>
      <c r="B25" s="616" t="s">
        <v>6</v>
      </c>
      <c r="C25" s="617" t="s">
        <v>501</v>
      </c>
      <c r="D25" s="617">
        <v>116108.86985363079</v>
      </c>
      <c r="E25" s="617">
        <v>107490.27999999998</v>
      </c>
      <c r="F25" s="618">
        <v>0.92577147754090128</v>
      </c>
      <c r="G25" s="617">
        <v>-8618.5898536308086</v>
      </c>
      <c r="H25" s="617" t="s">
        <v>510</v>
      </c>
      <c r="I25"/>
    </row>
  </sheetData>
  <autoFilter ref="A3:G3"/>
  <mergeCells count="1">
    <mergeCell ref="A1:G1"/>
  </mergeCells>
  <conditionalFormatting sqref="F12 F26:F65536">
    <cfRule type="cellIs" dxfId="33" priority="15" stopIfTrue="1" operator="greaterThan">
      <formula>1</formula>
    </cfRule>
  </conditionalFormatting>
  <conditionalFormatting sqref="G4:G11">
    <cfRule type="cellIs" dxfId="32" priority="9" operator="greaterThan">
      <formula>0</formula>
    </cfRule>
  </conditionalFormatting>
  <conditionalFormatting sqref="B4:B11">
    <cfRule type="expression" dxfId="31" priority="12">
      <formula>AND(LEFT(H4,6)&lt;&gt;"mezera",H4&lt;&gt;"")</formula>
    </cfRule>
  </conditionalFormatting>
  <conditionalFormatting sqref="A4:A11">
    <cfRule type="expression" dxfId="30" priority="10">
      <formula>AND(H4&lt;&gt;"",H4&lt;&gt;"mezeraKL")</formula>
    </cfRule>
  </conditionalFormatting>
  <conditionalFormatting sqref="F4:F11">
    <cfRule type="cellIs" dxfId="29" priority="8" operator="greaterThan">
      <formula>1</formula>
    </cfRule>
  </conditionalFormatting>
  <conditionalFormatting sqref="B4:G11">
    <cfRule type="expression" dxfId="28" priority="11">
      <formula>OR($H4="KL",$H4="SumaKL")</formula>
    </cfRule>
    <cfRule type="expression" dxfId="27" priority="13">
      <formula>$H4="SumaNS"</formula>
    </cfRule>
  </conditionalFormatting>
  <conditionalFormatting sqref="A4:G11">
    <cfRule type="expression" dxfId="26" priority="14">
      <formula>$H4&lt;&gt;""</formula>
    </cfRule>
  </conditionalFormatting>
  <conditionalFormatting sqref="G13:G25">
    <cfRule type="cellIs" dxfId="25" priority="1" operator="greaterThan">
      <formula>0</formula>
    </cfRule>
  </conditionalFormatting>
  <conditionalFormatting sqref="F13:F25">
    <cfRule type="cellIs" dxfId="24" priority="2" operator="greaterThan">
      <formula>1</formula>
    </cfRule>
  </conditionalFormatting>
  <conditionalFormatting sqref="B13:B25">
    <cfRule type="expression" dxfId="23" priority="5">
      <formula>AND(LEFT(H13,6)&lt;&gt;"mezera",H13&lt;&gt;"")</formula>
    </cfRule>
  </conditionalFormatting>
  <conditionalFormatting sqref="A13:A25">
    <cfRule type="expression" dxfId="22" priority="3">
      <formula>AND(H13&lt;&gt;"",H13&lt;&gt;"mezeraKL")</formula>
    </cfRule>
  </conditionalFormatting>
  <conditionalFormatting sqref="B13:G25">
    <cfRule type="expression" dxfId="21" priority="4">
      <formula>OR($H13="KL",$H13="SumaKL")</formula>
    </cfRule>
    <cfRule type="expression" dxfId="20" priority="6">
      <formula>$H13="SumaNS"</formula>
    </cfRule>
  </conditionalFormatting>
  <conditionalFormatting sqref="A13:G25">
    <cfRule type="expression" dxfId="19" priority="7">
      <formula>$H13&lt;&gt;""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12.44140625" style="345" hidden="1" customWidth="1" outlineLevel="1"/>
    <col min="8" max="8" width="25.77734375" style="345" customWidth="1" collapsed="1"/>
    <col min="9" max="9" width="7.77734375" style="343" customWidth="1"/>
    <col min="10" max="10" width="10" style="343" customWidth="1"/>
    <col min="11" max="11" width="11.109375" style="343" customWidth="1"/>
    <col min="12" max="16384" width="8.88671875" style="260"/>
  </cols>
  <sheetData>
    <row r="1" spans="1:11" ht="18.600000000000001" customHeight="1" thickBot="1" x14ac:dyDescent="0.4">
      <c r="A1" s="492" t="s">
        <v>2894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8"/>
      <c r="J2" s="348"/>
      <c r="K2" s="348"/>
    </row>
    <row r="3" spans="1:11" ht="14.4" customHeight="1" thickBot="1" x14ac:dyDescent="0.35">
      <c r="A3" s="66"/>
      <c r="B3" s="66"/>
      <c r="C3" s="488"/>
      <c r="D3" s="489"/>
      <c r="E3" s="489"/>
      <c r="F3" s="489"/>
      <c r="G3" s="489"/>
      <c r="H3" s="273" t="s">
        <v>163</v>
      </c>
      <c r="I3" s="213">
        <f>IF(J3&lt;&gt;0,K3/J3,0)</f>
        <v>2.5926261456825861</v>
      </c>
      <c r="J3" s="213">
        <f>SUBTOTAL(9,J5:J1048576)</f>
        <v>41460</v>
      </c>
      <c r="K3" s="214">
        <f>SUBTOTAL(9,K5:K1048576)</f>
        <v>107490.28000000001</v>
      </c>
    </row>
    <row r="4" spans="1:11" s="344" customFormat="1" ht="14.4" customHeight="1" thickBot="1" x14ac:dyDescent="0.35">
      <c r="A4" s="727" t="s">
        <v>7</v>
      </c>
      <c r="B4" s="728" t="s">
        <v>8</v>
      </c>
      <c r="C4" s="728" t="s">
        <v>0</v>
      </c>
      <c r="D4" s="728" t="s">
        <v>9</v>
      </c>
      <c r="E4" s="728" t="s">
        <v>10</v>
      </c>
      <c r="F4" s="728" t="s">
        <v>2</v>
      </c>
      <c r="G4" s="728" t="s">
        <v>93</v>
      </c>
      <c r="H4" s="621" t="s">
        <v>14</v>
      </c>
      <c r="I4" s="622" t="s">
        <v>189</v>
      </c>
      <c r="J4" s="622" t="s">
        <v>16</v>
      </c>
      <c r="K4" s="623" t="s">
        <v>206</v>
      </c>
    </row>
    <row r="5" spans="1:11" ht="14.4" customHeight="1" x14ac:dyDescent="0.3">
      <c r="A5" s="695" t="s">
        <v>499</v>
      </c>
      <c r="B5" s="696" t="s">
        <v>501</v>
      </c>
      <c r="C5" s="699" t="s">
        <v>511</v>
      </c>
      <c r="D5" s="729" t="s">
        <v>512</v>
      </c>
      <c r="E5" s="699" t="s">
        <v>2696</v>
      </c>
      <c r="F5" s="729" t="s">
        <v>2697</v>
      </c>
      <c r="G5" s="699" t="s">
        <v>2706</v>
      </c>
      <c r="H5" s="699" t="s">
        <v>2707</v>
      </c>
      <c r="I5" s="235">
        <v>4.3033333333333337</v>
      </c>
      <c r="J5" s="235">
        <v>72</v>
      </c>
      <c r="K5" s="719">
        <v>309.83999999999997</v>
      </c>
    </row>
    <row r="6" spans="1:11" ht="14.4" customHeight="1" x14ac:dyDescent="0.3">
      <c r="A6" s="710" t="s">
        <v>499</v>
      </c>
      <c r="B6" s="711" t="s">
        <v>501</v>
      </c>
      <c r="C6" s="714" t="s">
        <v>511</v>
      </c>
      <c r="D6" s="730" t="s">
        <v>512</v>
      </c>
      <c r="E6" s="714" t="s">
        <v>2696</v>
      </c>
      <c r="F6" s="730" t="s">
        <v>2697</v>
      </c>
      <c r="G6" s="714" t="s">
        <v>2708</v>
      </c>
      <c r="H6" s="714" t="s">
        <v>2709</v>
      </c>
      <c r="I6" s="720">
        <v>4.5</v>
      </c>
      <c r="J6" s="720">
        <v>150</v>
      </c>
      <c r="K6" s="721">
        <v>669.5</v>
      </c>
    </row>
    <row r="7" spans="1:11" ht="14.4" customHeight="1" x14ac:dyDescent="0.3">
      <c r="A7" s="710" t="s">
        <v>499</v>
      </c>
      <c r="B7" s="711" t="s">
        <v>501</v>
      </c>
      <c r="C7" s="714" t="s">
        <v>511</v>
      </c>
      <c r="D7" s="730" t="s">
        <v>512</v>
      </c>
      <c r="E7" s="714" t="s">
        <v>2696</v>
      </c>
      <c r="F7" s="730" t="s">
        <v>2697</v>
      </c>
      <c r="G7" s="714" t="s">
        <v>2710</v>
      </c>
      <c r="H7" s="714" t="s">
        <v>2711</v>
      </c>
      <c r="I7" s="720">
        <v>73.213333333333324</v>
      </c>
      <c r="J7" s="720">
        <v>30</v>
      </c>
      <c r="K7" s="721">
        <v>2196.41</v>
      </c>
    </row>
    <row r="8" spans="1:11" ht="14.4" customHeight="1" x14ac:dyDescent="0.3">
      <c r="A8" s="710" t="s">
        <v>499</v>
      </c>
      <c r="B8" s="711" t="s">
        <v>501</v>
      </c>
      <c r="C8" s="714" t="s">
        <v>511</v>
      </c>
      <c r="D8" s="730" t="s">
        <v>512</v>
      </c>
      <c r="E8" s="714" t="s">
        <v>2696</v>
      </c>
      <c r="F8" s="730" t="s">
        <v>2697</v>
      </c>
      <c r="G8" s="714" t="s">
        <v>2712</v>
      </c>
      <c r="H8" s="714" t="s">
        <v>2713</v>
      </c>
      <c r="I8" s="720">
        <v>3.1025</v>
      </c>
      <c r="J8" s="720">
        <v>180</v>
      </c>
      <c r="K8" s="721">
        <v>558.6</v>
      </c>
    </row>
    <row r="9" spans="1:11" ht="14.4" customHeight="1" x14ac:dyDescent="0.3">
      <c r="A9" s="710" t="s">
        <v>499</v>
      </c>
      <c r="B9" s="711" t="s">
        <v>501</v>
      </c>
      <c r="C9" s="714" t="s">
        <v>511</v>
      </c>
      <c r="D9" s="730" t="s">
        <v>512</v>
      </c>
      <c r="E9" s="714" t="s">
        <v>2696</v>
      </c>
      <c r="F9" s="730" t="s">
        <v>2697</v>
      </c>
      <c r="G9" s="714" t="s">
        <v>2714</v>
      </c>
      <c r="H9" s="714" t="s">
        <v>2715</v>
      </c>
      <c r="I9" s="720">
        <v>3.7874999999999996</v>
      </c>
      <c r="J9" s="720">
        <v>180</v>
      </c>
      <c r="K9" s="721">
        <v>682</v>
      </c>
    </row>
    <row r="10" spans="1:11" ht="14.4" customHeight="1" x14ac:dyDescent="0.3">
      <c r="A10" s="710" t="s">
        <v>499</v>
      </c>
      <c r="B10" s="711" t="s">
        <v>501</v>
      </c>
      <c r="C10" s="714" t="s">
        <v>511</v>
      </c>
      <c r="D10" s="730" t="s">
        <v>512</v>
      </c>
      <c r="E10" s="714" t="s">
        <v>2696</v>
      </c>
      <c r="F10" s="730" t="s">
        <v>2697</v>
      </c>
      <c r="G10" s="714" t="s">
        <v>2716</v>
      </c>
      <c r="H10" s="714" t="s">
        <v>2717</v>
      </c>
      <c r="I10" s="720">
        <v>12.074999999999999</v>
      </c>
      <c r="J10" s="720">
        <v>40</v>
      </c>
      <c r="K10" s="721">
        <v>483</v>
      </c>
    </row>
    <row r="11" spans="1:11" ht="14.4" customHeight="1" x14ac:dyDescent="0.3">
      <c r="A11" s="710" t="s">
        <v>499</v>
      </c>
      <c r="B11" s="711" t="s">
        <v>501</v>
      </c>
      <c r="C11" s="714" t="s">
        <v>511</v>
      </c>
      <c r="D11" s="730" t="s">
        <v>512</v>
      </c>
      <c r="E11" s="714" t="s">
        <v>2696</v>
      </c>
      <c r="F11" s="730" t="s">
        <v>2697</v>
      </c>
      <c r="G11" s="714" t="s">
        <v>2718</v>
      </c>
      <c r="H11" s="714" t="s">
        <v>2719</v>
      </c>
      <c r="I11" s="720">
        <v>27.362500000000001</v>
      </c>
      <c r="J11" s="720">
        <v>22</v>
      </c>
      <c r="K11" s="721">
        <v>601.98</v>
      </c>
    </row>
    <row r="12" spans="1:11" ht="14.4" customHeight="1" x14ac:dyDescent="0.3">
      <c r="A12" s="710" t="s">
        <v>499</v>
      </c>
      <c r="B12" s="711" t="s">
        <v>501</v>
      </c>
      <c r="C12" s="714" t="s">
        <v>511</v>
      </c>
      <c r="D12" s="730" t="s">
        <v>512</v>
      </c>
      <c r="E12" s="714" t="s">
        <v>2696</v>
      </c>
      <c r="F12" s="730" t="s">
        <v>2697</v>
      </c>
      <c r="G12" s="714" t="s">
        <v>2720</v>
      </c>
      <c r="H12" s="714" t="s">
        <v>2721</v>
      </c>
      <c r="I12" s="720">
        <v>129.26</v>
      </c>
      <c r="J12" s="720">
        <v>5</v>
      </c>
      <c r="K12" s="721">
        <v>646.29999999999995</v>
      </c>
    </row>
    <row r="13" spans="1:11" ht="14.4" customHeight="1" x14ac:dyDescent="0.3">
      <c r="A13" s="710" t="s">
        <v>499</v>
      </c>
      <c r="B13" s="711" t="s">
        <v>501</v>
      </c>
      <c r="C13" s="714" t="s">
        <v>511</v>
      </c>
      <c r="D13" s="730" t="s">
        <v>512</v>
      </c>
      <c r="E13" s="714" t="s">
        <v>2696</v>
      </c>
      <c r="F13" s="730" t="s">
        <v>2697</v>
      </c>
      <c r="G13" s="714" t="s">
        <v>2722</v>
      </c>
      <c r="H13" s="714" t="s">
        <v>2723</v>
      </c>
      <c r="I13" s="720">
        <v>86.38</v>
      </c>
      <c r="J13" s="720">
        <v>10</v>
      </c>
      <c r="K13" s="721">
        <v>863.78</v>
      </c>
    </row>
    <row r="14" spans="1:11" ht="14.4" customHeight="1" x14ac:dyDescent="0.3">
      <c r="A14" s="710" t="s">
        <v>499</v>
      </c>
      <c r="B14" s="711" t="s">
        <v>501</v>
      </c>
      <c r="C14" s="714" t="s">
        <v>511</v>
      </c>
      <c r="D14" s="730" t="s">
        <v>512</v>
      </c>
      <c r="E14" s="714" t="s">
        <v>2696</v>
      </c>
      <c r="F14" s="730" t="s">
        <v>2697</v>
      </c>
      <c r="G14" s="714" t="s">
        <v>2724</v>
      </c>
      <c r="H14" s="714" t="s">
        <v>2725</v>
      </c>
      <c r="I14" s="720">
        <v>233.79</v>
      </c>
      <c r="J14" s="720">
        <v>30</v>
      </c>
      <c r="K14" s="721">
        <v>7013.8499999999995</v>
      </c>
    </row>
    <row r="15" spans="1:11" ht="14.4" customHeight="1" x14ac:dyDescent="0.3">
      <c r="A15" s="710" t="s">
        <v>499</v>
      </c>
      <c r="B15" s="711" t="s">
        <v>501</v>
      </c>
      <c r="C15" s="714" t="s">
        <v>511</v>
      </c>
      <c r="D15" s="730" t="s">
        <v>512</v>
      </c>
      <c r="E15" s="714" t="s">
        <v>2696</v>
      </c>
      <c r="F15" s="730" t="s">
        <v>2697</v>
      </c>
      <c r="G15" s="714" t="s">
        <v>2726</v>
      </c>
      <c r="H15" s="714" t="s">
        <v>2727</v>
      </c>
      <c r="I15" s="720">
        <v>0.28333333333333333</v>
      </c>
      <c r="J15" s="720">
        <v>1300</v>
      </c>
      <c r="K15" s="721">
        <v>363</v>
      </c>
    </row>
    <row r="16" spans="1:11" ht="14.4" customHeight="1" x14ac:dyDescent="0.3">
      <c r="A16" s="710" t="s">
        <v>499</v>
      </c>
      <c r="B16" s="711" t="s">
        <v>501</v>
      </c>
      <c r="C16" s="714" t="s">
        <v>511</v>
      </c>
      <c r="D16" s="730" t="s">
        <v>512</v>
      </c>
      <c r="E16" s="714" t="s">
        <v>2696</v>
      </c>
      <c r="F16" s="730" t="s">
        <v>2697</v>
      </c>
      <c r="G16" s="714" t="s">
        <v>2728</v>
      </c>
      <c r="H16" s="714" t="s">
        <v>2729</v>
      </c>
      <c r="I16" s="720">
        <v>30.175000000000004</v>
      </c>
      <c r="J16" s="720">
        <v>100</v>
      </c>
      <c r="K16" s="721">
        <v>3017.5</v>
      </c>
    </row>
    <row r="17" spans="1:11" ht="14.4" customHeight="1" x14ac:dyDescent="0.3">
      <c r="A17" s="710" t="s">
        <v>499</v>
      </c>
      <c r="B17" s="711" t="s">
        <v>501</v>
      </c>
      <c r="C17" s="714" t="s">
        <v>511</v>
      </c>
      <c r="D17" s="730" t="s">
        <v>512</v>
      </c>
      <c r="E17" s="714" t="s">
        <v>2696</v>
      </c>
      <c r="F17" s="730" t="s">
        <v>2697</v>
      </c>
      <c r="G17" s="714" t="s">
        <v>2730</v>
      </c>
      <c r="H17" s="714" t="s">
        <v>2731</v>
      </c>
      <c r="I17" s="720">
        <v>109.31</v>
      </c>
      <c r="J17" s="720">
        <v>9</v>
      </c>
      <c r="K17" s="721">
        <v>983.77</v>
      </c>
    </row>
    <row r="18" spans="1:11" ht="14.4" customHeight="1" x14ac:dyDescent="0.3">
      <c r="A18" s="710" t="s">
        <v>499</v>
      </c>
      <c r="B18" s="711" t="s">
        <v>501</v>
      </c>
      <c r="C18" s="714" t="s">
        <v>511</v>
      </c>
      <c r="D18" s="730" t="s">
        <v>512</v>
      </c>
      <c r="E18" s="714" t="s">
        <v>2696</v>
      </c>
      <c r="F18" s="730" t="s">
        <v>2697</v>
      </c>
      <c r="G18" s="714" t="s">
        <v>2732</v>
      </c>
      <c r="H18" s="714" t="s">
        <v>2733</v>
      </c>
      <c r="I18" s="720">
        <v>0.6</v>
      </c>
      <c r="J18" s="720">
        <v>2000</v>
      </c>
      <c r="K18" s="721">
        <v>1200</v>
      </c>
    </row>
    <row r="19" spans="1:11" ht="14.4" customHeight="1" x14ac:dyDescent="0.3">
      <c r="A19" s="710" t="s">
        <v>499</v>
      </c>
      <c r="B19" s="711" t="s">
        <v>501</v>
      </c>
      <c r="C19" s="714" t="s">
        <v>511</v>
      </c>
      <c r="D19" s="730" t="s">
        <v>512</v>
      </c>
      <c r="E19" s="714" t="s">
        <v>2696</v>
      </c>
      <c r="F19" s="730" t="s">
        <v>2697</v>
      </c>
      <c r="G19" s="714" t="s">
        <v>2734</v>
      </c>
      <c r="H19" s="714" t="s">
        <v>2735</v>
      </c>
      <c r="I19" s="720">
        <v>3.1825000000000001</v>
      </c>
      <c r="J19" s="720">
        <v>400</v>
      </c>
      <c r="K19" s="721">
        <v>1273</v>
      </c>
    </row>
    <row r="20" spans="1:11" ht="14.4" customHeight="1" x14ac:dyDescent="0.3">
      <c r="A20" s="710" t="s">
        <v>499</v>
      </c>
      <c r="B20" s="711" t="s">
        <v>501</v>
      </c>
      <c r="C20" s="714" t="s">
        <v>511</v>
      </c>
      <c r="D20" s="730" t="s">
        <v>512</v>
      </c>
      <c r="E20" s="714" t="s">
        <v>2696</v>
      </c>
      <c r="F20" s="730" t="s">
        <v>2697</v>
      </c>
      <c r="G20" s="714" t="s">
        <v>2736</v>
      </c>
      <c r="H20" s="714" t="s">
        <v>2737</v>
      </c>
      <c r="I20" s="720">
        <v>289.8</v>
      </c>
      <c r="J20" s="720">
        <v>2</v>
      </c>
      <c r="K20" s="721">
        <v>579.6</v>
      </c>
    </row>
    <row r="21" spans="1:11" ht="14.4" customHeight="1" x14ac:dyDescent="0.3">
      <c r="A21" s="710" t="s">
        <v>499</v>
      </c>
      <c r="B21" s="711" t="s">
        <v>501</v>
      </c>
      <c r="C21" s="714" t="s">
        <v>511</v>
      </c>
      <c r="D21" s="730" t="s">
        <v>512</v>
      </c>
      <c r="E21" s="714" t="s">
        <v>2696</v>
      </c>
      <c r="F21" s="730" t="s">
        <v>2697</v>
      </c>
      <c r="G21" s="714" t="s">
        <v>2738</v>
      </c>
      <c r="H21" s="714" t="s">
        <v>2739</v>
      </c>
      <c r="I21" s="720">
        <v>119.46</v>
      </c>
      <c r="J21" s="720">
        <v>10</v>
      </c>
      <c r="K21" s="721">
        <v>1194.6099999999999</v>
      </c>
    </row>
    <row r="22" spans="1:11" ht="14.4" customHeight="1" x14ac:dyDescent="0.3">
      <c r="A22" s="710" t="s">
        <v>499</v>
      </c>
      <c r="B22" s="711" t="s">
        <v>501</v>
      </c>
      <c r="C22" s="714" t="s">
        <v>511</v>
      </c>
      <c r="D22" s="730" t="s">
        <v>512</v>
      </c>
      <c r="E22" s="714" t="s">
        <v>2696</v>
      </c>
      <c r="F22" s="730" t="s">
        <v>2697</v>
      </c>
      <c r="G22" s="714" t="s">
        <v>2740</v>
      </c>
      <c r="H22" s="714" t="s">
        <v>2741</v>
      </c>
      <c r="I22" s="720">
        <v>13.02</v>
      </c>
      <c r="J22" s="720">
        <v>3</v>
      </c>
      <c r="K22" s="721">
        <v>39.06</v>
      </c>
    </row>
    <row r="23" spans="1:11" ht="14.4" customHeight="1" x14ac:dyDescent="0.3">
      <c r="A23" s="710" t="s">
        <v>499</v>
      </c>
      <c r="B23" s="711" t="s">
        <v>501</v>
      </c>
      <c r="C23" s="714" t="s">
        <v>511</v>
      </c>
      <c r="D23" s="730" t="s">
        <v>512</v>
      </c>
      <c r="E23" s="714" t="s">
        <v>2696</v>
      </c>
      <c r="F23" s="730" t="s">
        <v>2697</v>
      </c>
      <c r="G23" s="714" t="s">
        <v>2742</v>
      </c>
      <c r="H23" s="714" t="s">
        <v>2743</v>
      </c>
      <c r="I23" s="720">
        <v>27.94</v>
      </c>
      <c r="J23" s="720">
        <v>9</v>
      </c>
      <c r="K23" s="721">
        <v>251.45999999999998</v>
      </c>
    </row>
    <row r="24" spans="1:11" ht="14.4" customHeight="1" x14ac:dyDescent="0.3">
      <c r="A24" s="710" t="s">
        <v>499</v>
      </c>
      <c r="B24" s="711" t="s">
        <v>501</v>
      </c>
      <c r="C24" s="714" t="s">
        <v>511</v>
      </c>
      <c r="D24" s="730" t="s">
        <v>512</v>
      </c>
      <c r="E24" s="714" t="s">
        <v>2696</v>
      </c>
      <c r="F24" s="730" t="s">
        <v>2697</v>
      </c>
      <c r="G24" s="714" t="s">
        <v>2744</v>
      </c>
      <c r="H24" s="714" t="s">
        <v>2745</v>
      </c>
      <c r="I24" s="720">
        <v>159.55000000000001</v>
      </c>
      <c r="J24" s="720">
        <v>20</v>
      </c>
      <c r="K24" s="721">
        <v>3191.02</v>
      </c>
    </row>
    <row r="25" spans="1:11" ht="14.4" customHeight="1" x14ac:dyDescent="0.3">
      <c r="A25" s="710" t="s">
        <v>499</v>
      </c>
      <c r="B25" s="711" t="s">
        <v>501</v>
      </c>
      <c r="C25" s="714" t="s">
        <v>511</v>
      </c>
      <c r="D25" s="730" t="s">
        <v>512</v>
      </c>
      <c r="E25" s="714" t="s">
        <v>2696</v>
      </c>
      <c r="F25" s="730" t="s">
        <v>2697</v>
      </c>
      <c r="G25" s="714" t="s">
        <v>2746</v>
      </c>
      <c r="H25" s="714" t="s">
        <v>2747</v>
      </c>
      <c r="I25" s="720">
        <v>2.9450000000000003</v>
      </c>
      <c r="J25" s="720">
        <v>200</v>
      </c>
      <c r="K25" s="721">
        <v>589</v>
      </c>
    </row>
    <row r="26" spans="1:11" ht="14.4" customHeight="1" x14ac:dyDescent="0.3">
      <c r="A26" s="710" t="s">
        <v>499</v>
      </c>
      <c r="B26" s="711" t="s">
        <v>501</v>
      </c>
      <c r="C26" s="714" t="s">
        <v>511</v>
      </c>
      <c r="D26" s="730" t="s">
        <v>512</v>
      </c>
      <c r="E26" s="714" t="s">
        <v>2696</v>
      </c>
      <c r="F26" s="730" t="s">
        <v>2697</v>
      </c>
      <c r="G26" s="714" t="s">
        <v>2748</v>
      </c>
      <c r="H26" s="714" t="s">
        <v>2749</v>
      </c>
      <c r="I26" s="720">
        <v>1.23</v>
      </c>
      <c r="J26" s="720">
        <v>1100</v>
      </c>
      <c r="K26" s="721">
        <v>1353</v>
      </c>
    </row>
    <row r="27" spans="1:11" ht="14.4" customHeight="1" x14ac:dyDescent="0.3">
      <c r="A27" s="710" t="s">
        <v>499</v>
      </c>
      <c r="B27" s="711" t="s">
        <v>501</v>
      </c>
      <c r="C27" s="714" t="s">
        <v>511</v>
      </c>
      <c r="D27" s="730" t="s">
        <v>512</v>
      </c>
      <c r="E27" s="714" t="s">
        <v>2696</v>
      </c>
      <c r="F27" s="730" t="s">
        <v>2697</v>
      </c>
      <c r="G27" s="714" t="s">
        <v>2750</v>
      </c>
      <c r="H27" s="714" t="s">
        <v>2751</v>
      </c>
      <c r="I27" s="720">
        <v>259.89999999999998</v>
      </c>
      <c r="J27" s="720">
        <v>1</v>
      </c>
      <c r="K27" s="721">
        <v>259.89999999999998</v>
      </c>
    </row>
    <row r="28" spans="1:11" ht="14.4" customHeight="1" x14ac:dyDescent="0.3">
      <c r="A28" s="710" t="s">
        <v>499</v>
      </c>
      <c r="B28" s="711" t="s">
        <v>501</v>
      </c>
      <c r="C28" s="714" t="s">
        <v>511</v>
      </c>
      <c r="D28" s="730" t="s">
        <v>512</v>
      </c>
      <c r="E28" s="714" t="s">
        <v>2696</v>
      </c>
      <c r="F28" s="730" t="s">
        <v>2697</v>
      </c>
      <c r="G28" s="714" t="s">
        <v>2752</v>
      </c>
      <c r="H28" s="714" t="s">
        <v>2753</v>
      </c>
      <c r="I28" s="720">
        <v>122.07333333333332</v>
      </c>
      <c r="J28" s="720">
        <v>30</v>
      </c>
      <c r="K28" s="721">
        <v>3662.18</v>
      </c>
    </row>
    <row r="29" spans="1:11" ht="14.4" customHeight="1" x14ac:dyDescent="0.3">
      <c r="A29" s="710" t="s">
        <v>499</v>
      </c>
      <c r="B29" s="711" t="s">
        <v>501</v>
      </c>
      <c r="C29" s="714" t="s">
        <v>511</v>
      </c>
      <c r="D29" s="730" t="s">
        <v>512</v>
      </c>
      <c r="E29" s="714" t="s">
        <v>2696</v>
      </c>
      <c r="F29" s="730" t="s">
        <v>2697</v>
      </c>
      <c r="G29" s="714" t="s">
        <v>2754</v>
      </c>
      <c r="H29" s="714" t="s">
        <v>2755</v>
      </c>
      <c r="I29" s="720">
        <v>124.40666666666668</v>
      </c>
      <c r="J29" s="720">
        <v>25</v>
      </c>
      <c r="K29" s="721">
        <v>3110.18</v>
      </c>
    </row>
    <row r="30" spans="1:11" ht="14.4" customHeight="1" x14ac:dyDescent="0.3">
      <c r="A30" s="710" t="s">
        <v>499</v>
      </c>
      <c r="B30" s="711" t="s">
        <v>501</v>
      </c>
      <c r="C30" s="714" t="s">
        <v>511</v>
      </c>
      <c r="D30" s="730" t="s">
        <v>512</v>
      </c>
      <c r="E30" s="714" t="s">
        <v>2696</v>
      </c>
      <c r="F30" s="730" t="s">
        <v>2697</v>
      </c>
      <c r="G30" s="714" t="s">
        <v>2756</v>
      </c>
      <c r="H30" s="714" t="s">
        <v>2757</v>
      </c>
      <c r="I30" s="720">
        <v>9.73</v>
      </c>
      <c r="J30" s="720">
        <v>20</v>
      </c>
      <c r="K30" s="721">
        <v>194.6</v>
      </c>
    </row>
    <row r="31" spans="1:11" ht="14.4" customHeight="1" x14ac:dyDescent="0.3">
      <c r="A31" s="710" t="s">
        <v>499</v>
      </c>
      <c r="B31" s="711" t="s">
        <v>501</v>
      </c>
      <c r="C31" s="714" t="s">
        <v>511</v>
      </c>
      <c r="D31" s="730" t="s">
        <v>512</v>
      </c>
      <c r="E31" s="714" t="s">
        <v>2696</v>
      </c>
      <c r="F31" s="730" t="s">
        <v>2697</v>
      </c>
      <c r="G31" s="714" t="s">
        <v>2758</v>
      </c>
      <c r="H31" s="714" t="s">
        <v>2759</v>
      </c>
      <c r="I31" s="720">
        <v>1.5150000000000001</v>
      </c>
      <c r="J31" s="720">
        <v>125</v>
      </c>
      <c r="K31" s="721">
        <v>189.5</v>
      </c>
    </row>
    <row r="32" spans="1:11" ht="14.4" customHeight="1" x14ac:dyDescent="0.3">
      <c r="A32" s="710" t="s">
        <v>499</v>
      </c>
      <c r="B32" s="711" t="s">
        <v>501</v>
      </c>
      <c r="C32" s="714" t="s">
        <v>511</v>
      </c>
      <c r="D32" s="730" t="s">
        <v>512</v>
      </c>
      <c r="E32" s="714" t="s">
        <v>2696</v>
      </c>
      <c r="F32" s="730" t="s">
        <v>2697</v>
      </c>
      <c r="G32" s="714" t="s">
        <v>2760</v>
      </c>
      <c r="H32" s="714" t="s">
        <v>2761</v>
      </c>
      <c r="I32" s="720">
        <v>2.06</v>
      </c>
      <c r="J32" s="720">
        <v>100</v>
      </c>
      <c r="K32" s="721">
        <v>206</v>
      </c>
    </row>
    <row r="33" spans="1:11" ht="14.4" customHeight="1" x14ac:dyDescent="0.3">
      <c r="A33" s="710" t="s">
        <v>499</v>
      </c>
      <c r="B33" s="711" t="s">
        <v>501</v>
      </c>
      <c r="C33" s="714" t="s">
        <v>511</v>
      </c>
      <c r="D33" s="730" t="s">
        <v>512</v>
      </c>
      <c r="E33" s="714" t="s">
        <v>2696</v>
      </c>
      <c r="F33" s="730" t="s">
        <v>2697</v>
      </c>
      <c r="G33" s="714" t="s">
        <v>2762</v>
      </c>
      <c r="H33" s="714" t="s">
        <v>2763</v>
      </c>
      <c r="I33" s="720">
        <v>3.36</v>
      </c>
      <c r="J33" s="720">
        <v>75</v>
      </c>
      <c r="K33" s="721">
        <v>252</v>
      </c>
    </row>
    <row r="34" spans="1:11" ht="14.4" customHeight="1" x14ac:dyDescent="0.3">
      <c r="A34" s="710" t="s">
        <v>499</v>
      </c>
      <c r="B34" s="711" t="s">
        <v>501</v>
      </c>
      <c r="C34" s="714" t="s">
        <v>511</v>
      </c>
      <c r="D34" s="730" t="s">
        <v>512</v>
      </c>
      <c r="E34" s="714" t="s">
        <v>2696</v>
      </c>
      <c r="F34" s="730" t="s">
        <v>2697</v>
      </c>
      <c r="G34" s="714" t="s">
        <v>2764</v>
      </c>
      <c r="H34" s="714" t="s">
        <v>2765</v>
      </c>
      <c r="I34" s="720">
        <v>28.86</v>
      </c>
      <c r="J34" s="720">
        <v>20</v>
      </c>
      <c r="K34" s="721">
        <v>577.29999999999995</v>
      </c>
    </row>
    <row r="35" spans="1:11" ht="14.4" customHeight="1" x14ac:dyDescent="0.3">
      <c r="A35" s="710" t="s">
        <v>499</v>
      </c>
      <c r="B35" s="711" t="s">
        <v>501</v>
      </c>
      <c r="C35" s="714" t="s">
        <v>511</v>
      </c>
      <c r="D35" s="730" t="s">
        <v>512</v>
      </c>
      <c r="E35" s="714" t="s">
        <v>2696</v>
      </c>
      <c r="F35" s="730" t="s">
        <v>2697</v>
      </c>
      <c r="G35" s="714" t="s">
        <v>2766</v>
      </c>
      <c r="H35" s="714" t="s">
        <v>2767</v>
      </c>
      <c r="I35" s="720">
        <v>58.53</v>
      </c>
      <c r="J35" s="720">
        <v>10</v>
      </c>
      <c r="K35" s="721">
        <v>585.34</v>
      </c>
    </row>
    <row r="36" spans="1:11" ht="14.4" customHeight="1" x14ac:dyDescent="0.3">
      <c r="A36" s="710" t="s">
        <v>499</v>
      </c>
      <c r="B36" s="711" t="s">
        <v>501</v>
      </c>
      <c r="C36" s="714" t="s">
        <v>511</v>
      </c>
      <c r="D36" s="730" t="s">
        <v>512</v>
      </c>
      <c r="E36" s="714" t="s">
        <v>2696</v>
      </c>
      <c r="F36" s="730" t="s">
        <v>2697</v>
      </c>
      <c r="G36" s="714" t="s">
        <v>2768</v>
      </c>
      <c r="H36" s="714" t="s">
        <v>2769</v>
      </c>
      <c r="I36" s="720">
        <v>15.73</v>
      </c>
      <c r="J36" s="720">
        <v>60</v>
      </c>
      <c r="K36" s="721">
        <v>943.8</v>
      </c>
    </row>
    <row r="37" spans="1:11" ht="14.4" customHeight="1" x14ac:dyDescent="0.3">
      <c r="A37" s="710" t="s">
        <v>499</v>
      </c>
      <c r="B37" s="711" t="s">
        <v>501</v>
      </c>
      <c r="C37" s="714" t="s">
        <v>511</v>
      </c>
      <c r="D37" s="730" t="s">
        <v>512</v>
      </c>
      <c r="E37" s="714" t="s">
        <v>2696</v>
      </c>
      <c r="F37" s="730" t="s">
        <v>2697</v>
      </c>
      <c r="G37" s="714" t="s">
        <v>2770</v>
      </c>
      <c r="H37" s="714" t="s">
        <v>2771</v>
      </c>
      <c r="I37" s="720">
        <v>47.53</v>
      </c>
      <c r="J37" s="720">
        <v>9</v>
      </c>
      <c r="K37" s="721">
        <v>427.8</v>
      </c>
    </row>
    <row r="38" spans="1:11" ht="14.4" customHeight="1" x14ac:dyDescent="0.3">
      <c r="A38" s="710" t="s">
        <v>499</v>
      </c>
      <c r="B38" s="711" t="s">
        <v>501</v>
      </c>
      <c r="C38" s="714" t="s">
        <v>511</v>
      </c>
      <c r="D38" s="730" t="s">
        <v>512</v>
      </c>
      <c r="E38" s="714" t="s">
        <v>2696</v>
      </c>
      <c r="F38" s="730" t="s">
        <v>2697</v>
      </c>
      <c r="G38" s="714" t="s">
        <v>2772</v>
      </c>
      <c r="H38" s="714" t="s">
        <v>2773</v>
      </c>
      <c r="I38" s="720">
        <v>1171.6866666666667</v>
      </c>
      <c r="J38" s="720">
        <v>4</v>
      </c>
      <c r="K38" s="721">
        <v>4393.8600000000006</v>
      </c>
    </row>
    <row r="39" spans="1:11" ht="14.4" customHeight="1" x14ac:dyDescent="0.3">
      <c r="A39" s="710" t="s">
        <v>499</v>
      </c>
      <c r="B39" s="711" t="s">
        <v>501</v>
      </c>
      <c r="C39" s="714" t="s">
        <v>511</v>
      </c>
      <c r="D39" s="730" t="s">
        <v>512</v>
      </c>
      <c r="E39" s="714" t="s">
        <v>2696</v>
      </c>
      <c r="F39" s="730" t="s">
        <v>2697</v>
      </c>
      <c r="G39" s="714" t="s">
        <v>2774</v>
      </c>
      <c r="H39" s="714" t="s">
        <v>2775</v>
      </c>
      <c r="I39" s="720">
        <v>3.99</v>
      </c>
      <c r="J39" s="720">
        <v>108</v>
      </c>
      <c r="K39" s="721">
        <v>431.25</v>
      </c>
    </row>
    <row r="40" spans="1:11" ht="14.4" customHeight="1" x14ac:dyDescent="0.3">
      <c r="A40" s="710" t="s">
        <v>499</v>
      </c>
      <c r="B40" s="711" t="s">
        <v>501</v>
      </c>
      <c r="C40" s="714" t="s">
        <v>511</v>
      </c>
      <c r="D40" s="730" t="s">
        <v>512</v>
      </c>
      <c r="E40" s="714" t="s">
        <v>2696</v>
      </c>
      <c r="F40" s="730" t="s">
        <v>2697</v>
      </c>
      <c r="G40" s="714" t="s">
        <v>2776</v>
      </c>
      <c r="H40" s="714" t="s">
        <v>2777</v>
      </c>
      <c r="I40" s="720">
        <v>5.27</v>
      </c>
      <c r="J40" s="720">
        <v>120</v>
      </c>
      <c r="K40" s="721">
        <v>632.4</v>
      </c>
    </row>
    <row r="41" spans="1:11" ht="14.4" customHeight="1" x14ac:dyDescent="0.3">
      <c r="A41" s="710" t="s">
        <v>499</v>
      </c>
      <c r="B41" s="711" t="s">
        <v>501</v>
      </c>
      <c r="C41" s="714" t="s">
        <v>511</v>
      </c>
      <c r="D41" s="730" t="s">
        <v>512</v>
      </c>
      <c r="E41" s="714" t="s">
        <v>2696</v>
      </c>
      <c r="F41" s="730" t="s">
        <v>2697</v>
      </c>
      <c r="G41" s="714" t="s">
        <v>2778</v>
      </c>
      <c r="H41" s="714" t="s">
        <v>2779</v>
      </c>
      <c r="I41" s="720">
        <v>101.25</v>
      </c>
      <c r="J41" s="720">
        <v>20</v>
      </c>
      <c r="K41" s="721">
        <v>2025</v>
      </c>
    </row>
    <row r="42" spans="1:11" ht="14.4" customHeight="1" x14ac:dyDescent="0.3">
      <c r="A42" s="710" t="s">
        <v>499</v>
      </c>
      <c r="B42" s="711" t="s">
        <v>501</v>
      </c>
      <c r="C42" s="714" t="s">
        <v>511</v>
      </c>
      <c r="D42" s="730" t="s">
        <v>512</v>
      </c>
      <c r="E42" s="714" t="s">
        <v>2698</v>
      </c>
      <c r="F42" s="730" t="s">
        <v>2699</v>
      </c>
      <c r="G42" s="714" t="s">
        <v>2780</v>
      </c>
      <c r="H42" s="714" t="s">
        <v>2781</v>
      </c>
      <c r="I42" s="720">
        <v>3.51</v>
      </c>
      <c r="J42" s="720">
        <v>20</v>
      </c>
      <c r="K42" s="721">
        <v>70.2</v>
      </c>
    </row>
    <row r="43" spans="1:11" ht="14.4" customHeight="1" x14ac:dyDescent="0.3">
      <c r="A43" s="710" t="s">
        <v>499</v>
      </c>
      <c r="B43" s="711" t="s">
        <v>501</v>
      </c>
      <c r="C43" s="714" t="s">
        <v>511</v>
      </c>
      <c r="D43" s="730" t="s">
        <v>512</v>
      </c>
      <c r="E43" s="714" t="s">
        <v>2698</v>
      </c>
      <c r="F43" s="730" t="s">
        <v>2699</v>
      </c>
      <c r="G43" s="714" t="s">
        <v>2782</v>
      </c>
      <c r="H43" s="714" t="s">
        <v>2783</v>
      </c>
      <c r="I43" s="720">
        <v>0.22</v>
      </c>
      <c r="J43" s="720">
        <v>400</v>
      </c>
      <c r="K43" s="721">
        <v>88</v>
      </c>
    </row>
    <row r="44" spans="1:11" ht="14.4" customHeight="1" x14ac:dyDescent="0.3">
      <c r="A44" s="710" t="s">
        <v>499</v>
      </c>
      <c r="B44" s="711" t="s">
        <v>501</v>
      </c>
      <c r="C44" s="714" t="s">
        <v>511</v>
      </c>
      <c r="D44" s="730" t="s">
        <v>512</v>
      </c>
      <c r="E44" s="714" t="s">
        <v>2698</v>
      </c>
      <c r="F44" s="730" t="s">
        <v>2699</v>
      </c>
      <c r="G44" s="714" t="s">
        <v>2784</v>
      </c>
      <c r="H44" s="714" t="s">
        <v>2785</v>
      </c>
      <c r="I44" s="720">
        <v>11.14</v>
      </c>
      <c r="J44" s="720">
        <v>30</v>
      </c>
      <c r="K44" s="721">
        <v>334.2</v>
      </c>
    </row>
    <row r="45" spans="1:11" ht="14.4" customHeight="1" x14ac:dyDescent="0.3">
      <c r="A45" s="710" t="s">
        <v>499</v>
      </c>
      <c r="B45" s="711" t="s">
        <v>501</v>
      </c>
      <c r="C45" s="714" t="s">
        <v>511</v>
      </c>
      <c r="D45" s="730" t="s">
        <v>512</v>
      </c>
      <c r="E45" s="714" t="s">
        <v>2698</v>
      </c>
      <c r="F45" s="730" t="s">
        <v>2699</v>
      </c>
      <c r="G45" s="714" t="s">
        <v>2786</v>
      </c>
      <c r="H45" s="714" t="s">
        <v>2787</v>
      </c>
      <c r="I45" s="720">
        <v>0.93</v>
      </c>
      <c r="J45" s="720">
        <v>700</v>
      </c>
      <c r="K45" s="721">
        <v>651</v>
      </c>
    </row>
    <row r="46" spans="1:11" ht="14.4" customHeight="1" x14ac:dyDescent="0.3">
      <c r="A46" s="710" t="s">
        <v>499</v>
      </c>
      <c r="B46" s="711" t="s">
        <v>501</v>
      </c>
      <c r="C46" s="714" t="s">
        <v>511</v>
      </c>
      <c r="D46" s="730" t="s">
        <v>512</v>
      </c>
      <c r="E46" s="714" t="s">
        <v>2698</v>
      </c>
      <c r="F46" s="730" t="s">
        <v>2699</v>
      </c>
      <c r="G46" s="714" t="s">
        <v>2788</v>
      </c>
      <c r="H46" s="714" t="s">
        <v>2789</v>
      </c>
      <c r="I46" s="720">
        <v>1.4333333333333333</v>
      </c>
      <c r="J46" s="720">
        <v>300</v>
      </c>
      <c r="K46" s="721">
        <v>430</v>
      </c>
    </row>
    <row r="47" spans="1:11" ht="14.4" customHeight="1" x14ac:dyDescent="0.3">
      <c r="A47" s="710" t="s">
        <v>499</v>
      </c>
      <c r="B47" s="711" t="s">
        <v>501</v>
      </c>
      <c r="C47" s="714" t="s">
        <v>511</v>
      </c>
      <c r="D47" s="730" t="s">
        <v>512</v>
      </c>
      <c r="E47" s="714" t="s">
        <v>2698</v>
      </c>
      <c r="F47" s="730" t="s">
        <v>2699</v>
      </c>
      <c r="G47" s="714" t="s">
        <v>2790</v>
      </c>
      <c r="H47" s="714" t="s">
        <v>2791</v>
      </c>
      <c r="I47" s="720">
        <v>0.42</v>
      </c>
      <c r="J47" s="720">
        <v>300</v>
      </c>
      <c r="K47" s="721">
        <v>126</v>
      </c>
    </row>
    <row r="48" spans="1:11" ht="14.4" customHeight="1" x14ac:dyDescent="0.3">
      <c r="A48" s="710" t="s">
        <v>499</v>
      </c>
      <c r="B48" s="711" t="s">
        <v>501</v>
      </c>
      <c r="C48" s="714" t="s">
        <v>511</v>
      </c>
      <c r="D48" s="730" t="s">
        <v>512</v>
      </c>
      <c r="E48" s="714" t="s">
        <v>2698</v>
      </c>
      <c r="F48" s="730" t="s">
        <v>2699</v>
      </c>
      <c r="G48" s="714" t="s">
        <v>2792</v>
      </c>
      <c r="H48" s="714" t="s">
        <v>2793</v>
      </c>
      <c r="I48" s="720">
        <v>0.57750000000000001</v>
      </c>
      <c r="J48" s="720">
        <v>700</v>
      </c>
      <c r="K48" s="721">
        <v>404</v>
      </c>
    </row>
    <row r="49" spans="1:11" ht="14.4" customHeight="1" x14ac:dyDescent="0.3">
      <c r="A49" s="710" t="s">
        <v>499</v>
      </c>
      <c r="B49" s="711" t="s">
        <v>501</v>
      </c>
      <c r="C49" s="714" t="s">
        <v>511</v>
      </c>
      <c r="D49" s="730" t="s">
        <v>512</v>
      </c>
      <c r="E49" s="714" t="s">
        <v>2698</v>
      </c>
      <c r="F49" s="730" t="s">
        <v>2699</v>
      </c>
      <c r="G49" s="714" t="s">
        <v>2794</v>
      </c>
      <c r="H49" s="714" t="s">
        <v>2795</v>
      </c>
      <c r="I49" s="720">
        <v>3.1366666666666667</v>
      </c>
      <c r="J49" s="720">
        <v>150</v>
      </c>
      <c r="K49" s="721">
        <v>470.5</v>
      </c>
    </row>
    <row r="50" spans="1:11" ht="14.4" customHeight="1" x14ac:dyDescent="0.3">
      <c r="A50" s="710" t="s">
        <v>499</v>
      </c>
      <c r="B50" s="711" t="s">
        <v>501</v>
      </c>
      <c r="C50" s="714" t="s">
        <v>511</v>
      </c>
      <c r="D50" s="730" t="s">
        <v>512</v>
      </c>
      <c r="E50" s="714" t="s">
        <v>2698</v>
      </c>
      <c r="F50" s="730" t="s">
        <v>2699</v>
      </c>
      <c r="G50" s="714" t="s">
        <v>2796</v>
      </c>
      <c r="H50" s="714" t="s">
        <v>2797</v>
      </c>
      <c r="I50" s="720">
        <v>5.95</v>
      </c>
      <c r="J50" s="720">
        <v>30</v>
      </c>
      <c r="K50" s="721">
        <v>178.5</v>
      </c>
    </row>
    <row r="51" spans="1:11" ht="14.4" customHeight="1" x14ac:dyDescent="0.3">
      <c r="A51" s="710" t="s">
        <v>499</v>
      </c>
      <c r="B51" s="711" t="s">
        <v>501</v>
      </c>
      <c r="C51" s="714" t="s">
        <v>511</v>
      </c>
      <c r="D51" s="730" t="s">
        <v>512</v>
      </c>
      <c r="E51" s="714" t="s">
        <v>2698</v>
      </c>
      <c r="F51" s="730" t="s">
        <v>2699</v>
      </c>
      <c r="G51" s="714" t="s">
        <v>2798</v>
      </c>
      <c r="H51" s="714" t="s">
        <v>2799</v>
      </c>
      <c r="I51" s="720">
        <v>68.510000000000005</v>
      </c>
      <c r="J51" s="720">
        <v>12</v>
      </c>
      <c r="K51" s="721">
        <v>822.12</v>
      </c>
    </row>
    <row r="52" spans="1:11" ht="14.4" customHeight="1" x14ac:dyDescent="0.3">
      <c r="A52" s="710" t="s">
        <v>499</v>
      </c>
      <c r="B52" s="711" t="s">
        <v>501</v>
      </c>
      <c r="C52" s="714" t="s">
        <v>511</v>
      </c>
      <c r="D52" s="730" t="s">
        <v>512</v>
      </c>
      <c r="E52" s="714" t="s">
        <v>2698</v>
      </c>
      <c r="F52" s="730" t="s">
        <v>2699</v>
      </c>
      <c r="G52" s="714" t="s">
        <v>2800</v>
      </c>
      <c r="H52" s="714" t="s">
        <v>2801</v>
      </c>
      <c r="I52" s="720">
        <v>13.29</v>
      </c>
      <c r="J52" s="720">
        <v>20</v>
      </c>
      <c r="K52" s="721">
        <v>265.8</v>
      </c>
    </row>
    <row r="53" spans="1:11" ht="14.4" customHeight="1" x14ac:dyDescent="0.3">
      <c r="A53" s="710" t="s">
        <v>499</v>
      </c>
      <c r="B53" s="711" t="s">
        <v>501</v>
      </c>
      <c r="C53" s="714" t="s">
        <v>511</v>
      </c>
      <c r="D53" s="730" t="s">
        <v>512</v>
      </c>
      <c r="E53" s="714" t="s">
        <v>2698</v>
      </c>
      <c r="F53" s="730" t="s">
        <v>2699</v>
      </c>
      <c r="G53" s="714" t="s">
        <v>2802</v>
      </c>
      <c r="H53" s="714" t="s">
        <v>2803</v>
      </c>
      <c r="I53" s="720">
        <v>5.5649999999999995</v>
      </c>
      <c r="J53" s="720">
        <v>100</v>
      </c>
      <c r="K53" s="721">
        <v>556.5</v>
      </c>
    </row>
    <row r="54" spans="1:11" ht="14.4" customHeight="1" x14ac:dyDescent="0.3">
      <c r="A54" s="710" t="s">
        <v>499</v>
      </c>
      <c r="B54" s="711" t="s">
        <v>501</v>
      </c>
      <c r="C54" s="714" t="s">
        <v>511</v>
      </c>
      <c r="D54" s="730" t="s">
        <v>512</v>
      </c>
      <c r="E54" s="714" t="s">
        <v>2698</v>
      </c>
      <c r="F54" s="730" t="s">
        <v>2699</v>
      </c>
      <c r="G54" s="714" t="s">
        <v>2804</v>
      </c>
      <c r="H54" s="714" t="s">
        <v>2805</v>
      </c>
      <c r="I54" s="720">
        <v>59.72</v>
      </c>
      <c r="J54" s="720">
        <v>25</v>
      </c>
      <c r="K54" s="721">
        <v>1492.9900000000002</v>
      </c>
    </row>
    <row r="55" spans="1:11" ht="14.4" customHeight="1" x14ac:dyDescent="0.3">
      <c r="A55" s="710" t="s">
        <v>499</v>
      </c>
      <c r="B55" s="711" t="s">
        <v>501</v>
      </c>
      <c r="C55" s="714" t="s">
        <v>511</v>
      </c>
      <c r="D55" s="730" t="s">
        <v>512</v>
      </c>
      <c r="E55" s="714" t="s">
        <v>2698</v>
      </c>
      <c r="F55" s="730" t="s">
        <v>2699</v>
      </c>
      <c r="G55" s="714" t="s">
        <v>2806</v>
      </c>
      <c r="H55" s="714" t="s">
        <v>2807</v>
      </c>
      <c r="I55" s="720">
        <v>2.37</v>
      </c>
      <c r="J55" s="720">
        <v>300</v>
      </c>
      <c r="K55" s="721">
        <v>711</v>
      </c>
    </row>
    <row r="56" spans="1:11" ht="14.4" customHeight="1" x14ac:dyDescent="0.3">
      <c r="A56" s="710" t="s">
        <v>499</v>
      </c>
      <c r="B56" s="711" t="s">
        <v>501</v>
      </c>
      <c r="C56" s="714" t="s">
        <v>511</v>
      </c>
      <c r="D56" s="730" t="s">
        <v>512</v>
      </c>
      <c r="E56" s="714" t="s">
        <v>2698</v>
      </c>
      <c r="F56" s="730" t="s">
        <v>2699</v>
      </c>
      <c r="G56" s="714" t="s">
        <v>2808</v>
      </c>
      <c r="H56" s="714" t="s">
        <v>2809</v>
      </c>
      <c r="I56" s="720">
        <v>2.84</v>
      </c>
      <c r="J56" s="720">
        <v>150</v>
      </c>
      <c r="K56" s="721">
        <v>426</v>
      </c>
    </row>
    <row r="57" spans="1:11" ht="14.4" customHeight="1" x14ac:dyDescent="0.3">
      <c r="A57" s="710" t="s">
        <v>499</v>
      </c>
      <c r="B57" s="711" t="s">
        <v>501</v>
      </c>
      <c r="C57" s="714" t="s">
        <v>511</v>
      </c>
      <c r="D57" s="730" t="s">
        <v>512</v>
      </c>
      <c r="E57" s="714" t="s">
        <v>2698</v>
      </c>
      <c r="F57" s="730" t="s">
        <v>2699</v>
      </c>
      <c r="G57" s="714" t="s">
        <v>2810</v>
      </c>
      <c r="H57" s="714" t="s">
        <v>2811</v>
      </c>
      <c r="I57" s="720">
        <v>1.77</v>
      </c>
      <c r="J57" s="720">
        <v>100</v>
      </c>
      <c r="K57" s="721">
        <v>177</v>
      </c>
    </row>
    <row r="58" spans="1:11" ht="14.4" customHeight="1" x14ac:dyDescent="0.3">
      <c r="A58" s="710" t="s">
        <v>499</v>
      </c>
      <c r="B58" s="711" t="s">
        <v>501</v>
      </c>
      <c r="C58" s="714" t="s">
        <v>511</v>
      </c>
      <c r="D58" s="730" t="s">
        <v>512</v>
      </c>
      <c r="E58" s="714" t="s">
        <v>2698</v>
      </c>
      <c r="F58" s="730" t="s">
        <v>2699</v>
      </c>
      <c r="G58" s="714" t="s">
        <v>2812</v>
      </c>
      <c r="H58" s="714" t="s">
        <v>2813</v>
      </c>
      <c r="I58" s="720">
        <v>1.75</v>
      </c>
      <c r="J58" s="720">
        <v>300</v>
      </c>
      <c r="K58" s="721">
        <v>525</v>
      </c>
    </row>
    <row r="59" spans="1:11" ht="14.4" customHeight="1" x14ac:dyDescent="0.3">
      <c r="A59" s="710" t="s">
        <v>499</v>
      </c>
      <c r="B59" s="711" t="s">
        <v>501</v>
      </c>
      <c r="C59" s="714" t="s">
        <v>511</v>
      </c>
      <c r="D59" s="730" t="s">
        <v>512</v>
      </c>
      <c r="E59" s="714" t="s">
        <v>2698</v>
      </c>
      <c r="F59" s="730" t="s">
        <v>2699</v>
      </c>
      <c r="G59" s="714" t="s">
        <v>2814</v>
      </c>
      <c r="H59" s="714" t="s">
        <v>2815</v>
      </c>
      <c r="I59" s="720">
        <v>0.01</v>
      </c>
      <c r="J59" s="720">
        <v>300</v>
      </c>
      <c r="K59" s="721">
        <v>3</v>
      </c>
    </row>
    <row r="60" spans="1:11" ht="14.4" customHeight="1" x14ac:dyDescent="0.3">
      <c r="A60" s="710" t="s">
        <v>499</v>
      </c>
      <c r="B60" s="711" t="s">
        <v>501</v>
      </c>
      <c r="C60" s="714" t="s">
        <v>511</v>
      </c>
      <c r="D60" s="730" t="s">
        <v>512</v>
      </c>
      <c r="E60" s="714" t="s">
        <v>2698</v>
      </c>
      <c r="F60" s="730" t="s">
        <v>2699</v>
      </c>
      <c r="G60" s="714" t="s">
        <v>2816</v>
      </c>
      <c r="H60" s="714" t="s">
        <v>2817</v>
      </c>
      <c r="I60" s="720">
        <v>1.99</v>
      </c>
      <c r="J60" s="720">
        <v>10</v>
      </c>
      <c r="K60" s="721">
        <v>19.899999999999999</v>
      </c>
    </row>
    <row r="61" spans="1:11" ht="14.4" customHeight="1" x14ac:dyDescent="0.3">
      <c r="A61" s="710" t="s">
        <v>499</v>
      </c>
      <c r="B61" s="711" t="s">
        <v>501</v>
      </c>
      <c r="C61" s="714" t="s">
        <v>511</v>
      </c>
      <c r="D61" s="730" t="s">
        <v>512</v>
      </c>
      <c r="E61" s="714" t="s">
        <v>2698</v>
      </c>
      <c r="F61" s="730" t="s">
        <v>2699</v>
      </c>
      <c r="G61" s="714" t="s">
        <v>2818</v>
      </c>
      <c r="H61" s="714" t="s">
        <v>2819</v>
      </c>
      <c r="I61" s="720">
        <v>2</v>
      </c>
      <c r="J61" s="720">
        <v>150</v>
      </c>
      <c r="K61" s="721">
        <v>300</v>
      </c>
    </row>
    <row r="62" spans="1:11" ht="14.4" customHeight="1" x14ac:dyDescent="0.3">
      <c r="A62" s="710" t="s">
        <v>499</v>
      </c>
      <c r="B62" s="711" t="s">
        <v>501</v>
      </c>
      <c r="C62" s="714" t="s">
        <v>511</v>
      </c>
      <c r="D62" s="730" t="s">
        <v>512</v>
      </c>
      <c r="E62" s="714" t="s">
        <v>2698</v>
      </c>
      <c r="F62" s="730" t="s">
        <v>2699</v>
      </c>
      <c r="G62" s="714" t="s">
        <v>2820</v>
      </c>
      <c r="H62" s="714" t="s">
        <v>2821</v>
      </c>
      <c r="I62" s="720">
        <v>2.41</v>
      </c>
      <c r="J62" s="720">
        <v>300</v>
      </c>
      <c r="K62" s="721">
        <v>723</v>
      </c>
    </row>
    <row r="63" spans="1:11" ht="14.4" customHeight="1" x14ac:dyDescent="0.3">
      <c r="A63" s="710" t="s">
        <v>499</v>
      </c>
      <c r="B63" s="711" t="s">
        <v>501</v>
      </c>
      <c r="C63" s="714" t="s">
        <v>511</v>
      </c>
      <c r="D63" s="730" t="s">
        <v>512</v>
      </c>
      <c r="E63" s="714" t="s">
        <v>2698</v>
      </c>
      <c r="F63" s="730" t="s">
        <v>2699</v>
      </c>
      <c r="G63" s="714" t="s">
        <v>2822</v>
      </c>
      <c r="H63" s="714" t="s">
        <v>2823</v>
      </c>
      <c r="I63" s="720">
        <v>2.1800000000000002</v>
      </c>
      <c r="J63" s="720">
        <v>200</v>
      </c>
      <c r="K63" s="721">
        <v>436</v>
      </c>
    </row>
    <row r="64" spans="1:11" ht="14.4" customHeight="1" x14ac:dyDescent="0.3">
      <c r="A64" s="710" t="s">
        <v>499</v>
      </c>
      <c r="B64" s="711" t="s">
        <v>501</v>
      </c>
      <c r="C64" s="714" t="s">
        <v>511</v>
      </c>
      <c r="D64" s="730" t="s">
        <v>512</v>
      </c>
      <c r="E64" s="714" t="s">
        <v>2698</v>
      </c>
      <c r="F64" s="730" t="s">
        <v>2699</v>
      </c>
      <c r="G64" s="714" t="s">
        <v>2824</v>
      </c>
      <c r="H64" s="714" t="s">
        <v>2825</v>
      </c>
      <c r="I64" s="720">
        <v>5.3574999999999999</v>
      </c>
      <c r="J64" s="720">
        <v>100</v>
      </c>
      <c r="K64" s="721">
        <v>549.5</v>
      </c>
    </row>
    <row r="65" spans="1:11" ht="14.4" customHeight="1" x14ac:dyDescent="0.3">
      <c r="A65" s="710" t="s">
        <v>499</v>
      </c>
      <c r="B65" s="711" t="s">
        <v>501</v>
      </c>
      <c r="C65" s="714" t="s">
        <v>511</v>
      </c>
      <c r="D65" s="730" t="s">
        <v>512</v>
      </c>
      <c r="E65" s="714" t="s">
        <v>2698</v>
      </c>
      <c r="F65" s="730" t="s">
        <v>2699</v>
      </c>
      <c r="G65" s="714" t="s">
        <v>2826</v>
      </c>
      <c r="H65" s="714" t="s">
        <v>2827</v>
      </c>
      <c r="I65" s="720">
        <v>0.6</v>
      </c>
      <c r="J65" s="720">
        <v>1100</v>
      </c>
      <c r="K65" s="721">
        <v>660</v>
      </c>
    </row>
    <row r="66" spans="1:11" ht="14.4" customHeight="1" x14ac:dyDescent="0.3">
      <c r="A66" s="710" t="s">
        <v>499</v>
      </c>
      <c r="B66" s="711" t="s">
        <v>501</v>
      </c>
      <c r="C66" s="714" t="s">
        <v>511</v>
      </c>
      <c r="D66" s="730" t="s">
        <v>512</v>
      </c>
      <c r="E66" s="714" t="s">
        <v>2698</v>
      </c>
      <c r="F66" s="730" t="s">
        <v>2699</v>
      </c>
      <c r="G66" s="714" t="s">
        <v>2828</v>
      </c>
      <c r="H66" s="714" t="s">
        <v>2829</v>
      </c>
      <c r="I66" s="720">
        <v>5.13</v>
      </c>
      <c r="J66" s="720">
        <v>280</v>
      </c>
      <c r="K66" s="721">
        <v>1436.4</v>
      </c>
    </row>
    <row r="67" spans="1:11" ht="14.4" customHeight="1" x14ac:dyDescent="0.3">
      <c r="A67" s="710" t="s">
        <v>499</v>
      </c>
      <c r="B67" s="711" t="s">
        <v>501</v>
      </c>
      <c r="C67" s="714" t="s">
        <v>511</v>
      </c>
      <c r="D67" s="730" t="s">
        <v>512</v>
      </c>
      <c r="E67" s="714" t="s">
        <v>2698</v>
      </c>
      <c r="F67" s="730" t="s">
        <v>2699</v>
      </c>
      <c r="G67" s="714" t="s">
        <v>2830</v>
      </c>
      <c r="H67" s="714" t="s">
        <v>2831</v>
      </c>
      <c r="I67" s="720">
        <v>193.84</v>
      </c>
      <c r="J67" s="720">
        <v>4</v>
      </c>
      <c r="K67" s="721">
        <v>775.36</v>
      </c>
    </row>
    <row r="68" spans="1:11" ht="14.4" customHeight="1" x14ac:dyDescent="0.3">
      <c r="A68" s="710" t="s">
        <v>499</v>
      </c>
      <c r="B68" s="711" t="s">
        <v>501</v>
      </c>
      <c r="C68" s="714" t="s">
        <v>511</v>
      </c>
      <c r="D68" s="730" t="s">
        <v>512</v>
      </c>
      <c r="E68" s="714" t="s">
        <v>2698</v>
      </c>
      <c r="F68" s="730" t="s">
        <v>2699</v>
      </c>
      <c r="G68" s="714" t="s">
        <v>2832</v>
      </c>
      <c r="H68" s="714" t="s">
        <v>2833</v>
      </c>
      <c r="I68" s="720">
        <v>34.5</v>
      </c>
      <c r="J68" s="720">
        <v>10</v>
      </c>
      <c r="K68" s="721">
        <v>345</v>
      </c>
    </row>
    <row r="69" spans="1:11" ht="14.4" customHeight="1" x14ac:dyDescent="0.3">
      <c r="A69" s="710" t="s">
        <v>499</v>
      </c>
      <c r="B69" s="711" t="s">
        <v>501</v>
      </c>
      <c r="C69" s="714" t="s">
        <v>511</v>
      </c>
      <c r="D69" s="730" t="s">
        <v>512</v>
      </c>
      <c r="E69" s="714" t="s">
        <v>2698</v>
      </c>
      <c r="F69" s="730" t="s">
        <v>2699</v>
      </c>
      <c r="G69" s="714" t="s">
        <v>2834</v>
      </c>
      <c r="H69" s="714" t="s">
        <v>2835</v>
      </c>
      <c r="I69" s="720">
        <v>17.983333333333334</v>
      </c>
      <c r="J69" s="720">
        <v>300</v>
      </c>
      <c r="K69" s="721">
        <v>5394.5</v>
      </c>
    </row>
    <row r="70" spans="1:11" ht="14.4" customHeight="1" x14ac:dyDescent="0.3">
      <c r="A70" s="710" t="s">
        <v>499</v>
      </c>
      <c r="B70" s="711" t="s">
        <v>501</v>
      </c>
      <c r="C70" s="714" t="s">
        <v>511</v>
      </c>
      <c r="D70" s="730" t="s">
        <v>512</v>
      </c>
      <c r="E70" s="714" t="s">
        <v>2698</v>
      </c>
      <c r="F70" s="730" t="s">
        <v>2699</v>
      </c>
      <c r="G70" s="714" t="s">
        <v>2836</v>
      </c>
      <c r="H70" s="714" t="s">
        <v>2837</v>
      </c>
      <c r="I70" s="720">
        <v>17.98</v>
      </c>
      <c r="J70" s="720">
        <v>50</v>
      </c>
      <c r="K70" s="721">
        <v>899</v>
      </c>
    </row>
    <row r="71" spans="1:11" ht="14.4" customHeight="1" x14ac:dyDescent="0.3">
      <c r="A71" s="710" t="s">
        <v>499</v>
      </c>
      <c r="B71" s="711" t="s">
        <v>501</v>
      </c>
      <c r="C71" s="714" t="s">
        <v>511</v>
      </c>
      <c r="D71" s="730" t="s">
        <v>512</v>
      </c>
      <c r="E71" s="714" t="s">
        <v>2698</v>
      </c>
      <c r="F71" s="730" t="s">
        <v>2699</v>
      </c>
      <c r="G71" s="714" t="s">
        <v>2838</v>
      </c>
      <c r="H71" s="714" t="s">
        <v>2839</v>
      </c>
      <c r="I71" s="720">
        <v>1.68</v>
      </c>
      <c r="J71" s="720">
        <v>20</v>
      </c>
      <c r="K71" s="721">
        <v>33.6</v>
      </c>
    </row>
    <row r="72" spans="1:11" ht="14.4" customHeight="1" x14ac:dyDescent="0.3">
      <c r="A72" s="710" t="s">
        <v>499</v>
      </c>
      <c r="B72" s="711" t="s">
        <v>501</v>
      </c>
      <c r="C72" s="714" t="s">
        <v>511</v>
      </c>
      <c r="D72" s="730" t="s">
        <v>512</v>
      </c>
      <c r="E72" s="714" t="s">
        <v>2698</v>
      </c>
      <c r="F72" s="730" t="s">
        <v>2699</v>
      </c>
      <c r="G72" s="714" t="s">
        <v>2840</v>
      </c>
      <c r="H72" s="714" t="s">
        <v>2841</v>
      </c>
      <c r="I72" s="720">
        <v>15.0025</v>
      </c>
      <c r="J72" s="720">
        <v>105</v>
      </c>
      <c r="K72" s="721">
        <v>1575.3</v>
      </c>
    </row>
    <row r="73" spans="1:11" ht="14.4" customHeight="1" x14ac:dyDescent="0.3">
      <c r="A73" s="710" t="s">
        <v>499</v>
      </c>
      <c r="B73" s="711" t="s">
        <v>501</v>
      </c>
      <c r="C73" s="714" t="s">
        <v>511</v>
      </c>
      <c r="D73" s="730" t="s">
        <v>512</v>
      </c>
      <c r="E73" s="714" t="s">
        <v>2698</v>
      </c>
      <c r="F73" s="730" t="s">
        <v>2699</v>
      </c>
      <c r="G73" s="714" t="s">
        <v>2842</v>
      </c>
      <c r="H73" s="714" t="s">
        <v>2843</v>
      </c>
      <c r="I73" s="720">
        <v>2.8449999999999998</v>
      </c>
      <c r="J73" s="720">
        <v>150</v>
      </c>
      <c r="K73" s="721">
        <v>426.5</v>
      </c>
    </row>
    <row r="74" spans="1:11" ht="14.4" customHeight="1" x14ac:dyDescent="0.3">
      <c r="A74" s="710" t="s">
        <v>499</v>
      </c>
      <c r="B74" s="711" t="s">
        <v>501</v>
      </c>
      <c r="C74" s="714" t="s">
        <v>511</v>
      </c>
      <c r="D74" s="730" t="s">
        <v>512</v>
      </c>
      <c r="E74" s="714" t="s">
        <v>2698</v>
      </c>
      <c r="F74" s="730" t="s">
        <v>2699</v>
      </c>
      <c r="G74" s="714" t="s">
        <v>2844</v>
      </c>
      <c r="H74" s="714" t="s">
        <v>2845</v>
      </c>
      <c r="I74" s="720">
        <v>13.2</v>
      </c>
      <c r="J74" s="720">
        <v>30</v>
      </c>
      <c r="K74" s="721">
        <v>396</v>
      </c>
    </row>
    <row r="75" spans="1:11" ht="14.4" customHeight="1" x14ac:dyDescent="0.3">
      <c r="A75" s="710" t="s">
        <v>499</v>
      </c>
      <c r="B75" s="711" t="s">
        <v>501</v>
      </c>
      <c r="C75" s="714" t="s">
        <v>511</v>
      </c>
      <c r="D75" s="730" t="s">
        <v>512</v>
      </c>
      <c r="E75" s="714" t="s">
        <v>2698</v>
      </c>
      <c r="F75" s="730" t="s">
        <v>2699</v>
      </c>
      <c r="G75" s="714" t="s">
        <v>2846</v>
      </c>
      <c r="H75" s="714" t="s">
        <v>2847</v>
      </c>
      <c r="I75" s="720">
        <v>13.2</v>
      </c>
      <c r="J75" s="720">
        <v>10</v>
      </c>
      <c r="K75" s="721">
        <v>132</v>
      </c>
    </row>
    <row r="76" spans="1:11" ht="14.4" customHeight="1" x14ac:dyDescent="0.3">
      <c r="A76" s="710" t="s">
        <v>499</v>
      </c>
      <c r="B76" s="711" t="s">
        <v>501</v>
      </c>
      <c r="C76" s="714" t="s">
        <v>511</v>
      </c>
      <c r="D76" s="730" t="s">
        <v>512</v>
      </c>
      <c r="E76" s="714" t="s">
        <v>2698</v>
      </c>
      <c r="F76" s="730" t="s">
        <v>2699</v>
      </c>
      <c r="G76" s="714" t="s">
        <v>2848</v>
      </c>
      <c r="H76" s="714" t="s">
        <v>2849</v>
      </c>
      <c r="I76" s="720">
        <v>13.2</v>
      </c>
      <c r="J76" s="720">
        <v>20</v>
      </c>
      <c r="K76" s="721">
        <v>264</v>
      </c>
    </row>
    <row r="77" spans="1:11" ht="14.4" customHeight="1" x14ac:dyDescent="0.3">
      <c r="A77" s="710" t="s">
        <v>499</v>
      </c>
      <c r="B77" s="711" t="s">
        <v>501</v>
      </c>
      <c r="C77" s="714" t="s">
        <v>511</v>
      </c>
      <c r="D77" s="730" t="s">
        <v>512</v>
      </c>
      <c r="E77" s="714" t="s">
        <v>2698</v>
      </c>
      <c r="F77" s="730" t="s">
        <v>2699</v>
      </c>
      <c r="G77" s="714" t="s">
        <v>2850</v>
      </c>
      <c r="H77" s="714" t="s">
        <v>2851</v>
      </c>
      <c r="I77" s="720">
        <v>1.5525000000000002</v>
      </c>
      <c r="J77" s="720">
        <v>375</v>
      </c>
      <c r="K77" s="721">
        <v>582.75</v>
      </c>
    </row>
    <row r="78" spans="1:11" ht="14.4" customHeight="1" x14ac:dyDescent="0.3">
      <c r="A78" s="710" t="s">
        <v>499</v>
      </c>
      <c r="B78" s="711" t="s">
        <v>501</v>
      </c>
      <c r="C78" s="714" t="s">
        <v>511</v>
      </c>
      <c r="D78" s="730" t="s">
        <v>512</v>
      </c>
      <c r="E78" s="714" t="s">
        <v>2698</v>
      </c>
      <c r="F78" s="730" t="s">
        <v>2699</v>
      </c>
      <c r="G78" s="714" t="s">
        <v>2852</v>
      </c>
      <c r="H78" s="714" t="s">
        <v>2853</v>
      </c>
      <c r="I78" s="720">
        <v>21.23</v>
      </c>
      <c r="J78" s="720">
        <v>30</v>
      </c>
      <c r="K78" s="721">
        <v>636.90000000000009</v>
      </c>
    </row>
    <row r="79" spans="1:11" ht="14.4" customHeight="1" x14ac:dyDescent="0.3">
      <c r="A79" s="710" t="s">
        <v>499</v>
      </c>
      <c r="B79" s="711" t="s">
        <v>501</v>
      </c>
      <c r="C79" s="714" t="s">
        <v>511</v>
      </c>
      <c r="D79" s="730" t="s">
        <v>512</v>
      </c>
      <c r="E79" s="714" t="s">
        <v>2698</v>
      </c>
      <c r="F79" s="730" t="s">
        <v>2699</v>
      </c>
      <c r="G79" s="714" t="s">
        <v>2854</v>
      </c>
      <c r="H79" s="714" t="s">
        <v>2855</v>
      </c>
      <c r="I79" s="720">
        <v>21.234999999999999</v>
      </c>
      <c r="J79" s="720">
        <v>40</v>
      </c>
      <c r="K79" s="721">
        <v>849.40000000000009</v>
      </c>
    </row>
    <row r="80" spans="1:11" ht="14.4" customHeight="1" x14ac:dyDescent="0.3">
      <c r="A80" s="710" t="s">
        <v>499</v>
      </c>
      <c r="B80" s="711" t="s">
        <v>501</v>
      </c>
      <c r="C80" s="714" t="s">
        <v>511</v>
      </c>
      <c r="D80" s="730" t="s">
        <v>512</v>
      </c>
      <c r="E80" s="714" t="s">
        <v>2698</v>
      </c>
      <c r="F80" s="730" t="s">
        <v>2699</v>
      </c>
      <c r="G80" s="714" t="s">
        <v>2856</v>
      </c>
      <c r="H80" s="714" t="s">
        <v>2857</v>
      </c>
      <c r="I80" s="720">
        <v>9.5399999999999991</v>
      </c>
      <c r="J80" s="720">
        <v>10</v>
      </c>
      <c r="K80" s="721">
        <v>95.4</v>
      </c>
    </row>
    <row r="81" spans="1:11" ht="14.4" customHeight="1" x14ac:dyDescent="0.3">
      <c r="A81" s="710" t="s">
        <v>499</v>
      </c>
      <c r="B81" s="711" t="s">
        <v>501</v>
      </c>
      <c r="C81" s="714" t="s">
        <v>511</v>
      </c>
      <c r="D81" s="730" t="s">
        <v>512</v>
      </c>
      <c r="E81" s="714" t="s">
        <v>2698</v>
      </c>
      <c r="F81" s="730" t="s">
        <v>2699</v>
      </c>
      <c r="G81" s="714" t="s">
        <v>2858</v>
      </c>
      <c r="H81" s="714" t="s">
        <v>2859</v>
      </c>
      <c r="I81" s="720">
        <v>2.6</v>
      </c>
      <c r="J81" s="720">
        <v>20</v>
      </c>
      <c r="K81" s="721">
        <v>52</v>
      </c>
    </row>
    <row r="82" spans="1:11" ht="14.4" customHeight="1" x14ac:dyDescent="0.3">
      <c r="A82" s="710" t="s">
        <v>499</v>
      </c>
      <c r="B82" s="711" t="s">
        <v>501</v>
      </c>
      <c r="C82" s="714" t="s">
        <v>511</v>
      </c>
      <c r="D82" s="730" t="s">
        <v>512</v>
      </c>
      <c r="E82" s="714" t="s">
        <v>2698</v>
      </c>
      <c r="F82" s="730" t="s">
        <v>2699</v>
      </c>
      <c r="G82" s="714" t="s">
        <v>2860</v>
      </c>
      <c r="H82" s="714" t="s">
        <v>2861</v>
      </c>
      <c r="I82" s="720">
        <v>2.6</v>
      </c>
      <c r="J82" s="720">
        <v>28</v>
      </c>
      <c r="K82" s="721">
        <v>72.8</v>
      </c>
    </row>
    <row r="83" spans="1:11" ht="14.4" customHeight="1" x14ac:dyDescent="0.3">
      <c r="A83" s="710" t="s">
        <v>499</v>
      </c>
      <c r="B83" s="711" t="s">
        <v>501</v>
      </c>
      <c r="C83" s="714" t="s">
        <v>511</v>
      </c>
      <c r="D83" s="730" t="s">
        <v>512</v>
      </c>
      <c r="E83" s="714" t="s">
        <v>2698</v>
      </c>
      <c r="F83" s="730" t="s">
        <v>2699</v>
      </c>
      <c r="G83" s="714" t="s">
        <v>2862</v>
      </c>
      <c r="H83" s="714" t="s">
        <v>2863</v>
      </c>
      <c r="I83" s="720">
        <v>9.1999999999999993</v>
      </c>
      <c r="J83" s="720">
        <v>800</v>
      </c>
      <c r="K83" s="721">
        <v>7360</v>
      </c>
    </row>
    <row r="84" spans="1:11" ht="14.4" customHeight="1" x14ac:dyDescent="0.3">
      <c r="A84" s="710" t="s">
        <v>499</v>
      </c>
      <c r="B84" s="711" t="s">
        <v>501</v>
      </c>
      <c r="C84" s="714" t="s">
        <v>511</v>
      </c>
      <c r="D84" s="730" t="s">
        <v>512</v>
      </c>
      <c r="E84" s="714" t="s">
        <v>2698</v>
      </c>
      <c r="F84" s="730" t="s">
        <v>2699</v>
      </c>
      <c r="G84" s="714" t="s">
        <v>2864</v>
      </c>
      <c r="H84" s="714" t="s">
        <v>2865</v>
      </c>
      <c r="I84" s="720">
        <v>9.68</v>
      </c>
      <c r="J84" s="720">
        <v>200</v>
      </c>
      <c r="K84" s="721">
        <v>1936</v>
      </c>
    </row>
    <row r="85" spans="1:11" ht="14.4" customHeight="1" x14ac:dyDescent="0.3">
      <c r="A85" s="710" t="s">
        <v>499</v>
      </c>
      <c r="B85" s="711" t="s">
        <v>501</v>
      </c>
      <c r="C85" s="714" t="s">
        <v>511</v>
      </c>
      <c r="D85" s="730" t="s">
        <v>512</v>
      </c>
      <c r="E85" s="714" t="s">
        <v>2698</v>
      </c>
      <c r="F85" s="730" t="s">
        <v>2699</v>
      </c>
      <c r="G85" s="714" t="s">
        <v>2866</v>
      </c>
      <c r="H85" s="714" t="s">
        <v>2867</v>
      </c>
      <c r="I85" s="720">
        <v>272.25</v>
      </c>
      <c r="J85" s="720">
        <v>1</v>
      </c>
      <c r="K85" s="721">
        <v>272.25</v>
      </c>
    </row>
    <row r="86" spans="1:11" ht="14.4" customHeight="1" x14ac:dyDescent="0.3">
      <c r="A86" s="710" t="s">
        <v>499</v>
      </c>
      <c r="B86" s="711" t="s">
        <v>501</v>
      </c>
      <c r="C86" s="714" t="s">
        <v>511</v>
      </c>
      <c r="D86" s="730" t="s">
        <v>512</v>
      </c>
      <c r="E86" s="714" t="s">
        <v>2700</v>
      </c>
      <c r="F86" s="730" t="s">
        <v>2701</v>
      </c>
      <c r="G86" s="714" t="s">
        <v>2868</v>
      </c>
      <c r="H86" s="714" t="s">
        <v>2869</v>
      </c>
      <c r="I86" s="720">
        <v>8.17</v>
      </c>
      <c r="J86" s="720">
        <v>800</v>
      </c>
      <c r="K86" s="721">
        <v>6536</v>
      </c>
    </row>
    <row r="87" spans="1:11" ht="14.4" customHeight="1" x14ac:dyDescent="0.3">
      <c r="A87" s="710" t="s">
        <v>499</v>
      </c>
      <c r="B87" s="711" t="s">
        <v>501</v>
      </c>
      <c r="C87" s="714" t="s">
        <v>511</v>
      </c>
      <c r="D87" s="730" t="s">
        <v>512</v>
      </c>
      <c r="E87" s="714" t="s">
        <v>2700</v>
      </c>
      <c r="F87" s="730" t="s">
        <v>2701</v>
      </c>
      <c r="G87" s="714" t="s">
        <v>2870</v>
      </c>
      <c r="H87" s="714" t="s">
        <v>2871</v>
      </c>
      <c r="I87" s="720">
        <v>7.01</v>
      </c>
      <c r="J87" s="720">
        <v>30</v>
      </c>
      <c r="K87" s="721">
        <v>210.29999999999998</v>
      </c>
    </row>
    <row r="88" spans="1:11" ht="14.4" customHeight="1" x14ac:dyDescent="0.3">
      <c r="A88" s="710" t="s">
        <v>499</v>
      </c>
      <c r="B88" s="711" t="s">
        <v>501</v>
      </c>
      <c r="C88" s="714" t="s">
        <v>511</v>
      </c>
      <c r="D88" s="730" t="s">
        <v>512</v>
      </c>
      <c r="E88" s="714" t="s">
        <v>2702</v>
      </c>
      <c r="F88" s="730" t="s">
        <v>2703</v>
      </c>
      <c r="G88" s="714" t="s">
        <v>2872</v>
      </c>
      <c r="H88" s="714" t="s">
        <v>2873</v>
      </c>
      <c r="I88" s="720">
        <v>0.3</v>
      </c>
      <c r="J88" s="720">
        <v>200</v>
      </c>
      <c r="K88" s="721">
        <v>60</v>
      </c>
    </row>
    <row r="89" spans="1:11" ht="14.4" customHeight="1" x14ac:dyDescent="0.3">
      <c r="A89" s="710" t="s">
        <v>499</v>
      </c>
      <c r="B89" s="711" t="s">
        <v>501</v>
      </c>
      <c r="C89" s="714" t="s">
        <v>511</v>
      </c>
      <c r="D89" s="730" t="s">
        <v>512</v>
      </c>
      <c r="E89" s="714" t="s">
        <v>2702</v>
      </c>
      <c r="F89" s="730" t="s">
        <v>2703</v>
      </c>
      <c r="G89" s="714" t="s">
        <v>2874</v>
      </c>
      <c r="H89" s="714" t="s">
        <v>2875</v>
      </c>
      <c r="I89" s="720">
        <v>0.3</v>
      </c>
      <c r="J89" s="720">
        <v>500</v>
      </c>
      <c r="K89" s="721">
        <v>150</v>
      </c>
    </row>
    <row r="90" spans="1:11" ht="14.4" customHeight="1" x14ac:dyDescent="0.3">
      <c r="A90" s="710" t="s">
        <v>499</v>
      </c>
      <c r="B90" s="711" t="s">
        <v>501</v>
      </c>
      <c r="C90" s="714" t="s">
        <v>511</v>
      </c>
      <c r="D90" s="730" t="s">
        <v>512</v>
      </c>
      <c r="E90" s="714" t="s">
        <v>2702</v>
      </c>
      <c r="F90" s="730" t="s">
        <v>2703</v>
      </c>
      <c r="G90" s="714" t="s">
        <v>2876</v>
      </c>
      <c r="H90" s="714" t="s">
        <v>2877</v>
      </c>
      <c r="I90" s="720">
        <v>0.30666666666666664</v>
      </c>
      <c r="J90" s="720">
        <v>400</v>
      </c>
      <c r="K90" s="721">
        <v>123</v>
      </c>
    </row>
    <row r="91" spans="1:11" ht="14.4" customHeight="1" x14ac:dyDescent="0.3">
      <c r="A91" s="710" t="s">
        <v>499</v>
      </c>
      <c r="B91" s="711" t="s">
        <v>501</v>
      </c>
      <c r="C91" s="714" t="s">
        <v>511</v>
      </c>
      <c r="D91" s="730" t="s">
        <v>512</v>
      </c>
      <c r="E91" s="714" t="s">
        <v>2702</v>
      </c>
      <c r="F91" s="730" t="s">
        <v>2703</v>
      </c>
      <c r="G91" s="714" t="s">
        <v>2878</v>
      </c>
      <c r="H91" s="714" t="s">
        <v>2879</v>
      </c>
      <c r="I91" s="720">
        <v>0.3</v>
      </c>
      <c r="J91" s="720">
        <v>800</v>
      </c>
      <c r="K91" s="721">
        <v>240</v>
      </c>
    </row>
    <row r="92" spans="1:11" ht="14.4" customHeight="1" x14ac:dyDescent="0.3">
      <c r="A92" s="710" t="s">
        <v>499</v>
      </c>
      <c r="B92" s="711" t="s">
        <v>501</v>
      </c>
      <c r="C92" s="714" t="s">
        <v>511</v>
      </c>
      <c r="D92" s="730" t="s">
        <v>512</v>
      </c>
      <c r="E92" s="714" t="s">
        <v>2704</v>
      </c>
      <c r="F92" s="730" t="s">
        <v>2705</v>
      </c>
      <c r="G92" s="714" t="s">
        <v>2880</v>
      </c>
      <c r="H92" s="714" t="s">
        <v>2881</v>
      </c>
      <c r="I92" s="720">
        <v>0.59</v>
      </c>
      <c r="J92" s="720">
        <v>500</v>
      </c>
      <c r="K92" s="721">
        <v>292.5</v>
      </c>
    </row>
    <row r="93" spans="1:11" ht="14.4" customHeight="1" x14ac:dyDescent="0.3">
      <c r="A93" s="710" t="s">
        <v>499</v>
      </c>
      <c r="B93" s="711" t="s">
        <v>501</v>
      </c>
      <c r="C93" s="714" t="s">
        <v>511</v>
      </c>
      <c r="D93" s="730" t="s">
        <v>512</v>
      </c>
      <c r="E93" s="714" t="s">
        <v>2704</v>
      </c>
      <c r="F93" s="730" t="s">
        <v>2705</v>
      </c>
      <c r="G93" s="714" t="s">
        <v>2882</v>
      </c>
      <c r="H93" s="714" t="s">
        <v>2883</v>
      </c>
      <c r="I93" s="720">
        <v>0.77666666666666673</v>
      </c>
      <c r="J93" s="720">
        <v>7000</v>
      </c>
      <c r="K93" s="721">
        <v>5420</v>
      </c>
    </row>
    <row r="94" spans="1:11" ht="14.4" customHeight="1" x14ac:dyDescent="0.3">
      <c r="A94" s="710" t="s">
        <v>499</v>
      </c>
      <c r="B94" s="711" t="s">
        <v>501</v>
      </c>
      <c r="C94" s="714" t="s">
        <v>511</v>
      </c>
      <c r="D94" s="730" t="s">
        <v>512</v>
      </c>
      <c r="E94" s="714" t="s">
        <v>2704</v>
      </c>
      <c r="F94" s="730" t="s">
        <v>2705</v>
      </c>
      <c r="G94" s="714" t="s">
        <v>2884</v>
      </c>
      <c r="H94" s="714" t="s">
        <v>2885</v>
      </c>
      <c r="I94" s="720">
        <v>0.77249999999999996</v>
      </c>
      <c r="J94" s="720">
        <v>13000</v>
      </c>
      <c r="K94" s="721">
        <v>10070</v>
      </c>
    </row>
    <row r="95" spans="1:11" ht="14.4" customHeight="1" x14ac:dyDescent="0.3">
      <c r="A95" s="710" t="s">
        <v>499</v>
      </c>
      <c r="B95" s="711" t="s">
        <v>501</v>
      </c>
      <c r="C95" s="714" t="s">
        <v>511</v>
      </c>
      <c r="D95" s="730" t="s">
        <v>512</v>
      </c>
      <c r="E95" s="714" t="s">
        <v>2704</v>
      </c>
      <c r="F95" s="730" t="s">
        <v>2705</v>
      </c>
      <c r="G95" s="714" t="s">
        <v>2886</v>
      </c>
      <c r="H95" s="714" t="s">
        <v>2887</v>
      </c>
      <c r="I95" s="720">
        <v>0.77500000000000002</v>
      </c>
      <c r="J95" s="720">
        <v>3000</v>
      </c>
      <c r="K95" s="721">
        <v>2330</v>
      </c>
    </row>
    <row r="96" spans="1:11" ht="14.4" customHeight="1" x14ac:dyDescent="0.3">
      <c r="A96" s="710" t="s">
        <v>499</v>
      </c>
      <c r="B96" s="711" t="s">
        <v>501</v>
      </c>
      <c r="C96" s="714" t="s">
        <v>511</v>
      </c>
      <c r="D96" s="730" t="s">
        <v>512</v>
      </c>
      <c r="E96" s="714" t="s">
        <v>2694</v>
      </c>
      <c r="F96" s="730" t="s">
        <v>2695</v>
      </c>
      <c r="G96" s="714" t="s">
        <v>2888</v>
      </c>
      <c r="H96" s="714" t="s">
        <v>2889</v>
      </c>
      <c r="I96" s="720">
        <v>152.46</v>
      </c>
      <c r="J96" s="720">
        <v>1</v>
      </c>
      <c r="K96" s="721">
        <v>152.46</v>
      </c>
    </row>
    <row r="97" spans="1:11" ht="14.4" customHeight="1" x14ac:dyDescent="0.3">
      <c r="A97" s="710" t="s">
        <v>499</v>
      </c>
      <c r="B97" s="711" t="s">
        <v>501</v>
      </c>
      <c r="C97" s="714" t="s">
        <v>515</v>
      </c>
      <c r="D97" s="730" t="s">
        <v>516</v>
      </c>
      <c r="E97" s="714" t="s">
        <v>2698</v>
      </c>
      <c r="F97" s="730" t="s">
        <v>2699</v>
      </c>
      <c r="G97" s="714" t="s">
        <v>2890</v>
      </c>
      <c r="H97" s="714" t="s">
        <v>2891</v>
      </c>
      <c r="I97" s="720">
        <v>15.295</v>
      </c>
      <c r="J97" s="720">
        <v>100</v>
      </c>
      <c r="K97" s="721">
        <v>1529.66</v>
      </c>
    </row>
    <row r="98" spans="1:11" ht="14.4" customHeight="1" x14ac:dyDescent="0.3">
      <c r="A98" s="710" t="s">
        <v>499</v>
      </c>
      <c r="B98" s="711" t="s">
        <v>501</v>
      </c>
      <c r="C98" s="714" t="s">
        <v>515</v>
      </c>
      <c r="D98" s="730" t="s">
        <v>516</v>
      </c>
      <c r="E98" s="714" t="s">
        <v>2698</v>
      </c>
      <c r="F98" s="730" t="s">
        <v>2699</v>
      </c>
      <c r="G98" s="714" t="s">
        <v>2892</v>
      </c>
      <c r="H98" s="714" t="s">
        <v>2893</v>
      </c>
      <c r="I98" s="720">
        <v>1.81</v>
      </c>
      <c r="J98" s="720">
        <v>10</v>
      </c>
      <c r="K98" s="721">
        <v>18.100000000000001</v>
      </c>
    </row>
    <row r="99" spans="1:11" ht="14.4" customHeight="1" x14ac:dyDescent="0.3">
      <c r="A99" s="710" t="s">
        <v>499</v>
      </c>
      <c r="B99" s="711" t="s">
        <v>501</v>
      </c>
      <c r="C99" s="714" t="s">
        <v>515</v>
      </c>
      <c r="D99" s="730" t="s">
        <v>516</v>
      </c>
      <c r="E99" s="714" t="s">
        <v>2698</v>
      </c>
      <c r="F99" s="730" t="s">
        <v>2699</v>
      </c>
      <c r="G99" s="714" t="s">
        <v>2806</v>
      </c>
      <c r="H99" s="714" t="s">
        <v>2807</v>
      </c>
      <c r="I99" s="720">
        <v>2.37</v>
      </c>
      <c r="J99" s="720">
        <v>100</v>
      </c>
      <c r="K99" s="721">
        <v>237</v>
      </c>
    </row>
    <row r="100" spans="1:11" ht="14.4" customHeight="1" x14ac:dyDescent="0.3">
      <c r="A100" s="710" t="s">
        <v>499</v>
      </c>
      <c r="B100" s="711" t="s">
        <v>501</v>
      </c>
      <c r="C100" s="714" t="s">
        <v>515</v>
      </c>
      <c r="D100" s="730" t="s">
        <v>516</v>
      </c>
      <c r="E100" s="714" t="s">
        <v>2698</v>
      </c>
      <c r="F100" s="730" t="s">
        <v>2699</v>
      </c>
      <c r="G100" s="714" t="s">
        <v>2808</v>
      </c>
      <c r="H100" s="714" t="s">
        <v>2809</v>
      </c>
      <c r="I100" s="720">
        <v>2.85</v>
      </c>
      <c r="J100" s="720">
        <v>40</v>
      </c>
      <c r="K100" s="721">
        <v>114</v>
      </c>
    </row>
    <row r="101" spans="1:11" ht="14.4" customHeight="1" x14ac:dyDescent="0.3">
      <c r="A101" s="710" t="s">
        <v>499</v>
      </c>
      <c r="B101" s="711" t="s">
        <v>501</v>
      </c>
      <c r="C101" s="714" t="s">
        <v>515</v>
      </c>
      <c r="D101" s="730" t="s">
        <v>516</v>
      </c>
      <c r="E101" s="714" t="s">
        <v>2698</v>
      </c>
      <c r="F101" s="730" t="s">
        <v>2699</v>
      </c>
      <c r="G101" s="714" t="s">
        <v>2814</v>
      </c>
      <c r="H101" s="714" t="s">
        <v>2815</v>
      </c>
      <c r="I101" s="720">
        <v>0.01</v>
      </c>
      <c r="J101" s="720">
        <v>50</v>
      </c>
      <c r="K101" s="721">
        <v>0.5</v>
      </c>
    </row>
    <row r="102" spans="1:11" ht="14.4" customHeight="1" thickBot="1" x14ac:dyDescent="0.35">
      <c r="A102" s="702" t="s">
        <v>499</v>
      </c>
      <c r="B102" s="703" t="s">
        <v>501</v>
      </c>
      <c r="C102" s="706" t="s">
        <v>515</v>
      </c>
      <c r="D102" s="731" t="s">
        <v>516</v>
      </c>
      <c r="E102" s="706" t="s">
        <v>2698</v>
      </c>
      <c r="F102" s="731" t="s">
        <v>2699</v>
      </c>
      <c r="G102" s="706" t="s">
        <v>2818</v>
      </c>
      <c r="H102" s="706" t="s">
        <v>2819</v>
      </c>
      <c r="I102" s="722">
        <v>2</v>
      </c>
      <c r="J102" s="722">
        <v>50</v>
      </c>
      <c r="K102" s="723">
        <v>100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2" width="12.21875" customWidth="1"/>
    <col min="3" max="3" width="12.21875" hidden="1" customWidth="1"/>
    <col min="4" max="4" width="12.21875" customWidth="1"/>
    <col min="5" max="5" width="12.21875" hidden="1" customWidth="1"/>
    <col min="6" max="6" width="12.21875" customWidth="1"/>
    <col min="7" max="8" width="12.21875" hidden="1" customWidth="1"/>
    <col min="9" max="9" width="12.21875" customWidth="1"/>
    <col min="10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520" t="s">
        <v>134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15" thickBot="1" x14ac:dyDescent="0.35">
      <c r="A2" s="389" t="s">
        <v>298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 x14ac:dyDescent="0.3">
      <c r="A3" s="410" t="s">
        <v>292</v>
      </c>
      <c r="B3" s="522" t="s">
        <v>270</v>
      </c>
      <c r="C3" s="391">
        <v>0</v>
      </c>
      <c r="D3" s="392">
        <v>101</v>
      </c>
      <c r="E3" s="413">
        <v>203</v>
      </c>
      <c r="F3" s="392" t="s">
        <v>250</v>
      </c>
      <c r="G3" s="392" t="s">
        <v>251</v>
      </c>
      <c r="H3" s="392" t="s">
        <v>252</v>
      </c>
      <c r="I3" s="392" t="s">
        <v>253</v>
      </c>
      <c r="J3" s="392" t="s">
        <v>254</v>
      </c>
      <c r="K3" s="392">
        <v>930</v>
      </c>
      <c r="L3" s="393">
        <v>940</v>
      </c>
    </row>
    <row r="4" spans="1:12" ht="60.6" outlineLevel="1" thickBot="1" x14ac:dyDescent="0.35">
      <c r="A4" s="411">
        <v>2014</v>
      </c>
      <c r="B4" s="523"/>
      <c r="C4" s="394" t="s">
        <v>271</v>
      </c>
      <c r="D4" s="395" t="s">
        <v>272</v>
      </c>
      <c r="E4" s="414" t="s">
        <v>273</v>
      </c>
      <c r="F4" s="395" t="s">
        <v>274</v>
      </c>
      <c r="G4" s="395" t="s">
        <v>275</v>
      </c>
      <c r="H4" s="395" t="s">
        <v>276</v>
      </c>
      <c r="I4" s="395" t="s">
        <v>277</v>
      </c>
      <c r="J4" s="395" t="s">
        <v>278</v>
      </c>
      <c r="K4" s="395" t="s">
        <v>279</v>
      </c>
      <c r="L4" s="396" t="s">
        <v>280</v>
      </c>
    </row>
    <row r="5" spans="1:12" x14ac:dyDescent="0.3">
      <c r="A5" s="397" t="s">
        <v>281</v>
      </c>
      <c r="B5" s="441"/>
      <c r="C5" s="442"/>
      <c r="D5" s="443"/>
      <c r="E5" s="443"/>
      <c r="F5" s="443"/>
      <c r="G5" s="443"/>
      <c r="H5" s="443"/>
      <c r="I5" s="443"/>
      <c r="J5" s="443"/>
      <c r="K5" s="443"/>
      <c r="L5" s="444"/>
    </row>
    <row r="6" spans="1:12" ht="15" collapsed="1" thickBot="1" x14ac:dyDescent="0.35">
      <c r="A6" s="398" t="s">
        <v>97</v>
      </c>
      <c r="B6" s="445">
        <f xml:space="preserve">
TRUNC(IF($A$4&lt;=12,SUMIFS('ON Data'!D:D,'ON Data'!$B:$B,$A$4,'ON Data'!$C:$C,1),SUMIFS('ON Data'!D:D,'ON Data'!$C:$C,1)/'ON Data'!$B$3),1)</f>
        <v>43.5</v>
      </c>
      <c r="C6" s="446">
        <f xml:space="preserve">
TRUNC(IF($A$4&lt;=12,SUMIFS('ON Data'!E:E,'ON Data'!$B:$B,$A$4,'ON Data'!$C:$C,1),SUMIFS('ON Data'!E:E,'ON Data'!$C:$C,1)/'ON Data'!$B$3),1)</f>
        <v>0</v>
      </c>
      <c r="D6" s="447">
        <f xml:space="preserve">
TRUNC(IF($A$4&lt;=12,SUMIFS('ON Data'!F:F,'ON Data'!$B:$B,$A$4,'ON Data'!$C:$C,1),SUMIFS('ON Data'!F:F,'ON Data'!$C:$C,1)/'ON Data'!$B$3),1)</f>
        <v>7</v>
      </c>
      <c r="E6" s="447">
        <f xml:space="preserve">
TRUNC(IF($A$4&lt;=12,SUMIFS('ON Data'!H:H,'ON Data'!$B:$B,$A$4,'ON Data'!$C:$C,1),SUMIFS('ON Data'!H:H,'ON Data'!$C:$C,1)/'ON Data'!$B$3),1)</f>
        <v>0</v>
      </c>
      <c r="F6" s="447">
        <f xml:space="preserve">
TRUNC(IF($A$4&lt;=12,SUMIFS('ON Data'!I:I,'ON Data'!$B:$B,$A$4,'ON Data'!$C:$C,1),SUMIFS('ON Data'!I:I,'ON Data'!$C:$C,1)/'ON Data'!$B$3),1)</f>
        <v>18</v>
      </c>
      <c r="G6" s="447">
        <f xml:space="preserve">
TRUNC(IF($A$4&lt;=12,SUMIFS('ON Data'!J:J,'ON Data'!$B:$B,$A$4,'ON Data'!$C:$C,1),SUMIFS('ON Data'!J:J,'ON Data'!$C:$C,1)/'ON Data'!$B$3),1)</f>
        <v>0</v>
      </c>
      <c r="H6" s="447">
        <f xml:space="preserve">
TRUNC(IF($A$4&lt;=12,SUMIFS('ON Data'!K:K,'ON Data'!$B:$B,$A$4,'ON Data'!$C:$C,1),SUMIFS('ON Data'!K:K,'ON Data'!$C:$C,1)/'ON Data'!$B$3),1)</f>
        <v>0</v>
      </c>
      <c r="I6" s="447">
        <f xml:space="preserve">
TRUNC(IF($A$4&lt;=12,SUMIFS('ON Data'!L:L,'ON Data'!$B:$B,$A$4,'ON Data'!$C:$C,1),SUMIFS('ON Data'!L:L,'ON Data'!$C:$C,1)/'ON Data'!$B$3),1)</f>
        <v>16.5</v>
      </c>
      <c r="J6" s="447">
        <f xml:space="preserve">
TRUNC(IF($A$4&lt;=12,SUMIFS('ON Data'!M:M,'ON Data'!$B:$B,$A$4,'ON Data'!$C:$C,1),SUMIFS('ON Data'!M:M,'ON Data'!$C:$C,1)/'ON Data'!$B$3),1)</f>
        <v>0</v>
      </c>
      <c r="K6" s="447">
        <f xml:space="preserve">
TRUNC(IF($A$4&lt;=12,SUMIFS('ON Data'!N:N,'ON Data'!$B:$B,$A$4,'ON Data'!$C:$C,1),SUMIFS('ON Data'!N:N,'ON Data'!$C:$C,1)/'ON Data'!$B$3),1)</f>
        <v>2</v>
      </c>
      <c r="L6" s="44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398" t="s">
        <v>135</v>
      </c>
      <c r="B7" s="445"/>
      <c r="C7" s="449"/>
      <c r="D7" s="447"/>
      <c r="E7" s="447"/>
      <c r="F7" s="447"/>
      <c r="G7" s="447"/>
      <c r="H7" s="447"/>
      <c r="I7" s="447"/>
      <c r="J7" s="447"/>
      <c r="K7" s="447"/>
      <c r="L7" s="448"/>
    </row>
    <row r="8" spans="1:12" ht="15" hidden="1" outlineLevel="1" thickBot="1" x14ac:dyDescent="0.35">
      <c r="A8" s="398" t="s">
        <v>99</v>
      </c>
      <c r="B8" s="445"/>
      <c r="C8" s="449"/>
      <c r="D8" s="447"/>
      <c r="E8" s="447"/>
      <c r="F8" s="447"/>
      <c r="G8" s="447"/>
      <c r="H8" s="447"/>
      <c r="I8" s="447"/>
      <c r="J8" s="447"/>
      <c r="K8" s="447"/>
      <c r="L8" s="448"/>
    </row>
    <row r="9" spans="1:12" ht="15" hidden="1" outlineLevel="1" thickBot="1" x14ac:dyDescent="0.35">
      <c r="A9" s="399" t="s">
        <v>72</v>
      </c>
      <c r="B9" s="450"/>
      <c r="C9" s="451"/>
      <c r="D9" s="452"/>
      <c r="E9" s="452"/>
      <c r="F9" s="452"/>
      <c r="G9" s="452"/>
      <c r="H9" s="452"/>
      <c r="I9" s="452"/>
      <c r="J9" s="452"/>
      <c r="K9" s="452"/>
      <c r="L9" s="453"/>
    </row>
    <row r="10" spans="1:12" x14ac:dyDescent="0.3">
      <c r="A10" s="400" t="s">
        <v>282</v>
      </c>
      <c r="B10" s="415"/>
      <c r="C10" s="416"/>
      <c r="D10" s="417"/>
      <c r="E10" s="417"/>
      <c r="F10" s="417"/>
      <c r="G10" s="417"/>
      <c r="H10" s="417"/>
      <c r="I10" s="417"/>
      <c r="J10" s="417"/>
      <c r="K10" s="417"/>
      <c r="L10" s="418"/>
    </row>
    <row r="11" spans="1:12" x14ac:dyDescent="0.3">
      <c r="A11" s="401" t="s">
        <v>283</v>
      </c>
      <c r="B11" s="419">
        <f xml:space="preserve">
IF($A$4&lt;=12,SUMIFS('ON Data'!D:D,'ON Data'!$B:$B,$A$4,'ON Data'!$C:$C,2),SUMIFS('ON Data'!D:D,'ON Data'!$C:$C,2))</f>
        <v>12615.25</v>
      </c>
      <c r="C11" s="420">
        <f xml:space="preserve">
IF($A$4&lt;=12,SUMIFS('ON Data'!E:E,'ON Data'!$B:$B,$A$4,'ON Data'!$C:$C,2),SUMIFS('ON Data'!E:E,'ON Data'!$C:$C,2))</f>
        <v>0</v>
      </c>
      <c r="D11" s="421">
        <f xml:space="preserve">
IF($A$4&lt;=12,SUMIFS('ON Data'!F:F,'ON Data'!$B:$B,$A$4,'ON Data'!$C:$C,2),SUMIFS('ON Data'!F:F,'ON Data'!$C:$C,2))</f>
        <v>2260</v>
      </c>
      <c r="E11" s="421">
        <f xml:space="preserve">
IF($A$4&lt;=12,SUMIFS('ON Data'!H:H,'ON Data'!$B:$B,$A$4,'ON Data'!$C:$C,2),SUMIFS('ON Data'!H:H,'ON Data'!$C:$C,2))</f>
        <v>0</v>
      </c>
      <c r="F11" s="421">
        <f xml:space="preserve">
IF($A$4&lt;=12,SUMIFS('ON Data'!I:I,'ON Data'!$B:$B,$A$4,'ON Data'!$C:$C,2),SUMIFS('ON Data'!I:I,'ON Data'!$C:$C,2))</f>
        <v>4616.75</v>
      </c>
      <c r="G11" s="421">
        <f xml:space="preserve">
IF($A$4&lt;=12,SUMIFS('ON Data'!J:J,'ON Data'!$B:$B,$A$4,'ON Data'!$C:$C,2),SUMIFS('ON Data'!J:J,'ON Data'!$C:$C,2))</f>
        <v>0</v>
      </c>
      <c r="H11" s="421">
        <f xml:space="preserve">
IF($A$4&lt;=12,SUMIFS('ON Data'!K:K,'ON Data'!$B:$B,$A$4,'ON Data'!$C:$C,2),SUMIFS('ON Data'!K:K,'ON Data'!$C:$C,2))</f>
        <v>0</v>
      </c>
      <c r="I11" s="421">
        <f xml:space="preserve">
IF($A$4&lt;=12,SUMIFS('ON Data'!L:L,'ON Data'!$B:$B,$A$4,'ON Data'!$C:$C,2),SUMIFS('ON Data'!L:L,'ON Data'!$C:$C,2))</f>
        <v>5058.5</v>
      </c>
      <c r="J11" s="421">
        <f xml:space="preserve">
IF($A$4&lt;=12,SUMIFS('ON Data'!M:M,'ON Data'!$B:$B,$A$4,'ON Data'!$C:$C,2),SUMIFS('ON Data'!M:M,'ON Data'!$C:$C,2))</f>
        <v>0</v>
      </c>
      <c r="K11" s="421">
        <f xml:space="preserve">
IF($A$4&lt;=12,SUMIFS('ON Data'!N:N,'ON Data'!$B:$B,$A$4,'ON Data'!$C:$C,2),SUMIFS('ON Data'!N:N,'ON Data'!$C:$C,2))</f>
        <v>680</v>
      </c>
      <c r="L11" s="422">
        <f xml:space="preserve">
IF($A$4&lt;=12,SUMIFS('ON Data'!O:O,'ON Data'!$B:$B,$A$4,'ON Data'!$C:$C,2),SUMIFS('ON Data'!O:O,'ON Data'!$C:$C,2))</f>
        <v>0</v>
      </c>
    </row>
    <row r="12" spans="1:12" x14ac:dyDescent="0.3">
      <c r="A12" s="401" t="s">
        <v>284</v>
      </c>
      <c r="B12" s="419">
        <f xml:space="preserve">
IF($A$4&lt;=12,SUMIFS('ON Data'!D:D,'ON Data'!$B:$B,$A$4,'ON Data'!$C:$C,3),SUMIFS('ON Data'!D:D,'ON Data'!$C:$C,3))</f>
        <v>30</v>
      </c>
      <c r="C12" s="420">
        <f xml:space="preserve">
IF($A$4&lt;=12,SUMIFS('ON Data'!E:E,'ON Data'!$B:$B,$A$4,'ON Data'!$C:$C,3),SUMIFS('ON Data'!E:E,'ON Data'!$C:$C,3))</f>
        <v>0</v>
      </c>
      <c r="D12" s="421">
        <f xml:space="preserve">
IF($A$4&lt;=12,SUMIFS('ON Data'!F:F,'ON Data'!$B:$B,$A$4,'ON Data'!$C:$C,3),SUMIFS('ON Data'!F:F,'ON Data'!$C:$C,3))</f>
        <v>0</v>
      </c>
      <c r="E12" s="421">
        <f xml:space="preserve">
IF($A$4&lt;=12,SUMIFS('ON Data'!H:H,'ON Data'!$B:$B,$A$4,'ON Data'!$C:$C,3),SUMIFS('ON Data'!H:H,'ON Data'!$C:$C,3))</f>
        <v>0</v>
      </c>
      <c r="F12" s="421">
        <f xml:space="preserve">
IF($A$4&lt;=12,SUMIFS('ON Data'!I:I,'ON Data'!$B:$B,$A$4,'ON Data'!$C:$C,3),SUMIFS('ON Data'!I:I,'ON Data'!$C:$C,3))</f>
        <v>30</v>
      </c>
      <c r="G12" s="421">
        <f xml:space="preserve">
IF($A$4&lt;=12,SUMIFS('ON Data'!J:J,'ON Data'!$B:$B,$A$4,'ON Data'!$C:$C,3),SUMIFS('ON Data'!J:J,'ON Data'!$C:$C,3))</f>
        <v>0</v>
      </c>
      <c r="H12" s="421">
        <f xml:space="preserve">
IF($A$4&lt;=12,SUMIFS('ON Data'!K:K,'ON Data'!$B:$B,$A$4,'ON Data'!$C:$C,3),SUMIFS('ON Data'!K:K,'ON Data'!$C:$C,3))</f>
        <v>0</v>
      </c>
      <c r="I12" s="421">
        <f xml:space="preserve">
IF($A$4&lt;=12,SUMIFS('ON Data'!L:L,'ON Data'!$B:$B,$A$4,'ON Data'!$C:$C,3),SUMIFS('ON Data'!L:L,'ON Data'!$C:$C,3))</f>
        <v>0</v>
      </c>
      <c r="J12" s="421">
        <f xml:space="preserve">
IF($A$4&lt;=12,SUMIFS('ON Data'!M:M,'ON Data'!$B:$B,$A$4,'ON Data'!$C:$C,3),SUMIFS('ON Data'!M:M,'ON Data'!$C:$C,3))</f>
        <v>0</v>
      </c>
      <c r="K12" s="421">
        <f xml:space="preserve">
IF($A$4&lt;=12,SUMIFS('ON Data'!N:N,'ON Data'!$B:$B,$A$4,'ON Data'!$C:$C,3),SUMIFS('ON Data'!N:N,'ON Data'!$C:$C,3))</f>
        <v>0</v>
      </c>
      <c r="L12" s="422">
        <f xml:space="preserve">
IF($A$4&lt;=12,SUMIFS('ON Data'!O:O,'ON Data'!$B:$B,$A$4,'ON Data'!$C:$C,3),SUMIFS('ON Data'!O:O,'ON Data'!$C:$C,3))</f>
        <v>0</v>
      </c>
    </row>
    <row r="13" spans="1:12" x14ac:dyDescent="0.3">
      <c r="A13" s="401" t="s">
        <v>293</v>
      </c>
      <c r="B13" s="419">
        <f xml:space="preserve">
IF($A$4&lt;=12,SUMIFS('ON Data'!D:D,'ON Data'!$B:$B,$A$4,'ON Data'!$C:$C,4),SUMIFS('ON Data'!D:D,'ON Data'!$C:$C,4))</f>
        <v>461</v>
      </c>
      <c r="C13" s="420">
        <f xml:space="preserve">
IF($A$4&lt;=12,SUMIFS('ON Data'!E:E,'ON Data'!$B:$B,$A$4,'ON Data'!$C:$C,4),SUMIFS('ON Data'!E:E,'ON Data'!$C:$C,4))</f>
        <v>0</v>
      </c>
      <c r="D13" s="421">
        <f xml:space="preserve">
IF($A$4&lt;=12,SUMIFS('ON Data'!F:F,'ON Data'!$B:$B,$A$4,'ON Data'!$C:$C,4),SUMIFS('ON Data'!F:F,'ON Data'!$C:$C,4))</f>
        <v>461</v>
      </c>
      <c r="E13" s="421">
        <f xml:space="preserve">
IF($A$4&lt;=12,SUMIFS('ON Data'!H:H,'ON Data'!$B:$B,$A$4,'ON Data'!$C:$C,4),SUMIFS('ON Data'!H:H,'ON Data'!$C:$C,4))</f>
        <v>0</v>
      </c>
      <c r="F13" s="421">
        <f xml:space="preserve">
IF($A$4&lt;=12,SUMIFS('ON Data'!I:I,'ON Data'!$B:$B,$A$4,'ON Data'!$C:$C,4),SUMIFS('ON Data'!I:I,'ON Data'!$C:$C,4))</f>
        <v>0</v>
      </c>
      <c r="G13" s="421">
        <f xml:space="preserve">
IF($A$4&lt;=12,SUMIFS('ON Data'!J:J,'ON Data'!$B:$B,$A$4,'ON Data'!$C:$C,4),SUMIFS('ON Data'!J:J,'ON Data'!$C:$C,4))</f>
        <v>0</v>
      </c>
      <c r="H13" s="421">
        <f xml:space="preserve">
IF($A$4&lt;=12,SUMIFS('ON Data'!K:K,'ON Data'!$B:$B,$A$4,'ON Data'!$C:$C,4),SUMIFS('ON Data'!K:K,'ON Data'!$C:$C,4))</f>
        <v>0</v>
      </c>
      <c r="I13" s="421">
        <f xml:space="preserve">
IF($A$4&lt;=12,SUMIFS('ON Data'!L:L,'ON Data'!$B:$B,$A$4,'ON Data'!$C:$C,4),SUMIFS('ON Data'!L:L,'ON Data'!$C:$C,4))</f>
        <v>0</v>
      </c>
      <c r="J13" s="421">
        <f xml:space="preserve">
IF($A$4&lt;=12,SUMIFS('ON Data'!M:M,'ON Data'!$B:$B,$A$4,'ON Data'!$C:$C,4),SUMIFS('ON Data'!M:M,'ON Data'!$C:$C,4))</f>
        <v>0</v>
      </c>
      <c r="K13" s="421">
        <f xml:space="preserve">
IF($A$4&lt;=12,SUMIFS('ON Data'!N:N,'ON Data'!$B:$B,$A$4,'ON Data'!$C:$C,4),SUMIFS('ON Data'!N:N,'ON Data'!$C:$C,4))</f>
        <v>0</v>
      </c>
      <c r="L13" s="42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402" t="s">
        <v>285</v>
      </c>
      <c r="B14" s="423">
        <f xml:space="preserve">
IF($A$4&lt;=12,SUMIFS('ON Data'!D:D,'ON Data'!$B:$B,$A$4,'ON Data'!$C:$C,5),SUMIFS('ON Data'!D:D,'ON Data'!$C:$C,5))</f>
        <v>0</v>
      </c>
      <c r="C14" s="424">
        <f xml:space="preserve">
IF($A$4&lt;=12,SUMIFS('ON Data'!E:E,'ON Data'!$B:$B,$A$4,'ON Data'!$C:$C,5),SUMIFS('ON Data'!E:E,'ON Data'!$C:$C,5))</f>
        <v>0</v>
      </c>
      <c r="D14" s="425">
        <f xml:space="preserve">
IF($A$4&lt;=12,SUMIFS('ON Data'!F:F,'ON Data'!$B:$B,$A$4,'ON Data'!$C:$C,5),SUMIFS('ON Data'!F:F,'ON Data'!$C:$C,5))</f>
        <v>0</v>
      </c>
      <c r="E14" s="425">
        <f xml:space="preserve">
IF($A$4&lt;=12,SUMIFS('ON Data'!H:H,'ON Data'!$B:$B,$A$4,'ON Data'!$C:$C,5),SUMIFS('ON Data'!H:H,'ON Data'!$C:$C,5))</f>
        <v>0</v>
      </c>
      <c r="F14" s="425">
        <f xml:space="preserve">
IF($A$4&lt;=12,SUMIFS('ON Data'!I:I,'ON Data'!$B:$B,$A$4,'ON Data'!$C:$C,5),SUMIFS('ON Data'!I:I,'ON Data'!$C:$C,5))</f>
        <v>0</v>
      </c>
      <c r="G14" s="425">
        <f xml:space="preserve">
IF($A$4&lt;=12,SUMIFS('ON Data'!J:J,'ON Data'!$B:$B,$A$4,'ON Data'!$C:$C,5),SUMIFS('ON Data'!J:J,'ON Data'!$C:$C,5))</f>
        <v>0</v>
      </c>
      <c r="H14" s="425">
        <f xml:space="preserve">
IF($A$4&lt;=12,SUMIFS('ON Data'!K:K,'ON Data'!$B:$B,$A$4,'ON Data'!$C:$C,5),SUMIFS('ON Data'!K:K,'ON Data'!$C:$C,5))</f>
        <v>0</v>
      </c>
      <c r="I14" s="425">
        <f xml:space="preserve">
IF($A$4&lt;=12,SUMIFS('ON Data'!L:L,'ON Data'!$B:$B,$A$4,'ON Data'!$C:$C,5),SUMIFS('ON Data'!L:L,'ON Data'!$C:$C,5))</f>
        <v>0</v>
      </c>
      <c r="J14" s="425">
        <f xml:space="preserve">
IF($A$4&lt;=12,SUMIFS('ON Data'!M:M,'ON Data'!$B:$B,$A$4,'ON Data'!$C:$C,5),SUMIFS('ON Data'!M:M,'ON Data'!$C:$C,5))</f>
        <v>0</v>
      </c>
      <c r="K14" s="425">
        <f xml:space="preserve">
IF($A$4&lt;=12,SUMIFS('ON Data'!N:N,'ON Data'!$B:$B,$A$4,'ON Data'!$C:$C,5),SUMIFS('ON Data'!N:N,'ON Data'!$C:$C,5))</f>
        <v>0</v>
      </c>
      <c r="L14" s="426">
        <f xml:space="preserve">
IF($A$4&lt;=12,SUMIFS('ON Data'!O:O,'ON Data'!$B:$B,$A$4,'ON Data'!$C:$C,5),SUMIFS('ON Data'!O:O,'ON Data'!$C:$C,5))</f>
        <v>0</v>
      </c>
    </row>
    <row r="15" spans="1:12" x14ac:dyDescent="0.3">
      <c r="A15" s="295" t="s">
        <v>297</v>
      </c>
      <c r="B15" s="427"/>
      <c r="C15" s="428"/>
      <c r="D15" s="429"/>
      <c r="E15" s="429"/>
      <c r="F15" s="429"/>
      <c r="G15" s="429"/>
      <c r="H15" s="429"/>
      <c r="I15" s="429"/>
      <c r="J15" s="429"/>
      <c r="K15" s="429"/>
      <c r="L15" s="430"/>
    </row>
    <row r="16" spans="1:12" x14ac:dyDescent="0.3">
      <c r="A16" s="403" t="s">
        <v>286</v>
      </c>
      <c r="B16" s="419">
        <f xml:space="preserve">
IF($A$4&lt;=12,SUMIFS('ON Data'!D:D,'ON Data'!$B:$B,$A$4,'ON Data'!$C:$C,7),SUMIFS('ON Data'!D:D,'ON Data'!$C:$C,7))</f>
        <v>0</v>
      </c>
      <c r="C16" s="420">
        <f xml:space="preserve">
IF($A$4&lt;=12,SUMIFS('ON Data'!E:E,'ON Data'!$B:$B,$A$4,'ON Data'!$C:$C,7),SUMIFS('ON Data'!E:E,'ON Data'!$C:$C,7))</f>
        <v>0</v>
      </c>
      <c r="D16" s="421">
        <f xml:space="preserve">
IF($A$4&lt;=12,SUMIFS('ON Data'!F:F,'ON Data'!$B:$B,$A$4,'ON Data'!$C:$C,7),SUMIFS('ON Data'!F:F,'ON Data'!$C:$C,7))</f>
        <v>0</v>
      </c>
      <c r="E16" s="421">
        <f xml:space="preserve">
IF($A$4&lt;=12,SUMIFS('ON Data'!H:H,'ON Data'!$B:$B,$A$4,'ON Data'!$C:$C,7),SUMIFS('ON Data'!H:H,'ON Data'!$C:$C,7))</f>
        <v>0</v>
      </c>
      <c r="F16" s="421">
        <f xml:space="preserve">
IF($A$4&lt;=12,SUMIFS('ON Data'!I:I,'ON Data'!$B:$B,$A$4,'ON Data'!$C:$C,7),SUMIFS('ON Data'!I:I,'ON Data'!$C:$C,7))</f>
        <v>0</v>
      </c>
      <c r="G16" s="421">
        <f xml:space="preserve">
IF($A$4&lt;=12,SUMIFS('ON Data'!J:J,'ON Data'!$B:$B,$A$4,'ON Data'!$C:$C,7),SUMIFS('ON Data'!J:J,'ON Data'!$C:$C,7))</f>
        <v>0</v>
      </c>
      <c r="H16" s="421">
        <f xml:space="preserve">
IF($A$4&lt;=12,SUMIFS('ON Data'!K:K,'ON Data'!$B:$B,$A$4,'ON Data'!$C:$C,7),SUMIFS('ON Data'!K:K,'ON Data'!$C:$C,7))</f>
        <v>0</v>
      </c>
      <c r="I16" s="421">
        <f xml:space="preserve">
IF($A$4&lt;=12,SUMIFS('ON Data'!L:L,'ON Data'!$B:$B,$A$4,'ON Data'!$C:$C,7),SUMIFS('ON Data'!L:L,'ON Data'!$C:$C,7))</f>
        <v>0</v>
      </c>
      <c r="J16" s="421">
        <f xml:space="preserve">
IF($A$4&lt;=12,SUMIFS('ON Data'!M:M,'ON Data'!$B:$B,$A$4,'ON Data'!$C:$C,7),SUMIFS('ON Data'!M:M,'ON Data'!$C:$C,7))</f>
        <v>0</v>
      </c>
      <c r="K16" s="421">
        <f xml:space="preserve">
IF($A$4&lt;=12,SUMIFS('ON Data'!N:N,'ON Data'!$B:$B,$A$4,'ON Data'!$C:$C,7),SUMIFS('ON Data'!N:N,'ON Data'!$C:$C,7))</f>
        <v>0</v>
      </c>
      <c r="L16" s="422">
        <f xml:space="preserve">
IF($A$4&lt;=12,SUMIFS('ON Data'!O:O,'ON Data'!$B:$B,$A$4,'ON Data'!$C:$C,7),SUMIFS('ON Data'!O:O,'ON Data'!$C:$C,7))</f>
        <v>0</v>
      </c>
    </row>
    <row r="17" spans="1:12" x14ac:dyDescent="0.3">
      <c r="A17" s="403" t="s">
        <v>287</v>
      </c>
      <c r="B17" s="419">
        <f xml:space="preserve">
IF($A$4&lt;=12,SUMIFS('ON Data'!D:D,'ON Data'!$B:$B,$A$4,'ON Data'!$C:$C,8),SUMIFS('ON Data'!D:D,'ON Data'!$C:$C,8))</f>
        <v>0</v>
      </c>
      <c r="C17" s="420">
        <f xml:space="preserve">
IF($A$4&lt;=12,SUMIFS('ON Data'!E:E,'ON Data'!$B:$B,$A$4,'ON Data'!$C:$C,8),SUMIFS('ON Data'!E:E,'ON Data'!$C:$C,8))</f>
        <v>0</v>
      </c>
      <c r="D17" s="421">
        <f xml:space="preserve">
IF($A$4&lt;=12,SUMIFS('ON Data'!F:F,'ON Data'!$B:$B,$A$4,'ON Data'!$C:$C,8),SUMIFS('ON Data'!F:F,'ON Data'!$C:$C,8))</f>
        <v>0</v>
      </c>
      <c r="E17" s="421">
        <f xml:space="preserve">
IF($A$4&lt;=12,SUMIFS('ON Data'!H:H,'ON Data'!$B:$B,$A$4,'ON Data'!$C:$C,8),SUMIFS('ON Data'!H:H,'ON Data'!$C:$C,8))</f>
        <v>0</v>
      </c>
      <c r="F17" s="421">
        <f xml:space="preserve">
IF($A$4&lt;=12,SUMIFS('ON Data'!I:I,'ON Data'!$B:$B,$A$4,'ON Data'!$C:$C,8),SUMIFS('ON Data'!I:I,'ON Data'!$C:$C,8))</f>
        <v>0</v>
      </c>
      <c r="G17" s="421">
        <f xml:space="preserve">
IF($A$4&lt;=12,SUMIFS('ON Data'!J:J,'ON Data'!$B:$B,$A$4,'ON Data'!$C:$C,8),SUMIFS('ON Data'!J:J,'ON Data'!$C:$C,8))</f>
        <v>0</v>
      </c>
      <c r="H17" s="421">
        <f xml:space="preserve">
IF($A$4&lt;=12,SUMIFS('ON Data'!K:K,'ON Data'!$B:$B,$A$4,'ON Data'!$C:$C,8),SUMIFS('ON Data'!K:K,'ON Data'!$C:$C,8))</f>
        <v>0</v>
      </c>
      <c r="I17" s="421">
        <f xml:space="preserve">
IF($A$4&lt;=12,SUMIFS('ON Data'!L:L,'ON Data'!$B:$B,$A$4,'ON Data'!$C:$C,8),SUMIFS('ON Data'!L:L,'ON Data'!$C:$C,8))</f>
        <v>0</v>
      </c>
      <c r="J17" s="421">
        <f xml:space="preserve">
IF($A$4&lt;=12,SUMIFS('ON Data'!M:M,'ON Data'!$B:$B,$A$4,'ON Data'!$C:$C,8),SUMIFS('ON Data'!M:M,'ON Data'!$C:$C,8))</f>
        <v>0</v>
      </c>
      <c r="K17" s="421">
        <f xml:space="preserve">
IF($A$4&lt;=12,SUMIFS('ON Data'!N:N,'ON Data'!$B:$B,$A$4,'ON Data'!$C:$C,8),SUMIFS('ON Data'!N:N,'ON Data'!$C:$C,8))</f>
        <v>0</v>
      </c>
      <c r="L17" s="422">
        <f xml:space="preserve">
IF($A$4&lt;=12,SUMIFS('ON Data'!O:O,'ON Data'!$B:$B,$A$4,'ON Data'!$C:$C,8),SUMIFS('ON Data'!O:O,'ON Data'!$C:$C,8))</f>
        <v>0</v>
      </c>
    </row>
    <row r="18" spans="1:12" x14ac:dyDescent="0.3">
      <c r="A18" s="403" t="s">
        <v>288</v>
      </c>
      <c r="B18" s="419">
        <f xml:space="preserve">
B19-B16-B17</f>
        <v>0</v>
      </c>
      <c r="C18" s="420">
        <f t="shared" ref="C18:L18" si="0" xml:space="preserve">
C19-C16-C17</f>
        <v>0</v>
      </c>
      <c r="D18" s="421">
        <f t="shared" si="0"/>
        <v>0</v>
      </c>
      <c r="E18" s="421">
        <f t="shared" si="0"/>
        <v>0</v>
      </c>
      <c r="F18" s="421">
        <f t="shared" si="0"/>
        <v>0</v>
      </c>
      <c r="G18" s="421">
        <f t="shared" si="0"/>
        <v>0</v>
      </c>
      <c r="H18" s="421">
        <f t="shared" si="0"/>
        <v>0</v>
      </c>
      <c r="I18" s="421">
        <f t="shared" si="0"/>
        <v>0</v>
      </c>
      <c r="J18" s="421">
        <f t="shared" si="0"/>
        <v>0</v>
      </c>
      <c r="K18" s="421">
        <f t="shared" si="0"/>
        <v>0</v>
      </c>
      <c r="L18" s="422">
        <f t="shared" si="0"/>
        <v>0</v>
      </c>
    </row>
    <row r="19" spans="1:12" ht="15" thickBot="1" x14ac:dyDescent="0.35">
      <c r="A19" s="404" t="s">
        <v>289</v>
      </c>
      <c r="B19" s="431">
        <f xml:space="preserve">
IF($A$4&lt;=12,SUMIFS('ON Data'!D:D,'ON Data'!$B:$B,$A$4,'ON Data'!$C:$C,9),SUMIFS('ON Data'!D:D,'ON Data'!$C:$C,9))</f>
        <v>0</v>
      </c>
      <c r="C19" s="432">
        <f xml:space="preserve">
IF($A$4&lt;=12,SUMIFS('ON Data'!E:E,'ON Data'!$B:$B,$A$4,'ON Data'!$C:$C,9),SUMIFS('ON Data'!E:E,'ON Data'!$C:$C,9))</f>
        <v>0</v>
      </c>
      <c r="D19" s="433">
        <f xml:space="preserve">
IF($A$4&lt;=12,SUMIFS('ON Data'!F:F,'ON Data'!$B:$B,$A$4,'ON Data'!$C:$C,9),SUMIFS('ON Data'!F:F,'ON Data'!$C:$C,9))</f>
        <v>0</v>
      </c>
      <c r="E19" s="433">
        <f xml:space="preserve">
IF($A$4&lt;=12,SUMIFS('ON Data'!H:H,'ON Data'!$B:$B,$A$4,'ON Data'!$C:$C,9),SUMIFS('ON Data'!H:H,'ON Data'!$C:$C,9))</f>
        <v>0</v>
      </c>
      <c r="F19" s="433">
        <f xml:space="preserve">
IF($A$4&lt;=12,SUMIFS('ON Data'!I:I,'ON Data'!$B:$B,$A$4,'ON Data'!$C:$C,9),SUMIFS('ON Data'!I:I,'ON Data'!$C:$C,9))</f>
        <v>0</v>
      </c>
      <c r="G19" s="433">
        <f xml:space="preserve">
IF($A$4&lt;=12,SUMIFS('ON Data'!J:J,'ON Data'!$B:$B,$A$4,'ON Data'!$C:$C,9),SUMIFS('ON Data'!J:J,'ON Data'!$C:$C,9))</f>
        <v>0</v>
      </c>
      <c r="H19" s="433">
        <f xml:space="preserve">
IF($A$4&lt;=12,SUMIFS('ON Data'!K:K,'ON Data'!$B:$B,$A$4,'ON Data'!$C:$C,9),SUMIFS('ON Data'!K:K,'ON Data'!$C:$C,9))</f>
        <v>0</v>
      </c>
      <c r="I19" s="433">
        <f xml:space="preserve">
IF($A$4&lt;=12,SUMIFS('ON Data'!L:L,'ON Data'!$B:$B,$A$4,'ON Data'!$C:$C,9),SUMIFS('ON Data'!L:L,'ON Data'!$C:$C,9))</f>
        <v>0</v>
      </c>
      <c r="J19" s="433">
        <f xml:space="preserve">
IF($A$4&lt;=12,SUMIFS('ON Data'!M:M,'ON Data'!$B:$B,$A$4,'ON Data'!$C:$C,9),SUMIFS('ON Data'!M:M,'ON Data'!$C:$C,9))</f>
        <v>0</v>
      </c>
      <c r="K19" s="433">
        <f xml:space="preserve">
IF($A$4&lt;=12,SUMIFS('ON Data'!N:N,'ON Data'!$B:$B,$A$4,'ON Data'!$C:$C,9),SUMIFS('ON Data'!N:N,'ON Data'!$C:$C,9))</f>
        <v>0</v>
      </c>
      <c r="L19" s="43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405" t="s">
        <v>97</v>
      </c>
      <c r="B20" s="435">
        <f xml:space="preserve">
IF($A$4&lt;=12,SUMIFS('ON Data'!D:D,'ON Data'!$B:$B,$A$4,'ON Data'!$C:$C,6),SUMIFS('ON Data'!D:D,'ON Data'!$C:$C,6))</f>
        <v>2595358</v>
      </c>
      <c r="C20" s="436">
        <f xml:space="preserve">
IF($A$4&lt;=12,SUMIFS('ON Data'!E:E,'ON Data'!$B:$B,$A$4,'ON Data'!$C:$C,6),SUMIFS('ON Data'!E:E,'ON Data'!$C:$C,6))</f>
        <v>0</v>
      </c>
      <c r="D20" s="437">
        <f xml:space="preserve">
IF($A$4&lt;=12,SUMIFS('ON Data'!F:F,'ON Data'!$B:$B,$A$4,'ON Data'!$C:$C,6),SUMIFS('ON Data'!F:F,'ON Data'!$C:$C,6))</f>
        <v>947294</v>
      </c>
      <c r="E20" s="437">
        <f xml:space="preserve">
IF($A$4&lt;=12,SUMIFS('ON Data'!H:H,'ON Data'!$B:$B,$A$4,'ON Data'!$C:$C,6),SUMIFS('ON Data'!H:H,'ON Data'!$C:$C,6))</f>
        <v>0</v>
      </c>
      <c r="F20" s="437">
        <f xml:space="preserve">
IF($A$4&lt;=12,SUMIFS('ON Data'!I:I,'ON Data'!$B:$B,$A$4,'ON Data'!$C:$C,6),SUMIFS('ON Data'!I:I,'ON Data'!$C:$C,6))</f>
        <v>972138</v>
      </c>
      <c r="G20" s="437">
        <f xml:space="preserve">
IF($A$4&lt;=12,SUMIFS('ON Data'!J:J,'ON Data'!$B:$B,$A$4,'ON Data'!$C:$C,6),SUMIFS('ON Data'!J:J,'ON Data'!$C:$C,6))</f>
        <v>0</v>
      </c>
      <c r="H20" s="437">
        <f xml:space="preserve">
IF($A$4&lt;=12,SUMIFS('ON Data'!K:K,'ON Data'!$B:$B,$A$4,'ON Data'!$C:$C,6),SUMIFS('ON Data'!K:K,'ON Data'!$C:$C,6))</f>
        <v>0</v>
      </c>
      <c r="I20" s="437">
        <f xml:space="preserve">
IF($A$4&lt;=12,SUMIFS('ON Data'!L:L,'ON Data'!$B:$B,$A$4,'ON Data'!$C:$C,6),SUMIFS('ON Data'!L:L,'ON Data'!$C:$C,6))</f>
        <v>586267</v>
      </c>
      <c r="J20" s="437">
        <f xml:space="preserve">
IF($A$4&lt;=12,SUMIFS('ON Data'!M:M,'ON Data'!$B:$B,$A$4,'ON Data'!$C:$C,6),SUMIFS('ON Data'!M:M,'ON Data'!$C:$C,6))</f>
        <v>0</v>
      </c>
      <c r="K20" s="437">
        <f xml:space="preserve">
IF($A$4&lt;=12,SUMIFS('ON Data'!N:N,'ON Data'!$B:$B,$A$4,'ON Data'!$C:$C,6),SUMIFS('ON Data'!N:N,'ON Data'!$C:$C,6))</f>
        <v>89659</v>
      </c>
      <c r="L20" s="43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398" t="s">
        <v>135</v>
      </c>
      <c r="B21" s="419"/>
      <c r="C21" s="420"/>
      <c r="D21" s="421"/>
      <c r="E21" s="421"/>
      <c r="F21" s="421"/>
      <c r="G21" s="421"/>
      <c r="H21" s="421"/>
      <c r="I21" s="421"/>
      <c r="J21" s="421"/>
      <c r="K21" s="421"/>
      <c r="L21" s="422"/>
    </row>
    <row r="22" spans="1:12" ht="15" hidden="1" outlineLevel="1" thickBot="1" x14ac:dyDescent="0.35">
      <c r="A22" s="398" t="s">
        <v>99</v>
      </c>
      <c r="B22" s="419"/>
      <c r="C22" s="420"/>
      <c r="D22" s="421"/>
      <c r="E22" s="421"/>
      <c r="F22" s="421"/>
      <c r="G22" s="421"/>
      <c r="H22" s="421"/>
      <c r="I22" s="421"/>
      <c r="J22" s="421"/>
      <c r="K22" s="421"/>
      <c r="L22" s="422"/>
    </row>
    <row r="23" spans="1:12" ht="15" hidden="1" outlineLevel="1" thickBot="1" x14ac:dyDescent="0.35">
      <c r="A23" s="406" t="s">
        <v>72</v>
      </c>
      <c r="B23" s="423"/>
      <c r="C23" s="424"/>
      <c r="D23" s="425"/>
      <c r="E23" s="425"/>
      <c r="F23" s="425"/>
      <c r="G23" s="425"/>
      <c r="H23" s="425"/>
      <c r="I23" s="425"/>
      <c r="J23" s="425"/>
      <c r="K23" s="425"/>
      <c r="L23" s="426"/>
    </row>
    <row r="24" spans="1:12" x14ac:dyDescent="0.3">
      <c r="A24" s="400" t="s">
        <v>290</v>
      </c>
      <c r="B24" s="415"/>
      <c r="C24" s="416"/>
      <c r="D24" s="732" t="s">
        <v>272</v>
      </c>
      <c r="E24" s="525" t="s">
        <v>291</v>
      </c>
      <c r="F24" s="525"/>
      <c r="G24" s="525"/>
      <c r="H24" s="525"/>
      <c r="I24" s="417"/>
      <c r="J24" s="417"/>
      <c r="K24" s="417"/>
      <c r="L24" s="418"/>
    </row>
    <row r="25" spans="1:12" ht="15" collapsed="1" thickBot="1" x14ac:dyDescent="0.35">
      <c r="A25" s="401" t="s">
        <v>97</v>
      </c>
      <c r="B25" s="419">
        <f>SUM(D25:H25)</f>
        <v>0</v>
      </c>
      <c r="C25" s="439">
        <v>0</v>
      </c>
      <c r="D25" s="733">
        <v>0</v>
      </c>
      <c r="E25" s="524">
        <v>0</v>
      </c>
      <c r="F25" s="524"/>
      <c r="G25" s="524"/>
      <c r="H25" s="524"/>
      <c r="I25" s="421">
        <v>0</v>
      </c>
      <c r="J25" s="421">
        <v>0</v>
      </c>
      <c r="K25" s="421">
        <v>0</v>
      </c>
      <c r="L25" s="422">
        <v>0</v>
      </c>
    </row>
    <row r="26" spans="1:12" ht="14.4" hidden="1" customHeight="1" outlineLevel="1" x14ac:dyDescent="0.35">
      <c r="A26" s="407" t="s">
        <v>135</v>
      </c>
      <c r="B26" s="431">
        <f t="shared" ref="B26:B28" si="1">SUM(D26:H26)</f>
        <v>0</v>
      </c>
      <c r="C26" s="439">
        <v>0</v>
      </c>
      <c r="D26" s="733">
        <v>0</v>
      </c>
      <c r="E26" s="524">
        <v>0</v>
      </c>
      <c r="F26" s="524"/>
      <c r="G26" s="524"/>
      <c r="H26" s="524"/>
      <c r="I26" s="421">
        <v>0</v>
      </c>
      <c r="J26" s="421">
        <v>0</v>
      </c>
      <c r="K26" s="421">
        <v>0</v>
      </c>
      <c r="L26" s="422">
        <v>0</v>
      </c>
    </row>
    <row r="27" spans="1:12" ht="14.4" hidden="1" customHeight="1" outlineLevel="1" x14ac:dyDescent="0.35">
      <c r="A27" s="407" t="s">
        <v>99</v>
      </c>
      <c r="B27" s="431">
        <f t="shared" si="1"/>
        <v>0</v>
      </c>
      <c r="C27" s="439">
        <v>0</v>
      </c>
      <c r="D27" s="733">
        <v>0</v>
      </c>
      <c r="E27" s="524">
        <v>0</v>
      </c>
      <c r="F27" s="524"/>
      <c r="G27" s="524"/>
      <c r="H27" s="524"/>
      <c r="I27" s="421">
        <v>0</v>
      </c>
      <c r="J27" s="421">
        <v>0</v>
      </c>
      <c r="K27" s="421">
        <v>0</v>
      </c>
      <c r="L27" s="422">
        <v>0</v>
      </c>
    </row>
    <row r="28" spans="1:12" ht="15" hidden="1" customHeight="1" outlineLevel="1" thickBot="1" x14ac:dyDescent="0.35">
      <c r="A28" s="407" t="s">
        <v>72</v>
      </c>
      <c r="B28" s="431">
        <f t="shared" si="1"/>
        <v>0</v>
      </c>
      <c r="C28" s="440">
        <v>0</v>
      </c>
      <c r="D28" s="734">
        <v>0</v>
      </c>
      <c r="E28" s="519">
        <v>0</v>
      </c>
      <c r="F28" s="519"/>
      <c r="G28" s="519"/>
      <c r="H28" s="519"/>
      <c r="I28" s="425">
        <v>0</v>
      </c>
      <c r="J28" s="425">
        <v>0</v>
      </c>
      <c r="K28" s="425">
        <v>0</v>
      </c>
      <c r="L28" s="426">
        <v>0</v>
      </c>
    </row>
    <row r="29" spans="1:12" x14ac:dyDescent="0.3">
      <c r="A29" s="408"/>
      <c r="B29" s="408"/>
      <c r="C29" s="409"/>
      <c r="D29" s="408"/>
      <c r="E29" s="409"/>
      <c r="F29" s="408"/>
      <c r="G29" s="408"/>
      <c r="H29" s="408"/>
      <c r="I29" s="408"/>
      <c r="J29" s="408"/>
      <c r="K29" s="408"/>
      <c r="L29" s="408"/>
    </row>
    <row r="30" spans="1:12" x14ac:dyDescent="0.3">
      <c r="A30" s="232" t="s">
        <v>207</v>
      </c>
      <c r="B30" s="260"/>
      <c r="C30" s="260"/>
      <c r="D30" s="260"/>
      <c r="E30" s="260"/>
      <c r="F30" s="260"/>
      <c r="G30" s="260"/>
      <c r="H30" s="283"/>
      <c r="I30" s="283"/>
      <c r="J30" s="283"/>
      <c r="K30" s="283"/>
      <c r="L30" s="283"/>
    </row>
    <row r="31" spans="1:12" ht="14.4" customHeight="1" x14ac:dyDescent="0.3">
      <c r="A31" s="456" t="s">
        <v>296</v>
      </c>
      <c r="B31" s="457"/>
      <c r="C31" s="457"/>
      <c r="D31" s="457"/>
      <c r="E31" s="457"/>
      <c r="F31" s="457"/>
      <c r="G31" s="45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385"/>
  </cols>
  <sheetData>
    <row r="1" spans="1:18" x14ac:dyDescent="0.3">
      <c r="A1" s="385" t="s">
        <v>2895</v>
      </c>
    </row>
    <row r="2" spans="1:18" x14ac:dyDescent="0.3">
      <c r="A2" s="389" t="s">
        <v>298</v>
      </c>
    </row>
    <row r="3" spans="1:18" x14ac:dyDescent="0.3">
      <c r="B3" s="386">
        <f>MAX(B5:B1048576)</f>
        <v>2</v>
      </c>
      <c r="D3" s="386">
        <f t="shared" ref="D3:G3" si="0">SUM(D5:D1048576)</f>
        <v>2608551.25</v>
      </c>
      <c r="E3" s="386">
        <f t="shared" si="0"/>
        <v>0</v>
      </c>
      <c r="F3" s="386">
        <f t="shared" si="0"/>
        <v>950029</v>
      </c>
      <c r="G3" s="386">
        <f t="shared" si="0"/>
        <v>0</v>
      </c>
      <c r="H3" s="386">
        <f t="shared" ref="H3:O3" si="1">SUM(H5:H1048576)</f>
        <v>0</v>
      </c>
      <c r="I3" s="386">
        <f t="shared" si="1"/>
        <v>976820.75</v>
      </c>
      <c r="J3" s="386">
        <f t="shared" si="1"/>
        <v>0</v>
      </c>
      <c r="K3" s="386">
        <f t="shared" si="1"/>
        <v>0</v>
      </c>
      <c r="L3" s="386">
        <f t="shared" si="1"/>
        <v>591358.5</v>
      </c>
      <c r="M3" s="386">
        <f t="shared" si="1"/>
        <v>0</v>
      </c>
      <c r="N3" s="386">
        <f t="shared" si="1"/>
        <v>90343</v>
      </c>
      <c r="O3" s="386">
        <f t="shared" si="1"/>
        <v>0</v>
      </c>
      <c r="Q3" s="385" t="s">
        <v>257</v>
      </c>
      <c r="R3" s="412">
        <v>2014</v>
      </c>
    </row>
    <row r="4" spans="1:18" x14ac:dyDescent="0.3">
      <c r="A4" s="387" t="s">
        <v>8</v>
      </c>
      <c r="B4" s="388" t="s">
        <v>71</v>
      </c>
      <c r="C4" s="388" t="s">
        <v>245</v>
      </c>
      <c r="D4" s="388" t="s">
        <v>6</v>
      </c>
      <c r="E4" s="388" t="s">
        <v>246</v>
      </c>
      <c r="F4" s="388" t="s">
        <v>247</v>
      </c>
      <c r="G4" s="388" t="s">
        <v>248</v>
      </c>
      <c r="H4" s="388" t="s">
        <v>249</v>
      </c>
      <c r="I4" s="388" t="s">
        <v>250</v>
      </c>
      <c r="J4" s="388" t="s">
        <v>251</v>
      </c>
      <c r="K4" s="388" t="s">
        <v>252</v>
      </c>
      <c r="L4" s="388" t="s">
        <v>253</v>
      </c>
      <c r="M4" s="388" t="s">
        <v>254</v>
      </c>
      <c r="N4" s="388" t="s">
        <v>255</v>
      </c>
      <c r="O4" s="388" t="s">
        <v>256</v>
      </c>
      <c r="Q4" s="385" t="s">
        <v>258</v>
      </c>
      <c r="R4" s="412">
        <v>1</v>
      </c>
    </row>
    <row r="5" spans="1:18" x14ac:dyDescent="0.3">
      <c r="A5" s="385">
        <v>30</v>
      </c>
      <c r="B5" s="385">
        <v>1</v>
      </c>
      <c r="C5" s="385">
        <v>1</v>
      </c>
      <c r="D5" s="385">
        <v>45</v>
      </c>
      <c r="E5" s="385">
        <v>0</v>
      </c>
      <c r="F5" s="385">
        <v>7</v>
      </c>
      <c r="G5" s="385">
        <v>0</v>
      </c>
      <c r="H5" s="385">
        <v>0</v>
      </c>
      <c r="I5" s="385">
        <v>19</v>
      </c>
      <c r="J5" s="385">
        <v>0</v>
      </c>
      <c r="K5" s="385">
        <v>0</v>
      </c>
      <c r="L5" s="385">
        <v>17</v>
      </c>
      <c r="M5" s="385">
        <v>0</v>
      </c>
      <c r="N5" s="385">
        <v>2</v>
      </c>
      <c r="O5" s="385">
        <v>0</v>
      </c>
      <c r="Q5" s="385" t="s">
        <v>259</v>
      </c>
      <c r="R5" s="412">
        <v>2</v>
      </c>
    </row>
    <row r="6" spans="1:18" x14ac:dyDescent="0.3">
      <c r="A6" s="385">
        <v>30</v>
      </c>
      <c r="B6" s="385">
        <v>1</v>
      </c>
      <c r="C6" s="385">
        <v>2</v>
      </c>
      <c r="D6" s="385">
        <v>6846.75</v>
      </c>
      <c r="E6" s="385">
        <v>0</v>
      </c>
      <c r="F6" s="385">
        <v>1248</v>
      </c>
      <c r="G6" s="385">
        <v>0</v>
      </c>
      <c r="H6" s="385">
        <v>0</v>
      </c>
      <c r="I6" s="385">
        <v>2432.75</v>
      </c>
      <c r="J6" s="385">
        <v>0</v>
      </c>
      <c r="K6" s="385">
        <v>0</v>
      </c>
      <c r="L6" s="385">
        <v>2798</v>
      </c>
      <c r="M6" s="385">
        <v>0</v>
      </c>
      <c r="N6" s="385">
        <v>368</v>
      </c>
      <c r="O6" s="385">
        <v>0</v>
      </c>
      <c r="Q6" s="385" t="s">
        <v>260</v>
      </c>
      <c r="R6" s="412">
        <v>3</v>
      </c>
    </row>
    <row r="7" spans="1:18" x14ac:dyDescent="0.3">
      <c r="A7" s="385">
        <v>30</v>
      </c>
      <c r="B7" s="385">
        <v>1</v>
      </c>
      <c r="C7" s="385">
        <v>4</v>
      </c>
      <c r="D7" s="385">
        <v>232</v>
      </c>
      <c r="E7" s="385">
        <v>0</v>
      </c>
      <c r="F7" s="385">
        <v>232</v>
      </c>
      <c r="G7" s="385">
        <v>0</v>
      </c>
      <c r="H7" s="385">
        <v>0</v>
      </c>
      <c r="I7" s="385">
        <v>0</v>
      </c>
      <c r="J7" s="385">
        <v>0</v>
      </c>
      <c r="K7" s="385">
        <v>0</v>
      </c>
      <c r="L7" s="385">
        <v>0</v>
      </c>
      <c r="M7" s="385">
        <v>0</v>
      </c>
      <c r="N7" s="385">
        <v>0</v>
      </c>
      <c r="O7" s="385">
        <v>0</v>
      </c>
      <c r="Q7" s="385" t="s">
        <v>261</v>
      </c>
      <c r="R7" s="412">
        <v>4</v>
      </c>
    </row>
    <row r="8" spans="1:18" x14ac:dyDescent="0.3">
      <c r="A8" s="385">
        <v>30</v>
      </c>
      <c r="B8" s="385">
        <v>1</v>
      </c>
      <c r="C8" s="385">
        <v>6</v>
      </c>
      <c r="D8" s="385">
        <v>1311170</v>
      </c>
      <c r="E8" s="385">
        <v>0</v>
      </c>
      <c r="F8" s="385">
        <v>471696</v>
      </c>
      <c r="G8" s="385">
        <v>0</v>
      </c>
      <c r="H8" s="385">
        <v>0</v>
      </c>
      <c r="I8" s="385">
        <v>489797</v>
      </c>
      <c r="J8" s="385">
        <v>0</v>
      </c>
      <c r="K8" s="385">
        <v>0</v>
      </c>
      <c r="L8" s="385">
        <v>304847</v>
      </c>
      <c r="M8" s="385">
        <v>0</v>
      </c>
      <c r="N8" s="385">
        <v>44830</v>
      </c>
      <c r="O8" s="385">
        <v>0</v>
      </c>
      <c r="Q8" s="385" t="s">
        <v>262</v>
      </c>
      <c r="R8" s="412">
        <v>5</v>
      </c>
    </row>
    <row r="9" spans="1:18" x14ac:dyDescent="0.3">
      <c r="A9" s="385">
        <v>30</v>
      </c>
      <c r="B9" s="385">
        <v>2</v>
      </c>
      <c r="C9" s="385">
        <v>1</v>
      </c>
      <c r="D9" s="385">
        <v>42</v>
      </c>
      <c r="E9" s="385">
        <v>0</v>
      </c>
      <c r="F9" s="385">
        <v>7</v>
      </c>
      <c r="G9" s="385">
        <v>0</v>
      </c>
      <c r="H9" s="385">
        <v>0</v>
      </c>
      <c r="I9" s="385">
        <v>17</v>
      </c>
      <c r="J9" s="385">
        <v>0</v>
      </c>
      <c r="K9" s="385">
        <v>0</v>
      </c>
      <c r="L9" s="385">
        <v>16</v>
      </c>
      <c r="M9" s="385">
        <v>0</v>
      </c>
      <c r="N9" s="385">
        <v>2</v>
      </c>
      <c r="O9" s="385">
        <v>0</v>
      </c>
      <c r="Q9" s="385" t="s">
        <v>263</v>
      </c>
      <c r="R9" s="412">
        <v>6</v>
      </c>
    </row>
    <row r="10" spans="1:18" x14ac:dyDescent="0.3">
      <c r="A10" s="385">
        <v>30</v>
      </c>
      <c r="B10" s="385">
        <v>2</v>
      </c>
      <c r="C10" s="385">
        <v>2</v>
      </c>
      <c r="D10" s="385">
        <v>5768.5</v>
      </c>
      <c r="E10" s="385">
        <v>0</v>
      </c>
      <c r="F10" s="385">
        <v>1012</v>
      </c>
      <c r="G10" s="385">
        <v>0</v>
      </c>
      <c r="H10" s="385">
        <v>0</v>
      </c>
      <c r="I10" s="385">
        <v>2184</v>
      </c>
      <c r="J10" s="385">
        <v>0</v>
      </c>
      <c r="K10" s="385">
        <v>0</v>
      </c>
      <c r="L10" s="385">
        <v>2260.5</v>
      </c>
      <c r="M10" s="385">
        <v>0</v>
      </c>
      <c r="N10" s="385">
        <v>312</v>
      </c>
      <c r="O10" s="385">
        <v>0</v>
      </c>
      <c r="Q10" s="385" t="s">
        <v>264</v>
      </c>
      <c r="R10" s="412">
        <v>7</v>
      </c>
    </row>
    <row r="11" spans="1:18" x14ac:dyDescent="0.3">
      <c r="A11" s="385">
        <v>30</v>
      </c>
      <c r="B11" s="385">
        <v>2</v>
      </c>
      <c r="C11" s="385">
        <v>3</v>
      </c>
      <c r="D11" s="385">
        <v>30</v>
      </c>
      <c r="E11" s="385">
        <v>0</v>
      </c>
      <c r="F11" s="385">
        <v>0</v>
      </c>
      <c r="G11" s="385">
        <v>0</v>
      </c>
      <c r="H11" s="385">
        <v>0</v>
      </c>
      <c r="I11" s="385">
        <v>30</v>
      </c>
      <c r="J11" s="385">
        <v>0</v>
      </c>
      <c r="K11" s="385">
        <v>0</v>
      </c>
      <c r="L11" s="385">
        <v>0</v>
      </c>
      <c r="M11" s="385">
        <v>0</v>
      </c>
      <c r="N11" s="385">
        <v>0</v>
      </c>
      <c r="O11" s="385">
        <v>0</v>
      </c>
      <c r="Q11" s="385" t="s">
        <v>265</v>
      </c>
      <c r="R11" s="412">
        <v>8</v>
      </c>
    </row>
    <row r="12" spans="1:18" x14ac:dyDescent="0.3">
      <c r="A12" s="385">
        <v>30</v>
      </c>
      <c r="B12" s="385">
        <v>2</v>
      </c>
      <c r="C12" s="385">
        <v>4</v>
      </c>
      <c r="D12" s="385">
        <v>229</v>
      </c>
      <c r="E12" s="385">
        <v>0</v>
      </c>
      <c r="F12" s="385">
        <v>229</v>
      </c>
      <c r="G12" s="385">
        <v>0</v>
      </c>
      <c r="H12" s="385">
        <v>0</v>
      </c>
      <c r="I12" s="385">
        <v>0</v>
      </c>
      <c r="J12" s="385">
        <v>0</v>
      </c>
      <c r="K12" s="385">
        <v>0</v>
      </c>
      <c r="L12" s="385">
        <v>0</v>
      </c>
      <c r="M12" s="385">
        <v>0</v>
      </c>
      <c r="N12" s="385">
        <v>0</v>
      </c>
      <c r="O12" s="385">
        <v>0</v>
      </c>
      <c r="Q12" s="385" t="s">
        <v>266</v>
      </c>
      <c r="R12" s="412">
        <v>9</v>
      </c>
    </row>
    <row r="13" spans="1:18" x14ac:dyDescent="0.3">
      <c r="A13" s="385">
        <v>30</v>
      </c>
      <c r="B13" s="385">
        <v>2</v>
      </c>
      <c r="C13" s="385">
        <v>6</v>
      </c>
      <c r="D13" s="385">
        <v>1284188</v>
      </c>
      <c r="E13" s="385">
        <v>0</v>
      </c>
      <c r="F13" s="385">
        <v>475598</v>
      </c>
      <c r="G13" s="385">
        <v>0</v>
      </c>
      <c r="H13" s="385">
        <v>0</v>
      </c>
      <c r="I13" s="385">
        <v>482341</v>
      </c>
      <c r="J13" s="385">
        <v>0</v>
      </c>
      <c r="K13" s="385">
        <v>0</v>
      </c>
      <c r="L13" s="385">
        <v>281420</v>
      </c>
      <c r="M13" s="385">
        <v>0</v>
      </c>
      <c r="N13" s="385">
        <v>44829</v>
      </c>
      <c r="O13" s="385">
        <v>0</v>
      </c>
      <c r="Q13" s="385" t="s">
        <v>267</v>
      </c>
      <c r="R13" s="412">
        <v>10</v>
      </c>
    </row>
    <row r="14" spans="1:18" x14ac:dyDescent="0.3">
      <c r="Q14" s="385" t="s">
        <v>268</v>
      </c>
      <c r="R14" s="412">
        <v>11</v>
      </c>
    </row>
    <row r="15" spans="1:18" x14ac:dyDescent="0.3">
      <c r="Q15" s="385" t="s">
        <v>269</v>
      </c>
      <c r="R15" s="412">
        <v>12</v>
      </c>
    </row>
    <row r="16" spans="1:18" x14ac:dyDescent="0.3">
      <c r="Q16" s="385" t="s">
        <v>257</v>
      </c>
      <c r="R16" s="412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3" bestFit="1" customWidth="1"/>
    <col min="2" max="2" width="11.6640625" style="283" hidden="1" customWidth="1"/>
    <col min="3" max="4" width="11" style="285" customWidth="1"/>
    <col min="5" max="5" width="11" style="286" customWidth="1"/>
    <col min="6" max="16384" width="8.88671875" style="283"/>
  </cols>
  <sheetData>
    <row r="1" spans="1:5" ht="18.600000000000001" thickBot="1" x14ac:dyDescent="0.4">
      <c r="A1" s="462" t="s">
        <v>155</v>
      </c>
      <c r="B1" s="462"/>
      <c r="C1" s="463"/>
      <c r="D1" s="463"/>
      <c r="E1" s="463"/>
    </row>
    <row r="2" spans="1:5" ht="14.4" customHeight="1" thickBot="1" x14ac:dyDescent="0.35">
      <c r="A2" s="389" t="s">
        <v>298</v>
      </c>
      <c r="B2" s="284"/>
    </row>
    <row r="3" spans="1:5" ht="14.4" customHeight="1" thickBot="1" x14ac:dyDescent="0.35">
      <c r="A3" s="287"/>
      <c r="C3" s="288" t="s">
        <v>135</v>
      </c>
      <c r="D3" s="289" t="s">
        <v>97</v>
      </c>
      <c r="E3" s="290" t="s">
        <v>99</v>
      </c>
    </row>
    <row r="4" spans="1:5" ht="14.4" customHeight="1" thickBot="1" x14ac:dyDescent="0.35">
      <c r="A4" s="291" t="str">
        <f>HYPERLINK("#HI!A1","NÁKLADY CELKEM (v tisících Kč)")</f>
        <v>NÁKLADY CELKEM (v tisících Kč)</v>
      </c>
      <c r="B4" s="292"/>
      <c r="C4" s="293">
        <f ca="1">IF(ISERROR(VLOOKUP("Náklady celkem",INDIRECT("HI!$A:$G"),6,0)),0,VLOOKUP("Náklady celkem",INDIRECT("HI!$A:$G"),6,0))</f>
        <v>5389</v>
      </c>
      <c r="D4" s="293">
        <f ca="1">IF(ISERROR(VLOOKUP("Náklady celkem",INDIRECT("HI!$A:$G"),5,0)),0,VLOOKUP("Náklady celkem",INDIRECT("HI!$A:$G"),5,0))</f>
        <v>4740.2859700000099</v>
      </c>
      <c r="E4" s="294">
        <f ca="1">IF(C4=0,0,D4/C4)</f>
        <v>0.8796225589163128</v>
      </c>
    </row>
    <row r="5" spans="1:5" ht="14.4" customHeight="1" x14ac:dyDescent="0.3">
      <c r="A5" s="295" t="s">
        <v>199</v>
      </c>
      <c r="B5" s="296"/>
      <c r="C5" s="297"/>
      <c r="D5" s="297"/>
      <c r="E5" s="298"/>
    </row>
    <row r="6" spans="1:5" ht="14.4" customHeight="1" x14ac:dyDescent="0.3">
      <c r="A6" s="299" t="s">
        <v>204</v>
      </c>
      <c r="B6" s="300"/>
      <c r="C6" s="301"/>
      <c r="D6" s="301"/>
      <c r="E6" s="29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00" t="s">
        <v>140</v>
      </c>
      <c r="C7" s="301">
        <f>IF(ISERROR(HI!F5),"",HI!F5)</f>
        <v>450</v>
      </c>
      <c r="D7" s="301">
        <f>IF(ISERROR(HI!E5),"",HI!E5)</f>
        <v>371.00069000000099</v>
      </c>
      <c r="E7" s="298">
        <f t="shared" ref="E7:E14" si="0">IF(C7=0,0,D7/C7)</f>
        <v>0.82444597777777995</v>
      </c>
    </row>
    <row r="8" spans="1:5" ht="14.4" customHeight="1" x14ac:dyDescent="0.3">
      <c r="A8" s="302" t="str">
        <f>HYPERLINK("#'LŽ PL'!A1","% plnění pozitivního listu")</f>
        <v>% plnění pozitivního listu</v>
      </c>
      <c r="B8" s="300" t="s">
        <v>191</v>
      </c>
      <c r="C8" s="303">
        <v>0.9</v>
      </c>
      <c r="D8" s="303">
        <f>IF(ISERROR(VLOOKUP("celkem",'LŽ PL'!$A:$F,5,0)),0,VLOOKUP("celkem",'LŽ PL'!$A:$F,5,0))</f>
        <v>0.97038753649703591</v>
      </c>
      <c r="E8" s="298">
        <f t="shared" si="0"/>
        <v>1.0782083738855954</v>
      </c>
    </row>
    <row r="9" spans="1:5" ht="14.4" customHeight="1" x14ac:dyDescent="0.3">
      <c r="A9" s="304" t="s">
        <v>200</v>
      </c>
      <c r="B9" s="300"/>
      <c r="C9" s="301"/>
      <c r="D9" s="301"/>
      <c r="E9" s="298"/>
    </row>
    <row r="10" spans="1:5" ht="14.4" customHeight="1" x14ac:dyDescent="0.3">
      <c r="A10" s="302" t="str">
        <f>HYPERLINK("#'Léky Recepty'!A1","% záchytu v lékárně (Úhrada Kč)")</f>
        <v>% záchytu v lékárně (Úhrada Kč)</v>
      </c>
      <c r="B10" s="300" t="s">
        <v>145</v>
      </c>
      <c r="C10" s="303">
        <v>0.6</v>
      </c>
      <c r="D10" s="303">
        <f>IF(ISERROR(VLOOKUP("Celkem",'Léky Recepty'!B:H,5,0)),0,VLOOKUP("Celkem",'Léky Recepty'!B:H,5,0))</f>
        <v>0.40755815860078665</v>
      </c>
      <c r="E10" s="298">
        <f t="shared" si="0"/>
        <v>0.67926359766797773</v>
      </c>
    </row>
    <row r="11" spans="1:5" ht="14.4" customHeight="1" x14ac:dyDescent="0.3">
      <c r="A11" s="302" t="str">
        <f>HYPERLINK("#'LRp PL'!A1","% plnění pozitivního listu")</f>
        <v>% plnění pozitivního listu</v>
      </c>
      <c r="B11" s="300" t="s">
        <v>192</v>
      </c>
      <c r="C11" s="303">
        <v>0.8</v>
      </c>
      <c r="D11" s="303">
        <f>IF(ISERROR(VLOOKUP("Celkem",'LRp PL'!A:F,5,0)),0,VLOOKUP("Celkem",'LRp PL'!A:F,5,0))</f>
        <v>0.93918659645938463</v>
      </c>
      <c r="E11" s="298">
        <f t="shared" si="0"/>
        <v>1.1739832455742307</v>
      </c>
    </row>
    <row r="12" spans="1:5" ht="14.4" customHeight="1" x14ac:dyDescent="0.3">
      <c r="A12" s="304" t="s">
        <v>201</v>
      </c>
      <c r="B12" s="300"/>
      <c r="C12" s="301"/>
      <c r="D12" s="301"/>
      <c r="E12" s="298"/>
    </row>
    <row r="13" spans="1:5" ht="14.4" customHeight="1" x14ac:dyDescent="0.3">
      <c r="A13" s="305" t="s">
        <v>205</v>
      </c>
      <c r="B13" s="300"/>
      <c r="C13" s="297"/>
      <c r="D13" s="297"/>
      <c r="E13" s="298"/>
    </row>
    <row r="14" spans="1:5" ht="14.4" customHeight="1" x14ac:dyDescent="0.3">
      <c r="A14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00" t="s">
        <v>140</v>
      </c>
      <c r="C14" s="301">
        <f>IF(ISERROR(HI!F6),"",HI!F6)</f>
        <v>131</v>
      </c>
      <c r="D14" s="301">
        <f>IF(ISERROR(HI!E6),"",HI!E6)</f>
        <v>107.49028</v>
      </c>
      <c r="E14" s="298">
        <f t="shared" si="0"/>
        <v>0.82053648854961836</v>
      </c>
    </row>
    <row r="15" spans="1:5" ht="14.4" customHeight="1" thickBot="1" x14ac:dyDescent="0.35">
      <c r="A15" s="307" t="str">
        <f>HYPERLINK("#HI!A1","Osobní náklady")</f>
        <v>Osobní náklady</v>
      </c>
      <c r="B15" s="300"/>
      <c r="C15" s="297">
        <f ca="1">IF(ISERROR(VLOOKUP("Osobní náklady (Kč)",INDIRECT("HI!$A:$G"),6,0)),0,VLOOKUP("Osobní náklady (Kč)",INDIRECT("HI!$A:$G"),6,0))</f>
        <v>0</v>
      </c>
      <c r="D15" s="297">
        <f ca="1">IF(ISERROR(VLOOKUP("Osobní náklady (Kč)",INDIRECT("HI!$A:$G"),5,0)),0,VLOOKUP("Osobní náklady (Kč)",INDIRECT("HI!$A:$G"),5,0))</f>
        <v>0</v>
      </c>
      <c r="E15" s="298">
        <f ca="1">IF(C15=0,0,D15/C15)</f>
        <v>0</v>
      </c>
    </row>
    <row r="16" spans="1:5" ht="14.4" customHeight="1" thickBot="1" x14ac:dyDescent="0.35">
      <c r="A16" s="311"/>
      <c r="B16" s="312"/>
      <c r="C16" s="313"/>
      <c r="D16" s="313"/>
      <c r="E16" s="314"/>
    </row>
    <row r="17" spans="1:5" ht="14.4" customHeight="1" thickBot="1" x14ac:dyDescent="0.35">
      <c r="A17" s="315" t="str">
        <f>HYPERLINK("#HI!A1","VÝNOSY CELKEM (v tisících)")</f>
        <v>VÝNOSY CELKEM (v tisících)</v>
      </c>
      <c r="B17" s="316"/>
      <c r="C17" s="317">
        <f ca="1">IF(ISERROR(VLOOKUP("Výnosy celkem",INDIRECT("HI!$A:$G"),6,0)),0,VLOOKUP("Výnosy celkem",INDIRECT("HI!$A:$G"),6,0))</f>
        <v>8257.7930000000015</v>
      </c>
      <c r="D17" s="317">
        <f ca="1">IF(ISERROR(VLOOKUP("Výnosy celkem",INDIRECT("HI!$A:$G"),5,0)),0,VLOOKUP("Výnosy celkem",INDIRECT("HI!$A:$G"),5,0))</f>
        <v>8777.3939999999984</v>
      </c>
      <c r="E17" s="318">
        <f t="shared" ref="E17:E27" ca="1" si="1">IF(C17=0,0,D17/C17)</f>
        <v>1.0629225024168076</v>
      </c>
    </row>
    <row r="18" spans="1:5" ht="14.4" customHeight="1" x14ac:dyDescent="0.3">
      <c r="A18" s="319" t="str">
        <f>HYPERLINK("#HI!A1","Ambulance (body za výkony + Kč za ZUM a ZULP)")</f>
        <v>Ambulance (body za výkony + Kč za ZUM a ZULP)</v>
      </c>
      <c r="B18" s="296"/>
      <c r="C18" s="297">
        <f ca="1">IF(ISERROR(VLOOKUP("Ambulance *",INDIRECT("HI!$A:$G"),6,0)),0,VLOOKUP("Ambulance *",INDIRECT("HI!$A:$G"),6,0))</f>
        <v>37.012999999999998</v>
      </c>
      <c r="D18" s="297">
        <f ca="1">IF(ISERROR(VLOOKUP("Ambulance *",INDIRECT("HI!$A:$G"),5,0)),0,VLOOKUP("Ambulance *",INDIRECT("HI!$A:$G"),5,0))</f>
        <v>41.183999999999997</v>
      </c>
      <c r="E18" s="298">
        <f t="shared" ca="1" si="1"/>
        <v>1.112690135898198</v>
      </c>
    </row>
    <row r="19" spans="1:5" ht="14.4" customHeight="1" x14ac:dyDescent="0.3">
      <c r="A19" s="320" t="str">
        <f>HYPERLINK("#'ZV Vykáz.-A'!A1","Zdravotní výkony vykázané u ambulantních pacientů (min. 100 %)")</f>
        <v>Zdravotní výkony vykázané u ambulantních pacientů (min. 100 %)</v>
      </c>
      <c r="B19" s="283" t="s">
        <v>157</v>
      </c>
      <c r="C19" s="303">
        <v>1</v>
      </c>
      <c r="D19" s="303">
        <f>IF(ISERROR(VLOOKUP("Celkem:",'ZV Vykáz.-A'!$A:$S,7,0)),"",VLOOKUP("Celkem:",'ZV Vykáz.-A'!$A:$S,7,0))</f>
        <v>1.112690135898198</v>
      </c>
      <c r="E19" s="298">
        <f t="shared" si="1"/>
        <v>1.112690135898198</v>
      </c>
    </row>
    <row r="20" spans="1:5" ht="14.4" customHeight="1" x14ac:dyDescent="0.3">
      <c r="A20" s="320" t="str">
        <f>HYPERLINK("#'ZV Vykáz.-H'!A1","Zdravotní výkony vykázané u hospitalizovaných pacientů (max. 85 %)")</f>
        <v>Zdravotní výkony vykázané u hospitalizovaných pacientů (max. 85 %)</v>
      </c>
      <c r="B20" s="283" t="s">
        <v>159</v>
      </c>
      <c r="C20" s="303">
        <v>0.85</v>
      </c>
      <c r="D20" s="303">
        <f>IF(ISERROR(VLOOKUP("Celkem:",'ZV Vykáz.-H'!$A:$S,7,0)),"",VLOOKUP("Celkem:",'ZV Vykáz.-H'!$A:$S,7,0))</f>
        <v>0.88287124216921997</v>
      </c>
      <c r="E20" s="298">
        <f t="shared" si="1"/>
        <v>1.038672049610847</v>
      </c>
    </row>
    <row r="21" spans="1:5" ht="14.4" customHeight="1" x14ac:dyDescent="0.3">
      <c r="A21" s="321" t="str">
        <f>HYPERLINK("#HI!A1","Hospitalizace (casemix * 30000)")</f>
        <v>Hospitalizace (casemix * 30000)</v>
      </c>
      <c r="B21" s="300"/>
      <c r="C21" s="297">
        <f ca="1">IF(ISERROR(VLOOKUP("Hospitalizace *",INDIRECT("HI!$A:$G"),6,0)),0,VLOOKUP("Hospitalizace *",INDIRECT("HI!$A:$G"),6,0))</f>
        <v>8220.7800000000007</v>
      </c>
      <c r="D21" s="297">
        <f ca="1">IF(ISERROR(VLOOKUP("Hospitalizace *",INDIRECT("HI!$A:$G"),5,0)),0,VLOOKUP("Hospitalizace *",INDIRECT("HI!$A:$G"),5,0))</f>
        <v>8736.2099999999991</v>
      </c>
      <c r="E21" s="298">
        <f ca="1">IF(C21=0,0,D21/C21)</f>
        <v>1.0626984300759781</v>
      </c>
    </row>
    <row r="22" spans="1:5" ht="14.4" customHeight="1" x14ac:dyDescent="0.3">
      <c r="A22" s="320" t="str">
        <f>HYPERLINK("#'CaseMix'!A1","Casemix (min. 100 %)")</f>
        <v>Casemix (min. 100 %)</v>
      </c>
      <c r="B22" s="300" t="s">
        <v>74</v>
      </c>
      <c r="C22" s="303">
        <v>1</v>
      </c>
      <c r="D22" s="303">
        <f>IF(ISERROR(VLOOKUP("Celkem",CaseMix!A:M,5,0)),0,VLOOKUP("Celkem",CaseMix!A:M,5,0))</f>
        <v>1.0626984300759781</v>
      </c>
      <c r="E22" s="298">
        <f t="shared" si="1"/>
        <v>1.0626984300759781</v>
      </c>
    </row>
    <row r="23" spans="1:5" ht="14.4" customHeight="1" x14ac:dyDescent="0.3">
      <c r="A23" s="322" t="str">
        <f>HYPERLINK("#'CaseMix'!A1","DRG mimo vyjmenované baze")</f>
        <v>DRG mimo vyjmenované baze</v>
      </c>
      <c r="B23" s="300" t="s">
        <v>74</v>
      </c>
      <c r="C23" s="303">
        <v>1</v>
      </c>
      <c r="D23" s="303">
        <f>IF(ISERROR(CaseMix!E26),"",CaseMix!E26)</f>
        <v>0.92586104968141714</v>
      </c>
      <c r="E23" s="298">
        <f t="shared" si="1"/>
        <v>0.92586104968141714</v>
      </c>
    </row>
    <row r="24" spans="1:5" ht="14.4" customHeight="1" x14ac:dyDescent="0.3">
      <c r="A24" s="322" t="str">
        <f>HYPERLINK("#'CaseMix'!A1","Vyjmenované baze DRG")</f>
        <v>Vyjmenované baze DRG</v>
      </c>
      <c r="B24" s="300" t="s">
        <v>74</v>
      </c>
      <c r="C24" s="303">
        <v>1</v>
      </c>
      <c r="D24" s="303">
        <f>IF(ISERROR(CaseMix!E39),"",CaseMix!E39)</f>
        <v>0</v>
      </c>
      <c r="E24" s="298">
        <f t="shared" si="1"/>
        <v>0</v>
      </c>
    </row>
    <row r="25" spans="1:5" ht="14.4" customHeight="1" x14ac:dyDescent="0.3">
      <c r="A25" s="320" t="str">
        <f>HYPERLINK("#'CaseMix'!A1","Počet hospitalizací ukončených na pracovišti (min. 95 %)")</f>
        <v>Počet hospitalizací ukončených na pracovišti (min. 95 %)</v>
      </c>
      <c r="B25" s="300" t="s">
        <v>74</v>
      </c>
      <c r="C25" s="303">
        <v>0.95</v>
      </c>
      <c r="D25" s="303">
        <f>IF(ISERROR(CaseMix!I13),"",CaseMix!I13)</f>
        <v>0.83333333333333337</v>
      </c>
      <c r="E25" s="298">
        <f t="shared" si="1"/>
        <v>0.87719298245614041</v>
      </c>
    </row>
    <row r="26" spans="1:5" ht="14.4" customHeight="1" x14ac:dyDescent="0.3">
      <c r="A26" s="320" t="str">
        <f>HYPERLINK("#'ALOS'!A1","Průměrná délka hospitalizace (max. 100 % republikového průměru)")</f>
        <v>Průměrná délka hospitalizace (max. 100 % republikového průměru)</v>
      </c>
      <c r="B26" s="300" t="s">
        <v>89</v>
      </c>
      <c r="C26" s="303">
        <v>1</v>
      </c>
      <c r="D26" s="323">
        <f>IF(ISERROR(INDEX(ALOS!$E:$E,COUNT(ALOS!$E:$E)+32)),0,INDEX(ALOS!$E:$E,COUNT(ALOS!$E:$E)+32))</f>
        <v>2.7156769880171785</v>
      </c>
      <c r="E26" s="298">
        <f t="shared" si="1"/>
        <v>2.7156769880171785</v>
      </c>
    </row>
    <row r="27" spans="1:5" ht="27.6" x14ac:dyDescent="0.3">
      <c r="A27" s="324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300" t="s">
        <v>154</v>
      </c>
      <c r="C27" s="303">
        <f>IF(E22&gt;1,95%,95%-2*ABS(C22-D22))</f>
        <v>0.95</v>
      </c>
      <c r="D27" s="303">
        <f>IF(ISERROR(VLOOKUP("Celkem:",'ZV Vyžád.'!$A:$M,7,0)),"",VLOOKUP("Celkem:",'ZV Vyžád.'!$A:$M,7,0))</f>
        <v>1.0367332885549956</v>
      </c>
      <c r="E27" s="298">
        <f t="shared" si="1"/>
        <v>1.0912981984789427</v>
      </c>
    </row>
    <row r="28" spans="1:5" ht="14.4" customHeight="1" thickBot="1" x14ac:dyDescent="0.35">
      <c r="A28" s="325" t="s">
        <v>202</v>
      </c>
      <c r="B28" s="308"/>
      <c r="C28" s="309"/>
      <c r="D28" s="309"/>
      <c r="E28" s="310"/>
    </row>
    <row r="29" spans="1:5" ht="14.4" customHeight="1" thickBot="1" x14ac:dyDescent="0.35">
      <c r="A29" s="326"/>
      <c r="B29" s="327"/>
      <c r="C29" s="328"/>
      <c r="D29" s="328"/>
      <c r="E29" s="329"/>
    </row>
    <row r="30" spans="1:5" ht="14.4" customHeight="1" thickBot="1" x14ac:dyDescent="0.35">
      <c r="A30" s="330" t="s">
        <v>203</v>
      </c>
      <c r="B30" s="331"/>
      <c r="C30" s="332"/>
      <c r="D30" s="332"/>
      <c r="E30" s="333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7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1" priority="16" operator="lessThan">
      <formula>1</formula>
    </cfRule>
  </conditionalFormatting>
  <conditionalFormatting sqref="E26:E27 E4 E7 E14 E20">
    <cfRule type="cellIs" dxfId="7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5.4414062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527" t="s">
        <v>2900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19" ht="14.4" customHeight="1" thickBot="1" x14ac:dyDescent="0.35">
      <c r="A3" s="356" t="s">
        <v>163</v>
      </c>
      <c r="B3" s="357">
        <f>SUBTOTAL(9,B6:B1048576)</f>
        <v>37013</v>
      </c>
      <c r="C3" s="358">
        <f t="shared" ref="C3:R3" si="0">SUBTOTAL(9,C6:C1048576)</f>
        <v>2</v>
      </c>
      <c r="D3" s="358">
        <f t="shared" si="0"/>
        <v>22450</v>
      </c>
      <c r="E3" s="358">
        <f t="shared" si="0"/>
        <v>1.2184205873126532</v>
      </c>
      <c r="F3" s="358">
        <f t="shared" si="0"/>
        <v>41184</v>
      </c>
      <c r="G3" s="359">
        <f>IF(B3&lt;&gt;0,F3/B3,"")</f>
        <v>1.112690135898198</v>
      </c>
      <c r="H3" s="360">
        <f t="shared" si="0"/>
        <v>4063.94</v>
      </c>
      <c r="I3" s="358">
        <f t="shared" si="0"/>
        <v>2</v>
      </c>
      <c r="J3" s="358">
        <f t="shared" si="0"/>
        <v>3600.8199999999997</v>
      </c>
      <c r="K3" s="358">
        <f t="shared" si="0"/>
        <v>1.9425153850242287</v>
      </c>
      <c r="L3" s="358">
        <f t="shared" si="0"/>
        <v>6848.5999999999995</v>
      </c>
      <c r="M3" s="361">
        <f>IF(H3&lt;&gt;0,L3/H3,"")</f>
        <v>1.6852118879707869</v>
      </c>
      <c r="N3" s="357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126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35"/>
      <c r="B5" s="736">
        <v>2012</v>
      </c>
      <c r="C5" s="737"/>
      <c r="D5" s="737">
        <v>2013</v>
      </c>
      <c r="E5" s="737"/>
      <c r="F5" s="737">
        <v>2014</v>
      </c>
      <c r="G5" s="738" t="s">
        <v>5</v>
      </c>
      <c r="H5" s="736">
        <v>2012</v>
      </c>
      <c r="I5" s="737"/>
      <c r="J5" s="737">
        <v>2013</v>
      </c>
      <c r="K5" s="737"/>
      <c r="L5" s="737">
        <v>2014</v>
      </c>
      <c r="M5" s="738" t="s">
        <v>5</v>
      </c>
      <c r="N5" s="736">
        <v>2012</v>
      </c>
      <c r="O5" s="737"/>
      <c r="P5" s="737">
        <v>2013</v>
      </c>
      <c r="Q5" s="737"/>
      <c r="R5" s="737">
        <v>2014</v>
      </c>
      <c r="S5" s="738" t="s">
        <v>5</v>
      </c>
    </row>
    <row r="6" spans="1:19" ht="14.4" customHeight="1" x14ac:dyDescent="0.3">
      <c r="A6" s="724" t="s">
        <v>2896</v>
      </c>
      <c r="B6" s="739">
        <v>20633</v>
      </c>
      <c r="C6" s="696">
        <v>1</v>
      </c>
      <c r="D6" s="739">
        <v>12091</v>
      </c>
      <c r="E6" s="696">
        <v>0.58600300489507096</v>
      </c>
      <c r="F6" s="739">
        <v>14499</v>
      </c>
      <c r="G6" s="701">
        <v>0.70270925216885571</v>
      </c>
      <c r="H6" s="739">
        <v>2976.09</v>
      </c>
      <c r="I6" s="696">
        <v>1</v>
      </c>
      <c r="J6" s="739">
        <v>2344.7199999999998</v>
      </c>
      <c r="K6" s="696">
        <v>0.78785251790100419</v>
      </c>
      <c r="L6" s="739">
        <v>1596.12</v>
      </c>
      <c r="M6" s="701">
        <v>0.53631442597502088</v>
      </c>
      <c r="N6" s="739"/>
      <c r="O6" s="696"/>
      <c r="P6" s="739"/>
      <c r="Q6" s="696"/>
      <c r="R6" s="739"/>
      <c r="S6" s="241"/>
    </row>
    <row r="7" spans="1:19" ht="14.4" customHeight="1" thickBot="1" x14ac:dyDescent="0.35">
      <c r="A7" s="741" t="s">
        <v>2897</v>
      </c>
      <c r="B7" s="740">
        <v>16380</v>
      </c>
      <c r="C7" s="703">
        <v>1</v>
      </c>
      <c r="D7" s="740">
        <v>10359</v>
      </c>
      <c r="E7" s="703">
        <v>0.63241758241758239</v>
      </c>
      <c r="F7" s="740">
        <v>26685</v>
      </c>
      <c r="G7" s="708">
        <v>1.6291208791208791</v>
      </c>
      <c r="H7" s="740">
        <v>1087.8499999999999</v>
      </c>
      <c r="I7" s="703">
        <v>1</v>
      </c>
      <c r="J7" s="740">
        <v>1256.0999999999999</v>
      </c>
      <c r="K7" s="703">
        <v>1.1546628671232246</v>
      </c>
      <c r="L7" s="740">
        <v>5252.48</v>
      </c>
      <c r="M7" s="708">
        <v>4.8283127269384565</v>
      </c>
      <c r="N7" s="740"/>
      <c r="O7" s="703"/>
      <c r="P7" s="740"/>
      <c r="Q7" s="703"/>
      <c r="R7" s="740"/>
      <c r="S7" s="709"/>
    </row>
    <row r="8" spans="1:19" ht="14.4" customHeight="1" x14ac:dyDescent="0.3">
      <c r="A8" s="742" t="s">
        <v>2898</v>
      </c>
    </row>
    <row r="9" spans="1:19" ht="14.4" customHeight="1" x14ac:dyDescent="0.3">
      <c r="A9" s="743" t="s">
        <v>239</v>
      </c>
    </row>
    <row r="10" spans="1:19" ht="14.4" customHeight="1" x14ac:dyDescent="0.3">
      <c r="A10" s="742" t="s">
        <v>2899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34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60" bestFit="1" customWidth="1"/>
    <col min="2" max="2" width="2.109375" style="260" bestFit="1" customWidth="1"/>
    <col min="3" max="3" width="8" style="260" bestFit="1" customWidth="1"/>
    <col min="4" max="4" width="50.88671875" style="260" bestFit="1" customWidth="1"/>
    <col min="5" max="6" width="11.109375" style="343" customWidth="1"/>
    <col min="7" max="8" width="9.33203125" style="260" hidden="1" customWidth="1"/>
    <col min="9" max="10" width="11.109375" style="343" customWidth="1"/>
    <col min="11" max="12" width="9.33203125" style="260" hidden="1" customWidth="1"/>
    <col min="13" max="14" width="11.109375" style="343" customWidth="1"/>
    <col min="15" max="15" width="11.109375" style="346" customWidth="1"/>
    <col min="16" max="16" width="11.109375" style="343" customWidth="1"/>
    <col min="17" max="16384" width="8.88671875" style="260"/>
  </cols>
  <sheetData>
    <row r="1" spans="1:16" ht="18.600000000000001" customHeight="1" thickBot="1" x14ac:dyDescent="0.4">
      <c r="A1" s="462" t="s">
        <v>2941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4.4" customHeight="1" thickBot="1" x14ac:dyDescent="0.35">
      <c r="A2" s="389" t="s">
        <v>298</v>
      </c>
      <c r="B2" s="261"/>
      <c r="C2" s="261"/>
      <c r="D2" s="261"/>
      <c r="E2" s="364"/>
      <c r="F2" s="364"/>
      <c r="G2" s="261"/>
      <c r="H2" s="261"/>
      <c r="I2" s="364"/>
      <c r="J2" s="364"/>
      <c r="K2" s="261"/>
      <c r="L2" s="261"/>
      <c r="M2" s="364"/>
      <c r="N2" s="364"/>
      <c r="O2" s="365"/>
      <c r="P2" s="364"/>
    </row>
    <row r="3" spans="1:16" ht="14.4" customHeight="1" thickBot="1" x14ac:dyDescent="0.35">
      <c r="D3" s="112" t="s">
        <v>163</v>
      </c>
      <c r="E3" s="217">
        <f t="shared" ref="E3:N3" si="0">SUBTOTAL(9,E6:E1048576)</f>
        <v>533</v>
      </c>
      <c r="F3" s="218">
        <f t="shared" si="0"/>
        <v>41076.94</v>
      </c>
      <c r="G3" s="78"/>
      <c r="H3" s="78"/>
      <c r="I3" s="218">
        <f t="shared" si="0"/>
        <v>356.6</v>
      </c>
      <c r="J3" s="218">
        <f t="shared" si="0"/>
        <v>26050.82</v>
      </c>
      <c r="K3" s="78"/>
      <c r="L3" s="78"/>
      <c r="M3" s="218">
        <f t="shared" si="0"/>
        <v>593.4</v>
      </c>
      <c r="N3" s="218">
        <f t="shared" si="0"/>
        <v>48032.6</v>
      </c>
      <c r="O3" s="79">
        <f>IF(F3=0,0,N3/F3)</f>
        <v>1.1693324770540356</v>
      </c>
      <c r="P3" s="219">
        <f>IF(M3=0,0,N3/M3)</f>
        <v>80.944725311762724</v>
      </c>
    </row>
    <row r="4" spans="1:16" ht="14.4" customHeight="1" x14ac:dyDescent="0.3">
      <c r="A4" s="533" t="s">
        <v>122</v>
      </c>
      <c r="B4" s="534" t="s">
        <v>123</v>
      </c>
      <c r="C4" s="535" t="s">
        <v>124</v>
      </c>
      <c r="D4" s="536" t="s">
        <v>84</v>
      </c>
      <c r="E4" s="537">
        <v>2012</v>
      </c>
      <c r="F4" s="538"/>
      <c r="G4" s="216"/>
      <c r="H4" s="216"/>
      <c r="I4" s="537">
        <v>2013</v>
      </c>
      <c r="J4" s="538"/>
      <c r="K4" s="216"/>
      <c r="L4" s="216"/>
      <c r="M4" s="537">
        <v>2014</v>
      </c>
      <c r="N4" s="538"/>
      <c r="O4" s="539" t="s">
        <v>5</v>
      </c>
      <c r="P4" s="532" t="s">
        <v>125</v>
      </c>
    </row>
    <row r="5" spans="1:16" ht="14.4" customHeight="1" thickBot="1" x14ac:dyDescent="0.35">
      <c r="A5" s="744"/>
      <c r="B5" s="745"/>
      <c r="C5" s="746"/>
      <c r="D5" s="747"/>
      <c r="E5" s="748" t="s">
        <v>94</v>
      </c>
      <c r="F5" s="749" t="s">
        <v>17</v>
      </c>
      <c r="G5" s="750"/>
      <c r="H5" s="750"/>
      <c r="I5" s="748" t="s">
        <v>94</v>
      </c>
      <c r="J5" s="749" t="s">
        <v>17</v>
      </c>
      <c r="K5" s="750"/>
      <c r="L5" s="750"/>
      <c r="M5" s="748" t="s">
        <v>94</v>
      </c>
      <c r="N5" s="749" t="s">
        <v>17</v>
      </c>
      <c r="O5" s="751"/>
      <c r="P5" s="752"/>
    </row>
    <row r="6" spans="1:16" ht="14.4" customHeight="1" x14ac:dyDescent="0.3">
      <c r="A6" s="695" t="s">
        <v>247</v>
      </c>
      <c r="B6" s="696" t="s">
        <v>2901</v>
      </c>
      <c r="C6" s="696" t="s">
        <v>2902</v>
      </c>
      <c r="D6" s="696" t="s">
        <v>2903</v>
      </c>
      <c r="E6" s="235">
        <v>8.6</v>
      </c>
      <c r="F6" s="235">
        <v>851.98</v>
      </c>
      <c r="G6" s="696">
        <v>1</v>
      </c>
      <c r="H6" s="696">
        <v>99.067441860465124</v>
      </c>
      <c r="I6" s="235">
        <v>5.6000000000000005</v>
      </c>
      <c r="J6" s="235">
        <v>680.68</v>
      </c>
      <c r="K6" s="696">
        <v>0.79893894222869077</v>
      </c>
      <c r="L6" s="696">
        <v>121.54999999999998</v>
      </c>
      <c r="M6" s="235">
        <v>3.6</v>
      </c>
      <c r="N6" s="235">
        <v>407.52</v>
      </c>
      <c r="O6" s="701">
        <v>0.47832108734946827</v>
      </c>
      <c r="P6" s="719">
        <v>113.19999999999999</v>
      </c>
    </row>
    <row r="7" spans="1:16" ht="14.4" customHeight="1" x14ac:dyDescent="0.3">
      <c r="A7" s="710" t="s">
        <v>247</v>
      </c>
      <c r="B7" s="711" t="s">
        <v>2901</v>
      </c>
      <c r="C7" s="711" t="s">
        <v>2904</v>
      </c>
      <c r="D7" s="711" t="s">
        <v>2898</v>
      </c>
      <c r="E7" s="720">
        <v>5</v>
      </c>
      <c r="F7" s="720">
        <v>294.35000000000002</v>
      </c>
      <c r="G7" s="711">
        <v>1</v>
      </c>
      <c r="H7" s="711">
        <v>58.870000000000005</v>
      </c>
      <c r="I7" s="720"/>
      <c r="J7" s="720"/>
      <c r="K7" s="711"/>
      <c r="L7" s="711"/>
      <c r="M7" s="720"/>
      <c r="N7" s="720"/>
      <c r="O7" s="716"/>
      <c r="P7" s="721"/>
    </row>
    <row r="8" spans="1:16" ht="14.4" customHeight="1" x14ac:dyDescent="0.3">
      <c r="A8" s="710" t="s">
        <v>247</v>
      </c>
      <c r="B8" s="711" t="s">
        <v>2901</v>
      </c>
      <c r="C8" s="711" t="s">
        <v>2905</v>
      </c>
      <c r="D8" s="711" t="s">
        <v>2906</v>
      </c>
      <c r="E8" s="720">
        <v>32</v>
      </c>
      <c r="F8" s="720">
        <v>1829.76</v>
      </c>
      <c r="G8" s="711">
        <v>1</v>
      </c>
      <c r="H8" s="711">
        <v>57.18</v>
      </c>
      <c r="I8" s="720">
        <v>28</v>
      </c>
      <c r="J8" s="720">
        <v>1664.0400000000002</v>
      </c>
      <c r="K8" s="711">
        <v>0.90943074501573984</v>
      </c>
      <c r="L8" s="711">
        <v>59.430000000000007</v>
      </c>
      <c r="M8" s="720">
        <v>20</v>
      </c>
      <c r="N8" s="720">
        <v>1188.5999999999999</v>
      </c>
      <c r="O8" s="716">
        <v>0.64959338929695698</v>
      </c>
      <c r="P8" s="721">
        <v>59.429999999999993</v>
      </c>
    </row>
    <row r="9" spans="1:16" ht="14.4" customHeight="1" x14ac:dyDescent="0.3">
      <c r="A9" s="710" t="s">
        <v>247</v>
      </c>
      <c r="B9" s="711" t="s">
        <v>2907</v>
      </c>
      <c r="C9" s="711" t="s">
        <v>2908</v>
      </c>
      <c r="D9" s="711" t="s">
        <v>2909</v>
      </c>
      <c r="E9" s="720">
        <v>98</v>
      </c>
      <c r="F9" s="720">
        <v>3332</v>
      </c>
      <c r="G9" s="711">
        <v>1</v>
      </c>
      <c r="H9" s="711">
        <v>34</v>
      </c>
      <c r="I9" s="720">
        <v>75</v>
      </c>
      <c r="J9" s="720">
        <v>2550</v>
      </c>
      <c r="K9" s="711">
        <v>0.76530612244897955</v>
      </c>
      <c r="L9" s="711">
        <v>34</v>
      </c>
      <c r="M9" s="720">
        <v>65</v>
      </c>
      <c r="N9" s="720">
        <v>2210</v>
      </c>
      <c r="O9" s="716">
        <v>0.66326530612244894</v>
      </c>
      <c r="P9" s="721">
        <v>34</v>
      </c>
    </row>
    <row r="10" spans="1:16" ht="14.4" customHeight="1" x14ac:dyDescent="0.3">
      <c r="A10" s="710" t="s">
        <v>247</v>
      </c>
      <c r="B10" s="711" t="s">
        <v>2907</v>
      </c>
      <c r="C10" s="711" t="s">
        <v>2910</v>
      </c>
      <c r="D10" s="711" t="s">
        <v>2911</v>
      </c>
      <c r="E10" s="720">
        <v>4</v>
      </c>
      <c r="F10" s="720">
        <v>1732</v>
      </c>
      <c r="G10" s="711">
        <v>1</v>
      </c>
      <c r="H10" s="711">
        <v>433</v>
      </c>
      <c r="I10" s="720">
        <v>4</v>
      </c>
      <c r="J10" s="720">
        <v>1308</v>
      </c>
      <c r="K10" s="711">
        <v>0.75519630484988454</v>
      </c>
      <c r="L10" s="711">
        <v>327</v>
      </c>
      <c r="M10" s="720">
        <v>6</v>
      </c>
      <c r="N10" s="720">
        <v>1962</v>
      </c>
      <c r="O10" s="716">
        <v>1.1327944572748267</v>
      </c>
      <c r="P10" s="721">
        <v>327</v>
      </c>
    </row>
    <row r="11" spans="1:16" ht="14.4" customHeight="1" x14ac:dyDescent="0.3">
      <c r="A11" s="710" t="s">
        <v>247</v>
      </c>
      <c r="B11" s="711" t="s">
        <v>2907</v>
      </c>
      <c r="C11" s="711" t="s">
        <v>2912</v>
      </c>
      <c r="D11" s="711" t="s">
        <v>2913</v>
      </c>
      <c r="E11" s="720">
        <v>9</v>
      </c>
      <c r="F11" s="720">
        <v>0</v>
      </c>
      <c r="G11" s="711"/>
      <c r="H11" s="711">
        <v>0</v>
      </c>
      <c r="I11" s="720">
        <v>5</v>
      </c>
      <c r="J11" s="720">
        <v>0</v>
      </c>
      <c r="K11" s="711"/>
      <c r="L11" s="711">
        <v>0</v>
      </c>
      <c r="M11" s="720">
        <v>3</v>
      </c>
      <c r="N11" s="720">
        <v>0</v>
      </c>
      <c r="O11" s="716"/>
      <c r="P11" s="721">
        <v>0</v>
      </c>
    </row>
    <row r="12" spans="1:16" ht="14.4" customHeight="1" x14ac:dyDescent="0.3">
      <c r="A12" s="710" t="s">
        <v>247</v>
      </c>
      <c r="B12" s="711" t="s">
        <v>2907</v>
      </c>
      <c r="C12" s="711" t="s">
        <v>2914</v>
      </c>
      <c r="D12" s="711" t="s">
        <v>2915</v>
      </c>
      <c r="E12" s="720">
        <v>1</v>
      </c>
      <c r="F12" s="720">
        <v>328</v>
      </c>
      <c r="G12" s="711">
        <v>1</v>
      </c>
      <c r="H12" s="711">
        <v>328</v>
      </c>
      <c r="I12" s="720"/>
      <c r="J12" s="720"/>
      <c r="K12" s="711"/>
      <c r="L12" s="711"/>
      <c r="M12" s="720"/>
      <c r="N12" s="720"/>
      <c r="O12" s="716"/>
      <c r="P12" s="721"/>
    </row>
    <row r="13" spans="1:16" ht="14.4" customHeight="1" x14ac:dyDescent="0.3">
      <c r="A13" s="710" t="s">
        <v>247</v>
      </c>
      <c r="B13" s="711" t="s">
        <v>2907</v>
      </c>
      <c r="C13" s="711" t="s">
        <v>2916</v>
      </c>
      <c r="D13" s="711" t="s">
        <v>2917</v>
      </c>
      <c r="E13" s="720">
        <v>44</v>
      </c>
      <c r="F13" s="720">
        <v>1100</v>
      </c>
      <c r="G13" s="711">
        <v>1</v>
      </c>
      <c r="H13" s="711">
        <v>25</v>
      </c>
      <c r="I13" s="720">
        <v>22</v>
      </c>
      <c r="J13" s="720">
        <v>770</v>
      </c>
      <c r="K13" s="711">
        <v>0.7</v>
      </c>
      <c r="L13" s="711">
        <v>35</v>
      </c>
      <c r="M13" s="720">
        <v>38</v>
      </c>
      <c r="N13" s="720">
        <v>1330</v>
      </c>
      <c r="O13" s="716">
        <v>1.209090909090909</v>
      </c>
      <c r="P13" s="721">
        <v>35</v>
      </c>
    </row>
    <row r="14" spans="1:16" ht="14.4" customHeight="1" x14ac:dyDescent="0.3">
      <c r="A14" s="710" t="s">
        <v>247</v>
      </c>
      <c r="B14" s="711" t="s">
        <v>2907</v>
      </c>
      <c r="C14" s="711" t="s">
        <v>2918</v>
      </c>
      <c r="D14" s="711" t="s">
        <v>2919</v>
      </c>
      <c r="E14" s="720">
        <v>13</v>
      </c>
      <c r="F14" s="720">
        <v>1599</v>
      </c>
      <c r="G14" s="711">
        <v>1</v>
      </c>
      <c r="H14" s="711">
        <v>123</v>
      </c>
      <c r="I14" s="720">
        <v>10</v>
      </c>
      <c r="J14" s="720">
        <v>1240</v>
      </c>
      <c r="K14" s="711">
        <v>0.77548467792370235</v>
      </c>
      <c r="L14" s="711">
        <v>124</v>
      </c>
      <c r="M14" s="720">
        <v>21</v>
      </c>
      <c r="N14" s="720">
        <v>2604</v>
      </c>
      <c r="O14" s="716">
        <v>1.6285178236397748</v>
      </c>
      <c r="P14" s="721">
        <v>124</v>
      </c>
    </row>
    <row r="15" spans="1:16" ht="14.4" customHeight="1" x14ac:dyDescent="0.3">
      <c r="A15" s="710" t="s">
        <v>247</v>
      </c>
      <c r="B15" s="711" t="s">
        <v>2907</v>
      </c>
      <c r="C15" s="711" t="s">
        <v>2920</v>
      </c>
      <c r="D15" s="711" t="s">
        <v>2921</v>
      </c>
      <c r="E15" s="720">
        <v>5</v>
      </c>
      <c r="F15" s="720">
        <v>95</v>
      </c>
      <c r="G15" s="711">
        <v>1</v>
      </c>
      <c r="H15" s="711">
        <v>19</v>
      </c>
      <c r="I15" s="720"/>
      <c r="J15" s="720"/>
      <c r="K15" s="711"/>
      <c r="L15" s="711"/>
      <c r="M15" s="720"/>
      <c r="N15" s="720"/>
      <c r="O15" s="716"/>
      <c r="P15" s="721"/>
    </row>
    <row r="16" spans="1:16" ht="14.4" customHeight="1" x14ac:dyDescent="0.3">
      <c r="A16" s="710" t="s">
        <v>247</v>
      </c>
      <c r="B16" s="711" t="s">
        <v>2907</v>
      </c>
      <c r="C16" s="711" t="s">
        <v>2922</v>
      </c>
      <c r="D16" s="711" t="s">
        <v>2923</v>
      </c>
      <c r="E16" s="720">
        <v>3</v>
      </c>
      <c r="F16" s="720">
        <v>1932</v>
      </c>
      <c r="G16" s="711">
        <v>1</v>
      </c>
      <c r="H16" s="711">
        <v>644</v>
      </c>
      <c r="I16" s="720">
        <v>1</v>
      </c>
      <c r="J16" s="720">
        <v>645</v>
      </c>
      <c r="K16" s="711">
        <v>0.33385093167701863</v>
      </c>
      <c r="L16" s="711">
        <v>645</v>
      </c>
      <c r="M16" s="720"/>
      <c r="N16" s="720"/>
      <c r="O16" s="716"/>
      <c r="P16" s="721"/>
    </row>
    <row r="17" spans="1:16" ht="14.4" customHeight="1" x14ac:dyDescent="0.3">
      <c r="A17" s="710" t="s">
        <v>247</v>
      </c>
      <c r="B17" s="711" t="s">
        <v>2907</v>
      </c>
      <c r="C17" s="711" t="s">
        <v>2924</v>
      </c>
      <c r="D17" s="711" t="s">
        <v>2925</v>
      </c>
      <c r="E17" s="720">
        <v>43</v>
      </c>
      <c r="F17" s="720">
        <v>6063</v>
      </c>
      <c r="G17" s="711">
        <v>1</v>
      </c>
      <c r="H17" s="711">
        <v>141</v>
      </c>
      <c r="I17" s="720">
        <v>28</v>
      </c>
      <c r="J17" s="720">
        <v>3948</v>
      </c>
      <c r="K17" s="711">
        <v>0.65116279069767447</v>
      </c>
      <c r="L17" s="711">
        <v>141</v>
      </c>
      <c r="M17" s="720">
        <v>28</v>
      </c>
      <c r="N17" s="720">
        <v>3948</v>
      </c>
      <c r="O17" s="716">
        <v>0.65116279069767447</v>
      </c>
      <c r="P17" s="721">
        <v>141</v>
      </c>
    </row>
    <row r="18" spans="1:16" ht="14.4" customHeight="1" x14ac:dyDescent="0.3">
      <c r="A18" s="710" t="s">
        <v>247</v>
      </c>
      <c r="B18" s="711" t="s">
        <v>2907</v>
      </c>
      <c r="C18" s="711" t="s">
        <v>2926</v>
      </c>
      <c r="D18" s="711" t="s">
        <v>2927</v>
      </c>
      <c r="E18" s="720">
        <v>1</v>
      </c>
      <c r="F18" s="720">
        <v>216</v>
      </c>
      <c r="G18" s="711">
        <v>1</v>
      </c>
      <c r="H18" s="711">
        <v>216</v>
      </c>
      <c r="I18" s="720">
        <v>10</v>
      </c>
      <c r="J18" s="720">
        <v>1630</v>
      </c>
      <c r="K18" s="711">
        <v>7.5462962962962967</v>
      </c>
      <c r="L18" s="711">
        <v>163</v>
      </c>
      <c r="M18" s="720">
        <v>15</v>
      </c>
      <c r="N18" s="720">
        <v>2445</v>
      </c>
      <c r="O18" s="716">
        <v>11.319444444444445</v>
      </c>
      <c r="P18" s="721">
        <v>163</v>
      </c>
    </row>
    <row r="19" spans="1:16" ht="14.4" customHeight="1" x14ac:dyDescent="0.3">
      <c r="A19" s="710" t="s">
        <v>247</v>
      </c>
      <c r="B19" s="711" t="s">
        <v>2907</v>
      </c>
      <c r="C19" s="711" t="s">
        <v>2928</v>
      </c>
      <c r="D19" s="711" t="s">
        <v>2898</v>
      </c>
      <c r="E19" s="720">
        <v>6</v>
      </c>
      <c r="F19" s="720">
        <v>1698</v>
      </c>
      <c r="G19" s="711">
        <v>1</v>
      </c>
      <c r="H19" s="711">
        <v>283</v>
      </c>
      <c r="I19" s="720"/>
      <c r="J19" s="720"/>
      <c r="K19" s="711"/>
      <c r="L19" s="711"/>
      <c r="M19" s="720"/>
      <c r="N19" s="720"/>
      <c r="O19" s="716"/>
      <c r="P19" s="721"/>
    </row>
    <row r="20" spans="1:16" ht="14.4" customHeight="1" x14ac:dyDescent="0.3">
      <c r="A20" s="710" t="s">
        <v>247</v>
      </c>
      <c r="B20" s="711" t="s">
        <v>2907</v>
      </c>
      <c r="C20" s="711" t="s">
        <v>2929</v>
      </c>
      <c r="D20" s="711" t="s">
        <v>2898</v>
      </c>
      <c r="E20" s="720">
        <v>18</v>
      </c>
      <c r="F20" s="720">
        <v>2538</v>
      </c>
      <c r="G20" s="711">
        <v>1</v>
      </c>
      <c r="H20" s="711">
        <v>141</v>
      </c>
      <c r="I20" s="720"/>
      <c r="J20" s="720"/>
      <c r="K20" s="711"/>
      <c r="L20" s="711"/>
      <c r="M20" s="720"/>
      <c r="N20" s="720"/>
      <c r="O20" s="716"/>
      <c r="P20" s="721"/>
    </row>
    <row r="21" spans="1:16" ht="14.4" customHeight="1" x14ac:dyDescent="0.3">
      <c r="A21" s="710" t="s">
        <v>2930</v>
      </c>
      <c r="B21" s="711" t="s">
        <v>2901</v>
      </c>
      <c r="C21" s="711" t="s">
        <v>2902</v>
      </c>
      <c r="D21" s="711" t="s">
        <v>2903</v>
      </c>
      <c r="E21" s="720">
        <v>3.4</v>
      </c>
      <c r="F21" s="720">
        <v>322.53999999999996</v>
      </c>
      <c r="G21" s="711">
        <v>1</v>
      </c>
      <c r="H21" s="711">
        <v>94.864705882352936</v>
      </c>
      <c r="I21" s="720">
        <v>3</v>
      </c>
      <c r="J21" s="720">
        <v>364.65</v>
      </c>
      <c r="K21" s="711">
        <v>1.1305574502387301</v>
      </c>
      <c r="L21" s="711">
        <v>121.55</v>
      </c>
      <c r="M21" s="720">
        <v>12.8</v>
      </c>
      <c r="N21" s="720">
        <v>1448.96</v>
      </c>
      <c r="O21" s="716">
        <v>4.4923420350964225</v>
      </c>
      <c r="P21" s="721">
        <v>113.2</v>
      </c>
    </row>
    <row r="22" spans="1:16" ht="14.4" customHeight="1" x14ac:dyDescent="0.3">
      <c r="A22" s="710" t="s">
        <v>2930</v>
      </c>
      <c r="B22" s="711" t="s">
        <v>2901</v>
      </c>
      <c r="C22" s="711" t="s">
        <v>2904</v>
      </c>
      <c r="D22" s="711" t="s">
        <v>2898</v>
      </c>
      <c r="E22" s="720">
        <v>13</v>
      </c>
      <c r="F22" s="720">
        <v>765.31</v>
      </c>
      <c r="G22" s="711">
        <v>1</v>
      </c>
      <c r="H22" s="711">
        <v>58.87</v>
      </c>
      <c r="I22" s="720"/>
      <c r="J22" s="720"/>
      <c r="K22" s="711"/>
      <c r="L22" s="711"/>
      <c r="M22" s="720"/>
      <c r="N22" s="720"/>
      <c r="O22" s="716"/>
      <c r="P22" s="721"/>
    </row>
    <row r="23" spans="1:16" ht="14.4" customHeight="1" x14ac:dyDescent="0.3">
      <c r="A23" s="710" t="s">
        <v>2930</v>
      </c>
      <c r="B23" s="711" t="s">
        <v>2901</v>
      </c>
      <c r="C23" s="711" t="s">
        <v>2905</v>
      </c>
      <c r="D23" s="711" t="s">
        <v>2906</v>
      </c>
      <c r="E23" s="720"/>
      <c r="F23" s="720"/>
      <c r="G23" s="711"/>
      <c r="H23" s="711"/>
      <c r="I23" s="720">
        <v>15</v>
      </c>
      <c r="J23" s="720">
        <v>891.45</v>
      </c>
      <c r="K23" s="711"/>
      <c r="L23" s="711">
        <v>59.43</v>
      </c>
      <c r="M23" s="720">
        <v>64</v>
      </c>
      <c r="N23" s="720">
        <v>3803.52</v>
      </c>
      <c r="O23" s="716"/>
      <c r="P23" s="721">
        <v>59.43</v>
      </c>
    </row>
    <row r="24" spans="1:16" ht="14.4" customHeight="1" x14ac:dyDescent="0.3">
      <c r="A24" s="710" t="s">
        <v>2930</v>
      </c>
      <c r="B24" s="711" t="s">
        <v>2907</v>
      </c>
      <c r="C24" s="711" t="s">
        <v>2931</v>
      </c>
      <c r="D24" s="711" t="s">
        <v>2932</v>
      </c>
      <c r="E24" s="720">
        <v>12</v>
      </c>
      <c r="F24" s="720">
        <v>744</v>
      </c>
      <c r="G24" s="711">
        <v>1</v>
      </c>
      <c r="H24" s="711">
        <v>62</v>
      </c>
      <c r="I24" s="720">
        <v>13</v>
      </c>
      <c r="J24" s="720">
        <v>1456</v>
      </c>
      <c r="K24" s="711">
        <v>1.956989247311828</v>
      </c>
      <c r="L24" s="711">
        <v>112</v>
      </c>
      <c r="M24" s="720">
        <v>25</v>
      </c>
      <c r="N24" s="720">
        <v>2800</v>
      </c>
      <c r="O24" s="716">
        <v>3.763440860215054</v>
      </c>
      <c r="P24" s="721">
        <v>112</v>
      </c>
    </row>
    <row r="25" spans="1:16" ht="14.4" customHeight="1" x14ac:dyDescent="0.3">
      <c r="A25" s="710" t="s">
        <v>2930</v>
      </c>
      <c r="B25" s="711" t="s">
        <v>2907</v>
      </c>
      <c r="C25" s="711" t="s">
        <v>2933</v>
      </c>
      <c r="D25" s="711" t="s">
        <v>2934</v>
      </c>
      <c r="E25" s="720"/>
      <c r="F25" s="720"/>
      <c r="G25" s="711"/>
      <c r="H25" s="711"/>
      <c r="I25" s="720"/>
      <c r="J25" s="720"/>
      <c r="K25" s="711"/>
      <c r="L25" s="711"/>
      <c r="M25" s="720">
        <v>10</v>
      </c>
      <c r="N25" s="720">
        <v>800</v>
      </c>
      <c r="O25" s="716"/>
      <c r="P25" s="721">
        <v>80</v>
      </c>
    </row>
    <row r="26" spans="1:16" ht="14.4" customHeight="1" x14ac:dyDescent="0.3">
      <c r="A26" s="710" t="s">
        <v>2930</v>
      </c>
      <c r="B26" s="711" t="s">
        <v>2907</v>
      </c>
      <c r="C26" s="711" t="s">
        <v>2908</v>
      </c>
      <c r="D26" s="711" t="s">
        <v>2909</v>
      </c>
      <c r="E26" s="720">
        <v>69</v>
      </c>
      <c r="F26" s="720">
        <v>2346</v>
      </c>
      <c r="G26" s="711">
        <v>1</v>
      </c>
      <c r="H26" s="711">
        <v>34</v>
      </c>
      <c r="I26" s="720">
        <v>52</v>
      </c>
      <c r="J26" s="720">
        <v>1768</v>
      </c>
      <c r="K26" s="711">
        <v>0.75362318840579712</v>
      </c>
      <c r="L26" s="711">
        <v>34</v>
      </c>
      <c r="M26" s="720">
        <v>85</v>
      </c>
      <c r="N26" s="720">
        <v>2890</v>
      </c>
      <c r="O26" s="716">
        <v>1.2318840579710144</v>
      </c>
      <c r="P26" s="721">
        <v>34</v>
      </c>
    </row>
    <row r="27" spans="1:16" ht="14.4" customHeight="1" x14ac:dyDescent="0.3">
      <c r="A27" s="710" t="s">
        <v>2930</v>
      </c>
      <c r="B27" s="711" t="s">
        <v>2907</v>
      </c>
      <c r="C27" s="711" t="s">
        <v>2935</v>
      </c>
      <c r="D27" s="711" t="s">
        <v>2936</v>
      </c>
      <c r="E27" s="720">
        <v>5</v>
      </c>
      <c r="F27" s="720">
        <v>2040</v>
      </c>
      <c r="G27" s="711">
        <v>1</v>
      </c>
      <c r="H27" s="711">
        <v>408</v>
      </c>
      <c r="I27" s="720">
        <v>1</v>
      </c>
      <c r="J27" s="720">
        <v>411</v>
      </c>
      <c r="K27" s="711">
        <v>0.20147058823529412</v>
      </c>
      <c r="L27" s="711">
        <v>411</v>
      </c>
      <c r="M27" s="720">
        <v>5</v>
      </c>
      <c r="N27" s="720">
        <v>2055</v>
      </c>
      <c r="O27" s="716">
        <v>1.0073529411764706</v>
      </c>
      <c r="P27" s="721">
        <v>411</v>
      </c>
    </row>
    <row r="28" spans="1:16" ht="14.4" customHeight="1" x14ac:dyDescent="0.3">
      <c r="A28" s="710" t="s">
        <v>2930</v>
      </c>
      <c r="B28" s="711" t="s">
        <v>2907</v>
      </c>
      <c r="C28" s="711" t="s">
        <v>2937</v>
      </c>
      <c r="D28" s="711" t="s">
        <v>2938</v>
      </c>
      <c r="E28" s="720">
        <v>5</v>
      </c>
      <c r="F28" s="720">
        <v>1025</v>
      </c>
      <c r="G28" s="711">
        <v>1</v>
      </c>
      <c r="H28" s="711">
        <v>205</v>
      </c>
      <c r="I28" s="720">
        <v>2</v>
      </c>
      <c r="J28" s="720">
        <v>412</v>
      </c>
      <c r="K28" s="711">
        <v>0.40195121951219515</v>
      </c>
      <c r="L28" s="711">
        <v>206</v>
      </c>
      <c r="M28" s="720">
        <v>8</v>
      </c>
      <c r="N28" s="720">
        <v>1648</v>
      </c>
      <c r="O28" s="716">
        <v>1.6078048780487806</v>
      </c>
      <c r="P28" s="721">
        <v>206</v>
      </c>
    </row>
    <row r="29" spans="1:16" ht="14.4" customHeight="1" x14ac:dyDescent="0.3">
      <c r="A29" s="710" t="s">
        <v>2930</v>
      </c>
      <c r="B29" s="711" t="s">
        <v>2907</v>
      </c>
      <c r="C29" s="711" t="s">
        <v>2912</v>
      </c>
      <c r="D29" s="711" t="s">
        <v>2913</v>
      </c>
      <c r="E29" s="720">
        <v>54</v>
      </c>
      <c r="F29" s="720">
        <v>0</v>
      </c>
      <c r="G29" s="711"/>
      <c r="H29" s="711">
        <v>0</v>
      </c>
      <c r="I29" s="720">
        <v>28</v>
      </c>
      <c r="J29" s="720">
        <v>0</v>
      </c>
      <c r="K29" s="711"/>
      <c r="L29" s="711">
        <v>0</v>
      </c>
      <c r="M29" s="720">
        <v>49</v>
      </c>
      <c r="N29" s="720">
        <v>0</v>
      </c>
      <c r="O29" s="716"/>
      <c r="P29" s="721">
        <v>0</v>
      </c>
    </row>
    <row r="30" spans="1:16" ht="14.4" customHeight="1" x14ac:dyDescent="0.3">
      <c r="A30" s="710" t="s">
        <v>2930</v>
      </c>
      <c r="B30" s="711" t="s">
        <v>2907</v>
      </c>
      <c r="C30" s="711" t="s">
        <v>2914</v>
      </c>
      <c r="D30" s="711" t="s">
        <v>2915</v>
      </c>
      <c r="E30" s="720">
        <v>8</v>
      </c>
      <c r="F30" s="720">
        <v>2624</v>
      </c>
      <c r="G30" s="711">
        <v>1</v>
      </c>
      <c r="H30" s="711">
        <v>328</v>
      </c>
      <c r="I30" s="720">
        <v>4</v>
      </c>
      <c r="J30" s="720">
        <v>1308</v>
      </c>
      <c r="K30" s="711">
        <v>0.49847560975609756</v>
      </c>
      <c r="L30" s="711">
        <v>327</v>
      </c>
      <c r="M30" s="720">
        <v>7</v>
      </c>
      <c r="N30" s="720">
        <v>2289</v>
      </c>
      <c r="O30" s="716">
        <v>0.87233231707317072</v>
      </c>
      <c r="P30" s="721">
        <v>327</v>
      </c>
    </row>
    <row r="31" spans="1:16" ht="14.4" customHeight="1" x14ac:dyDescent="0.3">
      <c r="A31" s="710" t="s">
        <v>2930</v>
      </c>
      <c r="B31" s="711" t="s">
        <v>2907</v>
      </c>
      <c r="C31" s="711" t="s">
        <v>2916</v>
      </c>
      <c r="D31" s="711" t="s">
        <v>2917</v>
      </c>
      <c r="E31" s="720">
        <v>27</v>
      </c>
      <c r="F31" s="720">
        <v>675</v>
      </c>
      <c r="G31" s="711">
        <v>1</v>
      </c>
      <c r="H31" s="711">
        <v>25</v>
      </c>
      <c r="I31" s="720">
        <v>22</v>
      </c>
      <c r="J31" s="720">
        <v>770</v>
      </c>
      <c r="K31" s="711">
        <v>1.1407407407407408</v>
      </c>
      <c r="L31" s="711">
        <v>35</v>
      </c>
      <c r="M31" s="720">
        <v>40</v>
      </c>
      <c r="N31" s="720">
        <v>1400</v>
      </c>
      <c r="O31" s="716">
        <v>2.074074074074074</v>
      </c>
      <c r="P31" s="721">
        <v>35</v>
      </c>
    </row>
    <row r="32" spans="1:16" ht="14.4" customHeight="1" x14ac:dyDescent="0.3">
      <c r="A32" s="710" t="s">
        <v>2930</v>
      </c>
      <c r="B32" s="711" t="s">
        <v>2907</v>
      </c>
      <c r="C32" s="711" t="s">
        <v>2920</v>
      </c>
      <c r="D32" s="711" t="s">
        <v>2921</v>
      </c>
      <c r="E32" s="720"/>
      <c r="F32" s="720"/>
      <c r="G32" s="711"/>
      <c r="H32" s="711"/>
      <c r="I32" s="720"/>
      <c r="J32" s="720"/>
      <c r="K32" s="711"/>
      <c r="L32" s="711"/>
      <c r="M32" s="720">
        <v>1</v>
      </c>
      <c r="N32" s="720">
        <v>30</v>
      </c>
      <c r="O32" s="716"/>
      <c r="P32" s="721">
        <v>30</v>
      </c>
    </row>
    <row r="33" spans="1:16" ht="14.4" customHeight="1" x14ac:dyDescent="0.3">
      <c r="A33" s="710" t="s">
        <v>2930</v>
      </c>
      <c r="B33" s="711" t="s">
        <v>2907</v>
      </c>
      <c r="C33" s="711" t="s">
        <v>2924</v>
      </c>
      <c r="D33" s="711" t="s">
        <v>2925</v>
      </c>
      <c r="E33" s="720">
        <v>26</v>
      </c>
      <c r="F33" s="720">
        <v>3666</v>
      </c>
      <c r="G33" s="711">
        <v>1</v>
      </c>
      <c r="H33" s="711">
        <v>141</v>
      </c>
      <c r="I33" s="720">
        <v>15</v>
      </c>
      <c r="J33" s="720">
        <v>2115</v>
      </c>
      <c r="K33" s="711">
        <v>0.57692307692307687</v>
      </c>
      <c r="L33" s="711">
        <v>141</v>
      </c>
      <c r="M33" s="720">
        <v>64</v>
      </c>
      <c r="N33" s="720">
        <v>9024</v>
      </c>
      <c r="O33" s="716">
        <v>2.4615384615384617</v>
      </c>
      <c r="P33" s="721">
        <v>141</v>
      </c>
    </row>
    <row r="34" spans="1:16" ht="14.4" customHeight="1" thickBot="1" x14ac:dyDescent="0.35">
      <c r="A34" s="702" t="s">
        <v>2930</v>
      </c>
      <c r="B34" s="703" t="s">
        <v>2907</v>
      </c>
      <c r="C34" s="703" t="s">
        <v>2939</v>
      </c>
      <c r="D34" s="703" t="s">
        <v>2940</v>
      </c>
      <c r="E34" s="722">
        <v>20</v>
      </c>
      <c r="F34" s="722">
        <v>3260</v>
      </c>
      <c r="G34" s="703">
        <v>1</v>
      </c>
      <c r="H34" s="703">
        <v>163</v>
      </c>
      <c r="I34" s="722">
        <v>13</v>
      </c>
      <c r="J34" s="722">
        <v>2119</v>
      </c>
      <c r="K34" s="703">
        <v>0.65</v>
      </c>
      <c r="L34" s="703">
        <v>163</v>
      </c>
      <c r="M34" s="722">
        <v>23</v>
      </c>
      <c r="N34" s="722">
        <v>3749</v>
      </c>
      <c r="O34" s="708">
        <v>1.1499999999999999</v>
      </c>
      <c r="P34" s="723">
        <v>163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0.10937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471" t="s">
        <v>161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  <c r="N2" s="362"/>
      <c r="O2" s="230"/>
      <c r="P2" s="362"/>
      <c r="Q2" s="230"/>
      <c r="R2" s="362"/>
      <c r="S2" s="363"/>
    </row>
    <row r="3" spans="1:19" ht="14.4" customHeight="1" thickBot="1" x14ac:dyDescent="0.35">
      <c r="A3" s="356" t="s">
        <v>163</v>
      </c>
      <c r="B3" s="357">
        <f>SUBTOTAL(9,B6:B1048576)</f>
        <v>2622823</v>
      </c>
      <c r="C3" s="358">
        <f t="shared" ref="C3:R3" si="0">SUBTOTAL(9,C6:C1048576)</f>
        <v>15</v>
      </c>
      <c r="D3" s="358">
        <f t="shared" si="0"/>
        <v>2452041</v>
      </c>
      <c r="E3" s="358">
        <f t="shared" si="0"/>
        <v>12.82387019452</v>
      </c>
      <c r="F3" s="358">
        <f t="shared" si="0"/>
        <v>2315615</v>
      </c>
      <c r="G3" s="361">
        <f>IF(B3&lt;&gt;0,F3/B3,"")</f>
        <v>0.88287124216921997</v>
      </c>
      <c r="H3" s="357">
        <f t="shared" si="0"/>
        <v>66951.38</v>
      </c>
      <c r="I3" s="358">
        <f t="shared" si="0"/>
        <v>1</v>
      </c>
      <c r="J3" s="358">
        <f t="shared" si="0"/>
        <v>54477.4</v>
      </c>
      <c r="K3" s="358">
        <f t="shared" si="0"/>
        <v>0.81368599123722318</v>
      </c>
      <c r="L3" s="358">
        <f t="shared" si="0"/>
        <v>16380.769999999997</v>
      </c>
      <c r="M3" s="359">
        <f>IF(H3&lt;&gt;0,L3/H3,"")</f>
        <v>0.24466665212875366</v>
      </c>
      <c r="N3" s="360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133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35"/>
      <c r="B5" s="736">
        <v>2012</v>
      </c>
      <c r="C5" s="737"/>
      <c r="D5" s="737">
        <v>2013</v>
      </c>
      <c r="E5" s="737"/>
      <c r="F5" s="737">
        <v>2014</v>
      </c>
      <c r="G5" s="738" t="s">
        <v>5</v>
      </c>
      <c r="H5" s="736">
        <v>2012</v>
      </c>
      <c r="I5" s="737"/>
      <c r="J5" s="737">
        <v>2013</v>
      </c>
      <c r="K5" s="737"/>
      <c r="L5" s="737">
        <v>2014</v>
      </c>
      <c r="M5" s="738" t="s">
        <v>5</v>
      </c>
      <c r="N5" s="736">
        <v>2012</v>
      </c>
      <c r="O5" s="737"/>
      <c r="P5" s="737">
        <v>2013</v>
      </c>
      <c r="Q5" s="737"/>
      <c r="R5" s="737">
        <v>2014</v>
      </c>
      <c r="S5" s="738" t="s">
        <v>5</v>
      </c>
    </row>
    <row r="6" spans="1:19" ht="14.4" customHeight="1" x14ac:dyDescent="0.3">
      <c r="A6" s="724" t="s">
        <v>2942</v>
      </c>
      <c r="B6" s="739">
        <v>7216</v>
      </c>
      <c r="C6" s="696">
        <v>1</v>
      </c>
      <c r="D6" s="739">
        <v>9190</v>
      </c>
      <c r="E6" s="696">
        <v>1.2735587583148558</v>
      </c>
      <c r="F6" s="739">
        <v>6867</v>
      </c>
      <c r="G6" s="701">
        <v>0.95163525498891355</v>
      </c>
      <c r="H6" s="739"/>
      <c r="I6" s="696"/>
      <c r="J6" s="739"/>
      <c r="K6" s="696"/>
      <c r="L6" s="739"/>
      <c r="M6" s="701"/>
      <c r="N6" s="739"/>
      <c r="O6" s="696"/>
      <c r="P6" s="739"/>
      <c r="Q6" s="696"/>
      <c r="R6" s="739"/>
      <c r="S6" s="241"/>
    </row>
    <row r="7" spans="1:19" ht="14.4" customHeight="1" x14ac:dyDescent="0.3">
      <c r="A7" s="725" t="s">
        <v>2943</v>
      </c>
      <c r="B7" s="753">
        <v>9840</v>
      </c>
      <c r="C7" s="711">
        <v>1</v>
      </c>
      <c r="D7" s="753">
        <v>15369</v>
      </c>
      <c r="E7" s="711">
        <v>1.5618902439024391</v>
      </c>
      <c r="F7" s="753">
        <v>10825</v>
      </c>
      <c r="G7" s="716">
        <v>1.1001016260162602</v>
      </c>
      <c r="H7" s="753"/>
      <c r="I7" s="711"/>
      <c r="J7" s="753"/>
      <c r="K7" s="711"/>
      <c r="L7" s="753"/>
      <c r="M7" s="716"/>
      <c r="N7" s="753"/>
      <c r="O7" s="711"/>
      <c r="P7" s="753"/>
      <c r="Q7" s="711"/>
      <c r="R7" s="753"/>
      <c r="S7" s="717"/>
    </row>
    <row r="8" spans="1:19" ht="14.4" customHeight="1" x14ac:dyDescent="0.3">
      <c r="A8" s="725" t="s">
        <v>2944</v>
      </c>
      <c r="B8" s="753">
        <v>17712</v>
      </c>
      <c r="C8" s="711">
        <v>1</v>
      </c>
      <c r="D8" s="753">
        <v>21582</v>
      </c>
      <c r="E8" s="711">
        <v>1.2184959349593496</v>
      </c>
      <c r="F8" s="753">
        <v>16452</v>
      </c>
      <c r="G8" s="716">
        <v>0.92886178861788615</v>
      </c>
      <c r="H8" s="753"/>
      <c r="I8" s="711"/>
      <c r="J8" s="753"/>
      <c r="K8" s="711"/>
      <c r="L8" s="753"/>
      <c r="M8" s="716"/>
      <c r="N8" s="753"/>
      <c r="O8" s="711"/>
      <c r="P8" s="753"/>
      <c r="Q8" s="711"/>
      <c r="R8" s="753"/>
      <c r="S8" s="717"/>
    </row>
    <row r="9" spans="1:19" ht="14.4" customHeight="1" x14ac:dyDescent="0.3">
      <c r="A9" s="725" t="s">
        <v>2945</v>
      </c>
      <c r="B9" s="753">
        <v>2952</v>
      </c>
      <c r="C9" s="711">
        <v>1</v>
      </c>
      <c r="D9" s="753">
        <v>2943</v>
      </c>
      <c r="E9" s="711">
        <v>0.99695121951219512</v>
      </c>
      <c r="F9" s="753">
        <v>3270</v>
      </c>
      <c r="G9" s="716">
        <v>1.1077235772357723</v>
      </c>
      <c r="H9" s="753"/>
      <c r="I9" s="711"/>
      <c r="J9" s="753"/>
      <c r="K9" s="711"/>
      <c r="L9" s="753"/>
      <c r="M9" s="716"/>
      <c r="N9" s="753"/>
      <c r="O9" s="711"/>
      <c r="P9" s="753"/>
      <c r="Q9" s="711"/>
      <c r="R9" s="753"/>
      <c r="S9" s="717"/>
    </row>
    <row r="10" spans="1:19" ht="14.4" customHeight="1" x14ac:dyDescent="0.3">
      <c r="A10" s="725" t="s">
        <v>2946</v>
      </c>
      <c r="B10" s="753">
        <v>1640</v>
      </c>
      <c r="C10" s="711">
        <v>1</v>
      </c>
      <c r="D10" s="753">
        <v>1308</v>
      </c>
      <c r="E10" s="711">
        <v>0.79756097560975614</v>
      </c>
      <c r="F10" s="753">
        <v>327</v>
      </c>
      <c r="G10" s="716">
        <v>0.19939024390243903</v>
      </c>
      <c r="H10" s="753"/>
      <c r="I10" s="711"/>
      <c r="J10" s="753"/>
      <c r="K10" s="711"/>
      <c r="L10" s="753"/>
      <c r="M10" s="716"/>
      <c r="N10" s="753"/>
      <c r="O10" s="711"/>
      <c r="P10" s="753"/>
      <c r="Q10" s="711"/>
      <c r="R10" s="753"/>
      <c r="S10" s="717"/>
    </row>
    <row r="11" spans="1:19" ht="14.4" customHeight="1" x14ac:dyDescent="0.3">
      <c r="A11" s="725" t="s">
        <v>2947</v>
      </c>
      <c r="B11" s="753">
        <v>1968</v>
      </c>
      <c r="C11" s="711">
        <v>1</v>
      </c>
      <c r="D11" s="753">
        <v>1635</v>
      </c>
      <c r="E11" s="711">
        <v>0.83079268292682928</v>
      </c>
      <c r="F11" s="753">
        <v>2289</v>
      </c>
      <c r="G11" s="716">
        <v>1.163109756097561</v>
      </c>
      <c r="H11" s="753"/>
      <c r="I11" s="711"/>
      <c r="J11" s="753"/>
      <c r="K11" s="711"/>
      <c r="L11" s="753"/>
      <c r="M11" s="716"/>
      <c r="N11" s="753"/>
      <c r="O11" s="711"/>
      <c r="P11" s="753"/>
      <c r="Q11" s="711"/>
      <c r="R11" s="753"/>
      <c r="S11" s="717"/>
    </row>
    <row r="12" spans="1:19" ht="14.4" customHeight="1" x14ac:dyDescent="0.3">
      <c r="A12" s="725" t="s">
        <v>2948</v>
      </c>
      <c r="B12" s="753">
        <v>0</v>
      </c>
      <c r="C12" s="711"/>
      <c r="D12" s="753"/>
      <c r="E12" s="711"/>
      <c r="F12" s="753">
        <v>34</v>
      </c>
      <c r="G12" s="716"/>
      <c r="H12" s="753"/>
      <c r="I12" s="711"/>
      <c r="J12" s="753"/>
      <c r="K12" s="711"/>
      <c r="L12" s="753"/>
      <c r="M12" s="716"/>
      <c r="N12" s="753"/>
      <c r="O12" s="711"/>
      <c r="P12" s="753"/>
      <c r="Q12" s="711"/>
      <c r="R12" s="753"/>
      <c r="S12" s="717"/>
    </row>
    <row r="13" spans="1:19" ht="14.4" customHeight="1" x14ac:dyDescent="0.3">
      <c r="A13" s="725" t="s">
        <v>2949</v>
      </c>
      <c r="B13" s="753">
        <v>4264</v>
      </c>
      <c r="C13" s="711">
        <v>1</v>
      </c>
      <c r="D13" s="753">
        <v>1308</v>
      </c>
      <c r="E13" s="711">
        <v>0.30675422138836772</v>
      </c>
      <c r="F13" s="753">
        <v>4251</v>
      </c>
      <c r="G13" s="716">
        <v>0.99695121951219512</v>
      </c>
      <c r="H13" s="753"/>
      <c r="I13" s="711"/>
      <c r="J13" s="753"/>
      <c r="K13" s="711"/>
      <c r="L13" s="753"/>
      <c r="M13" s="716"/>
      <c r="N13" s="753"/>
      <c r="O13" s="711"/>
      <c r="P13" s="753"/>
      <c r="Q13" s="711"/>
      <c r="R13" s="753"/>
      <c r="S13" s="717"/>
    </row>
    <row r="14" spans="1:19" ht="14.4" customHeight="1" x14ac:dyDescent="0.3">
      <c r="A14" s="725" t="s">
        <v>2950</v>
      </c>
      <c r="B14" s="753"/>
      <c r="C14" s="711"/>
      <c r="D14" s="753"/>
      <c r="E14" s="711"/>
      <c r="F14" s="753">
        <v>654</v>
      </c>
      <c r="G14" s="716"/>
      <c r="H14" s="753"/>
      <c r="I14" s="711"/>
      <c r="J14" s="753"/>
      <c r="K14" s="711"/>
      <c r="L14" s="753"/>
      <c r="M14" s="716"/>
      <c r="N14" s="753"/>
      <c r="O14" s="711"/>
      <c r="P14" s="753"/>
      <c r="Q14" s="711"/>
      <c r="R14" s="753"/>
      <c r="S14" s="717"/>
    </row>
    <row r="15" spans="1:19" ht="14.4" customHeight="1" x14ac:dyDescent="0.3">
      <c r="A15" s="725" t="s">
        <v>2951</v>
      </c>
      <c r="B15" s="753"/>
      <c r="C15" s="711"/>
      <c r="D15" s="753"/>
      <c r="E15" s="711"/>
      <c r="F15" s="753">
        <v>654</v>
      </c>
      <c r="G15" s="716"/>
      <c r="H15" s="753"/>
      <c r="I15" s="711"/>
      <c r="J15" s="753"/>
      <c r="K15" s="711"/>
      <c r="L15" s="753"/>
      <c r="M15" s="716"/>
      <c r="N15" s="753"/>
      <c r="O15" s="711"/>
      <c r="P15" s="753"/>
      <c r="Q15" s="711"/>
      <c r="R15" s="753"/>
      <c r="S15" s="717"/>
    </row>
    <row r="16" spans="1:19" ht="14.4" customHeight="1" x14ac:dyDescent="0.3">
      <c r="A16" s="725" t="s">
        <v>2952</v>
      </c>
      <c r="B16" s="753">
        <v>9184</v>
      </c>
      <c r="C16" s="711">
        <v>1</v>
      </c>
      <c r="D16" s="753">
        <v>9810</v>
      </c>
      <c r="E16" s="711">
        <v>1.0681620209059233</v>
      </c>
      <c r="F16" s="753">
        <v>11186</v>
      </c>
      <c r="G16" s="716">
        <v>1.2179878048780488</v>
      </c>
      <c r="H16" s="753"/>
      <c r="I16" s="711"/>
      <c r="J16" s="753"/>
      <c r="K16" s="711"/>
      <c r="L16" s="753"/>
      <c r="M16" s="716"/>
      <c r="N16" s="753"/>
      <c r="O16" s="711"/>
      <c r="P16" s="753"/>
      <c r="Q16" s="711"/>
      <c r="R16" s="753"/>
      <c r="S16" s="717"/>
    </row>
    <row r="17" spans="1:19" ht="14.4" customHeight="1" x14ac:dyDescent="0.3">
      <c r="A17" s="725" t="s">
        <v>2953</v>
      </c>
      <c r="B17" s="753">
        <v>656</v>
      </c>
      <c r="C17" s="711">
        <v>1</v>
      </c>
      <c r="D17" s="753"/>
      <c r="E17" s="711"/>
      <c r="F17" s="753"/>
      <c r="G17" s="716"/>
      <c r="H17" s="753"/>
      <c r="I17" s="711"/>
      <c r="J17" s="753"/>
      <c r="K17" s="711"/>
      <c r="L17" s="753"/>
      <c r="M17" s="716"/>
      <c r="N17" s="753"/>
      <c r="O17" s="711"/>
      <c r="P17" s="753"/>
      <c r="Q17" s="711"/>
      <c r="R17" s="753"/>
      <c r="S17" s="717"/>
    </row>
    <row r="18" spans="1:19" ht="14.4" customHeight="1" x14ac:dyDescent="0.3">
      <c r="A18" s="725" t="s">
        <v>2954</v>
      </c>
      <c r="B18" s="753">
        <v>984</v>
      </c>
      <c r="C18" s="711">
        <v>1</v>
      </c>
      <c r="D18" s="753">
        <v>327</v>
      </c>
      <c r="E18" s="711">
        <v>0.33231707317073172</v>
      </c>
      <c r="F18" s="753"/>
      <c r="G18" s="716"/>
      <c r="H18" s="753"/>
      <c r="I18" s="711"/>
      <c r="J18" s="753"/>
      <c r="K18" s="711"/>
      <c r="L18" s="753"/>
      <c r="M18" s="716"/>
      <c r="N18" s="753"/>
      <c r="O18" s="711"/>
      <c r="P18" s="753"/>
      <c r="Q18" s="711"/>
      <c r="R18" s="753"/>
      <c r="S18" s="717"/>
    </row>
    <row r="19" spans="1:19" ht="14.4" customHeight="1" x14ac:dyDescent="0.3">
      <c r="A19" s="725" t="s">
        <v>2955</v>
      </c>
      <c r="B19" s="753">
        <v>433</v>
      </c>
      <c r="C19" s="711">
        <v>1</v>
      </c>
      <c r="D19" s="753">
        <v>327</v>
      </c>
      <c r="E19" s="711">
        <v>0.75519630484988454</v>
      </c>
      <c r="F19" s="753"/>
      <c r="G19" s="716"/>
      <c r="H19" s="753"/>
      <c r="I19" s="711"/>
      <c r="J19" s="753"/>
      <c r="K19" s="711"/>
      <c r="L19" s="753"/>
      <c r="M19" s="716"/>
      <c r="N19" s="753"/>
      <c r="O19" s="711"/>
      <c r="P19" s="753"/>
      <c r="Q19" s="711"/>
      <c r="R19" s="753"/>
      <c r="S19" s="717"/>
    </row>
    <row r="20" spans="1:19" ht="14.4" customHeight="1" x14ac:dyDescent="0.3">
      <c r="A20" s="725" t="s">
        <v>2956</v>
      </c>
      <c r="B20" s="753">
        <v>656</v>
      </c>
      <c r="C20" s="711">
        <v>1</v>
      </c>
      <c r="D20" s="753">
        <v>981</v>
      </c>
      <c r="E20" s="711">
        <v>1.4954268292682926</v>
      </c>
      <c r="F20" s="753"/>
      <c r="G20" s="716"/>
      <c r="H20" s="753"/>
      <c r="I20" s="711"/>
      <c r="J20" s="753"/>
      <c r="K20" s="711"/>
      <c r="L20" s="753"/>
      <c r="M20" s="716"/>
      <c r="N20" s="753"/>
      <c r="O20" s="711"/>
      <c r="P20" s="753"/>
      <c r="Q20" s="711"/>
      <c r="R20" s="753"/>
      <c r="S20" s="717"/>
    </row>
    <row r="21" spans="1:19" ht="14.4" customHeight="1" x14ac:dyDescent="0.3">
      <c r="A21" s="725" t="s">
        <v>2957</v>
      </c>
      <c r="B21" s="753">
        <v>2557118</v>
      </c>
      <c r="C21" s="711">
        <v>1</v>
      </c>
      <c r="D21" s="753">
        <v>2377451</v>
      </c>
      <c r="E21" s="711">
        <v>0.92973847902208662</v>
      </c>
      <c r="F21" s="753">
        <v>2250631</v>
      </c>
      <c r="G21" s="716">
        <v>0.88014358351863309</v>
      </c>
      <c r="H21" s="753">
        <v>66951.38</v>
      </c>
      <c r="I21" s="711">
        <v>1</v>
      </c>
      <c r="J21" s="753">
        <v>54477.4</v>
      </c>
      <c r="K21" s="711">
        <v>0.81368599123722318</v>
      </c>
      <c r="L21" s="753">
        <v>16380.769999999997</v>
      </c>
      <c r="M21" s="716">
        <v>0.24466665212875366</v>
      </c>
      <c r="N21" s="753"/>
      <c r="O21" s="711"/>
      <c r="P21" s="753"/>
      <c r="Q21" s="711"/>
      <c r="R21" s="753"/>
      <c r="S21" s="717"/>
    </row>
    <row r="22" spans="1:19" ht="14.4" customHeight="1" x14ac:dyDescent="0.3">
      <c r="A22" s="725" t="s">
        <v>2958</v>
      </c>
      <c r="B22" s="753">
        <v>7544</v>
      </c>
      <c r="C22" s="711">
        <v>1</v>
      </c>
      <c r="D22" s="753">
        <v>9483</v>
      </c>
      <c r="E22" s="711">
        <v>1.2570254506892895</v>
      </c>
      <c r="F22" s="753">
        <v>7521</v>
      </c>
      <c r="G22" s="716">
        <v>0.99695121951219512</v>
      </c>
      <c r="H22" s="753"/>
      <c r="I22" s="711"/>
      <c r="J22" s="753"/>
      <c r="K22" s="711"/>
      <c r="L22" s="753"/>
      <c r="M22" s="716"/>
      <c r="N22" s="753"/>
      <c r="O22" s="711"/>
      <c r="P22" s="753"/>
      <c r="Q22" s="711"/>
      <c r="R22" s="753"/>
      <c r="S22" s="717"/>
    </row>
    <row r="23" spans="1:19" ht="14.4" customHeight="1" x14ac:dyDescent="0.3">
      <c r="A23" s="725" t="s">
        <v>2959</v>
      </c>
      <c r="B23" s="753"/>
      <c r="C23" s="711"/>
      <c r="D23" s="753">
        <v>327</v>
      </c>
      <c r="E23" s="711"/>
      <c r="F23" s="753"/>
      <c r="G23" s="716"/>
      <c r="H23" s="753"/>
      <c r="I23" s="711"/>
      <c r="J23" s="753"/>
      <c r="K23" s="711"/>
      <c r="L23" s="753"/>
      <c r="M23" s="716"/>
      <c r="N23" s="753"/>
      <c r="O23" s="711"/>
      <c r="P23" s="753"/>
      <c r="Q23" s="711"/>
      <c r="R23" s="753"/>
      <c r="S23" s="717"/>
    </row>
    <row r="24" spans="1:19" ht="14.4" customHeight="1" thickBot="1" x14ac:dyDescent="0.35">
      <c r="A24" s="741" t="s">
        <v>2960</v>
      </c>
      <c r="B24" s="740">
        <v>656</v>
      </c>
      <c r="C24" s="703">
        <v>1</v>
      </c>
      <c r="D24" s="740"/>
      <c r="E24" s="703"/>
      <c r="F24" s="740">
        <v>654</v>
      </c>
      <c r="G24" s="708">
        <v>0.99695121951219512</v>
      </c>
      <c r="H24" s="740"/>
      <c r="I24" s="703"/>
      <c r="J24" s="740"/>
      <c r="K24" s="703"/>
      <c r="L24" s="740"/>
      <c r="M24" s="708"/>
      <c r="N24" s="740"/>
      <c r="O24" s="703"/>
      <c r="P24" s="740"/>
      <c r="Q24" s="703"/>
      <c r="R24" s="740"/>
      <c r="S24" s="7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62" t="s">
        <v>3065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61"/>
      <c r="C2" s="261"/>
      <c r="D2" s="261"/>
      <c r="E2" s="261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  <c r="Q2" s="364"/>
    </row>
    <row r="3" spans="1:17" ht="14.4" customHeight="1" thickBot="1" x14ac:dyDescent="0.35">
      <c r="E3" s="112" t="s">
        <v>163</v>
      </c>
      <c r="F3" s="217">
        <f t="shared" ref="F3:O3" si="0">SUBTOTAL(9,F6:F1048576)</f>
        <v>4891.5</v>
      </c>
      <c r="G3" s="218">
        <f t="shared" si="0"/>
        <v>2689774.38</v>
      </c>
      <c r="H3" s="218"/>
      <c r="I3" s="218"/>
      <c r="J3" s="218">
        <f t="shared" si="0"/>
        <v>4510.2700000000004</v>
      </c>
      <c r="K3" s="218">
        <f t="shared" si="0"/>
        <v>2506518.4</v>
      </c>
      <c r="L3" s="218"/>
      <c r="M3" s="218"/>
      <c r="N3" s="218">
        <f t="shared" si="0"/>
        <v>2613.63</v>
      </c>
      <c r="O3" s="218">
        <f t="shared" si="0"/>
        <v>2331995.77</v>
      </c>
      <c r="P3" s="79">
        <f>IF(G3=0,0,O3/G3)</f>
        <v>0.86698564286272972</v>
      </c>
      <c r="Q3" s="219">
        <f>IF(N3=0,0,O3/N3)</f>
        <v>892.24403224633932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124</v>
      </c>
      <c r="E4" s="536" t="s">
        <v>84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45"/>
      <c r="B5" s="744"/>
      <c r="C5" s="745"/>
      <c r="D5" s="746"/>
      <c r="E5" s="747"/>
      <c r="F5" s="754" t="s">
        <v>94</v>
      </c>
      <c r="G5" s="755" t="s">
        <v>17</v>
      </c>
      <c r="H5" s="756"/>
      <c r="I5" s="756"/>
      <c r="J5" s="754" t="s">
        <v>94</v>
      </c>
      <c r="K5" s="755" t="s">
        <v>17</v>
      </c>
      <c r="L5" s="756"/>
      <c r="M5" s="756"/>
      <c r="N5" s="754" t="s">
        <v>94</v>
      </c>
      <c r="O5" s="755" t="s">
        <v>17</v>
      </c>
      <c r="P5" s="757"/>
      <c r="Q5" s="752"/>
    </row>
    <row r="6" spans="1:17" ht="14.4" customHeight="1" x14ac:dyDescent="0.3">
      <c r="A6" s="695" t="s">
        <v>2961</v>
      </c>
      <c r="B6" s="696" t="s">
        <v>247</v>
      </c>
      <c r="C6" s="696" t="s">
        <v>2907</v>
      </c>
      <c r="D6" s="696" t="s">
        <v>2908</v>
      </c>
      <c r="E6" s="696" t="s">
        <v>2909</v>
      </c>
      <c r="F6" s="235"/>
      <c r="G6" s="235"/>
      <c r="H6" s="235"/>
      <c r="I6" s="235"/>
      <c r="J6" s="235">
        <v>1</v>
      </c>
      <c r="K6" s="235">
        <v>34</v>
      </c>
      <c r="L6" s="235"/>
      <c r="M6" s="235">
        <v>34</v>
      </c>
      <c r="N6" s="235"/>
      <c r="O6" s="235"/>
      <c r="P6" s="701"/>
      <c r="Q6" s="719"/>
    </row>
    <row r="7" spans="1:17" ht="14.4" customHeight="1" x14ac:dyDescent="0.3">
      <c r="A7" s="710" t="s">
        <v>2961</v>
      </c>
      <c r="B7" s="711" t="s">
        <v>2930</v>
      </c>
      <c r="C7" s="711" t="s">
        <v>2907</v>
      </c>
      <c r="D7" s="711" t="s">
        <v>2914</v>
      </c>
      <c r="E7" s="711" t="s">
        <v>2915</v>
      </c>
      <c r="F7" s="720">
        <v>22</v>
      </c>
      <c r="G7" s="720">
        <v>7216</v>
      </c>
      <c r="H7" s="720">
        <v>1</v>
      </c>
      <c r="I7" s="720">
        <v>328</v>
      </c>
      <c r="J7" s="720">
        <v>28</v>
      </c>
      <c r="K7" s="720">
        <v>9156</v>
      </c>
      <c r="L7" s="720">
        <v>1.2688470066518847</v>
      </c>
      <c r="M7" s="720">
        <v>327</v>
      </c>
      <c r="N7" s="720">
        <v>21</v>
      </c>
      <c r="O7" s="720">
        <v>6867</v>
      </c>
      <c r="P7" s="716">
        <v>0.95163525498891355</v>
      </c>
      <c r="Q7" s="721">
        <v>327</v>
      </c>
    </row>
    <row r="8" spans="1:17" ht="14.4" customHeight="1" x14ac:dyDescent="0.3">
      <c r="A8" s="710" t="s">
        <v>2962</v>
      </c>
      <c r="B8" s="711" t="s">
        <v>2930</v>
      </c>
      <c r="C8" s="711" t="s">
        <v>2907</v>
      </c>
      <c r="D8" s="711" t="s">
        <v>2908</v>
      </c>
      <c r="E8" s="711" t="s">
        <v>2909</v>
      </c>
      <c r="F8" s="720"/>
      <c r="G8" s="720"/>
      <c r="H8" s="720"/>
      <c r="I8" s="720"/>
      <c r="J8" s="720"/>
      <c r="K8" s="720"/>
      <c r="L8" s="720"/>
      <c r="M8" s="720"/>
      <c r="N8" s="720">
        <v>1</v>
      </c>
      <c r="O8" s="720">
        <v>34</v>
      </c>
      <c r="P8" s="716"/>
      <c r="Q8" s="721">
        <v>34</v>
      </c>
    </row>
    <row r="9" spans="1:17" ht="14.4" customHeight="1" x14ac:dyDescent="0.3">
      <c r="A9" s="710" t="s">
        <v>2962</v>
      </c>
      <c r="B9" s="711" t="s">
        <v>2930</v>
      </c>
      <c r="C9" s="711" t="s">
        <v>2907</v>
      </c>
      <c r="D9" s="711" t="s">
        <v>2914</v>
      </c>
      <c r="E9" s="711" t="s">
        <v>2915</v>
      </c>
      <c r="F9" s="720">
        <v>30</v>
      </c>
      <c r="G9" s="720">
        <v>9840</v>
      </c>
      <c r="H9" s="720">
        <v>1</v>
      </c>
      <c r="I9" s="720">
        <v>328</v>
      </c>
      <c r="J9" s="720">
        <v>47</v>
      </c>
      <c r="K9" s="720">
        <v>15369</v>
      </c>
      <c r="L9" s="720">
        <v>1.5618902439024391</v>
      </c>
      <c r="M9" s="720">
        <v>327</v>
      </c>
      <c r="N9" s="720">
        <v>33</v>
      </c>
      <c r="O9" s="720">
        <v>10791</v>
      </c>
      <c r="P9" s="716">
        <v>1.0966463414634147</v>
      </c>
      <c r="Q9" s="721">
        <v>327</v>
      </c>
    </row>
    <row r="10" spans="1:17" ht="14.4" customHeight="1" x14ac:dyDescent="0.3">
      <c r="A10" s="710" t="s">
        <v>2963</v>
      </c>
      <c r="B10" s="711" t="s">
        <v>2930</v>
      </c>
      <c r="C10" s="711" t="s">
        <v>2907</v>
      </c>
      <c r="D10" s="711" t="s">
        <v>2908</v>
      </c>
      <c r="E10" s="711" t="s">
        <v>2909</v>
      </c>
      <c r="F10" s="720"/>
      <c r="G10" s="720"/>
      <c r="H10" s="720"/>
      <c r="I10" s="720"/>
      <c r="J10" s="720"/>
      <c r="K10" s="720"/>
      <c r="L10" s="720"/>
      <c r="M10" s="720"/>
      <c r="N10" s="720">
        <v>3</v>
      </c>
      <c r="O10" s="720">
        <v>102</v>
      </c>
      <c r="P10" s="716"/>
      <c r="Q10" s="721">
        <v>34</v>
      </c>
    </row>
    <row r="11" spans="1:17" ht="14.4" customHeight="1" x14ac:dyDescent="0.3">
      <c r="A11" s="710" t="s">
        <v>2963</v>
      </c>
      <c r="B11" s="711" t="s">
        <v>2930</v>
      </c>
      <c r="C11" s="711" t="s">
        <v>2907</v>
      </c>
      <c r="D11" s="711" t="s">
        <v>2914</v>
      </c>
      <c r="E11" s="711" t="s">
        <v>2915</v>
      </c>
      <c r="F11" s="720">
        <v>54</v>
      </c>
      <c r="G11" s="720">
        <v>17712</v>
      </c>
      <c r="H11" s="720">
        <v>1</v>
      </c>
      <c r="I11" s="720">
        <v>328</v>
      </c>
      <c r="J11" s="720">
        <v>66</v>
      </c>
      <c r="K11" s="720">
        <v>21582</v>
      </c>
      <c r="L11" s="720">
        <v>1.2184959349593496</v>
      </c>
      <c r="M11" s="720">
        <v>327</v>
      </c>
      <c r="N11" s="720">
        <v>50</v>
      </c>
      <c r="O11" s="720">
        <v>16350</v>
      </c>
      <c r="P11" s="716">
        <v>0.92310298102981025</v>
      </c>
      <c r="Q11" s="721">
        <v>327</v>
      </c>
    </row>
    <row r="12" spans="1:17" ht="14.4" customHeight="1" x14ac:dyDescent="0.3">
      <c r="A12" s="710" t="s">
        <v>2964</v>
      </c>
      <c r="B12" s="711" t="s">
        <v>2930</v>
      </c>
      <c r="C12" s="711" t="s">
        <v>2907</v>
      </c>
      <c r="D12" s="711" t="s">
        <v>2914</v>
      </c>
      <c r="E12" s="711" t="s">
        <v>2915</v>
      </c>
      <c r="F12" s="720">
        <v>9</v>
      </c>
      <c r="G12" s="720">
        <v>2952</v>
      </c>
      <c r="H12" s="720">
        <v>1</v>
      </c>
      <c r="I12" s="720">
        <v>328</v>
      </c>
      <c r="J12" s="720">
        <v>9</v>
      </c>
      <c r="K12" s="720">
        <v>2943</v>
      </c>
      <c r="L12" s="720">
        <v>0.99695121951219512</v>
      </c>
      <c r="M12" s="720">
        <v>327</v>
      </c>
      <c r="N12" s="720">
        <v>10</v>
      </c>
      <c r="O12" s="720">
        <v>3270</v>
      </c>
      <c r="P12" s="716">
        <v>1.1077235772357723</v>
      </c>
      <c r="Q12" s="721">
        <v>327</v>
      </c>
    </row>
    <row r="13" spans="1:17" ht="14.4" customHeight="1" x14ac:dyDescent="0.3">
      <c r="A13" s="710" t="s">
        <v>2965</v>
      </c>
      <c r="B13" s="711" t="s">
        <v>2930</v>
      </c>
      <c r="C13" s="711" t="s">
        <v>2907</v>
      </c>
      <c r="D13" s="711" t="s">
        <v>2914</v>
      </c>
      <c r="E13" s="711" t="s">
        <v>2915</v>
      </c>
      <c r="F13" s="720">
        <v>5</v>
      </c>
      <c r="G13" s="720">
        <v>1640</v>
      </c>
      <c r="H13" s="720">
        <v>1</v>
      </c>
      <c r="I13" s="720">
        <v>328</v>
      </c>
      <c r="J13" s="720">
        <v>4</v>
      </c>
      <c r="K13" s="720">
        <v>1308</v>
      </c>
      <c r="L13" s="720">
        <v>0.79756097560975614</v>
      </c>
      <c r="M13" s="720">
        <v>327</v>
      </c>
      <c r="N13" s="720">
        <v>1</v>
      </c>
      <c r="O13" s="720">
        <v>327</v>
      </c>
      <c r="P13" s="716">
        <v>0.19939024390243903</v>
      </c>
      <c r="Q13" s="721">
        <v>327</v>
      </c>
    </row>
    <row r="14" spans="1:17" ht="14.4" customHeight="1" x14ac:dyDescent="0.3">
      <c r="A14" s="710" t="s">
        <v>2966</v>
      </c>
      <c r="B14" s="711" t="s">
        <v>247</v>
      </c>
      <c r="C14" s="711" t="s">
        <v>2907</v>
      </c>
      <c r="D14" s="711" t="s">
        <v>2910</v>
      </c>
      <c r="E14" s="711" t="s">
        <v>2911</v>
      </c>
      <c r="F14" s="720"/>
      <c r="G14" s="720"/>
      <c r="H14" s="720"/>
      <c r="I14" s="720"/>
      <c r="J14" s="720"/>
      <c r="K14" s="720"/>
      <c r="L14" s="720"/>
      <c r="M14" s="720"/>
      <c r="N14" s="720">
        <v>1</v>
      </c>
      <c r="O14" s="720">
        <v>327</v>
      </c>
      <c r="P14" s="716"/>
      <c r="Q14" s="721">
        <v>327</v>
      </c>
    </row>
    <row r="15" spans="1:17" ht="14.4" customHeight="1" x14ac:dyDescent="0.3">
      <c r="A15" s="710" t="s">
        <v>2966</v>
      </c>
      <c r="B15" s="711" t="s">
        <v>2930</v>
      </c>
      <c r="C15" s="711" t="s">
        <v>2907</v>
      </c>
      <c r="D15" s="711" t="s">
        <v>2912</v>
      </c>
      <c r="E15" s="711" t="s">
        <v>2913</v>
      </c>
      <c r="F15" s="720"/>
      <c r="G15" s="720"/>
      <c r="H15" s="720"/>
      <c r="I15" s="720"/>
      <c r="J15" s="720"/>
      <c r="K15" s="720"/>
      <c r="L15" s="720"/>
      <c r="M15" s="720"/>
      <c r="N15" s="720">
        <v>1</v>
      </c>
      <c r="O15" s="720">
        <v>0</v>
      </c>
      <c r="P15" s="716"/>
      <c r="Q15" s="721">
        <v>0</v>
      </c>
    </row>
    <row r="16" spans="1:17" ht="14.4" customHeight="1" x14ac:dyDescent="0.3">
      <c r="A16" s="710" t="s">
        <v>2966</v>
      </c>
      <c r="B16" s="711" t="s">
        <v>2930</v>
      </c>
      <c r="C16" s="711" t="s">
        <v>2907</v>
      </c>
      <c r="D16" s="711" t="s">
        <v>2914</v>
      </c>
      <c r="E16" s="711" t="s">
        <v>2915</v>
      </c>
      <c r="F16" s="720">
        <v>6</v>
      </c>
      <c r="G16" s="720">
        <v>1968</v>
      </c>
      <c r="H16" s="720">
        <v>1</v>
      </c>
      <c r="I16" s="720">
        <v>328</v>
      </c>
      <c r="J16" s="720">
        <v>5</v>
      </c>
      <c r="K16" s="720">
        <v>1635</v>
      </c>
      <c r="L16" s="720">
        <v>0.83079268292682928</v>
      </c>
      <c r="M16" s="720">
        <v>327</v>
      </c>
      <c r="N16" s="720">
        <v>6</v>
      </c>
      <c r="O16" s="720">
        <v>1962</v>
      </c>
      <c r="P16" s="716">
        <v>0.99695121951219512</v>
      </c>
      <c r="Q16" s="721">
        <v>327</v>
      </c>
    </row>
    <row r="17" spans="1:17" ht="14.4" customHeight="1" x14ac:dyDescent="0.3">
      <c r="A17" s="710" t="s">
        <v>2967</v>
      </c>
      <c r="B17" s="711" t="s">
        <v>2930</v>
      </c>
      <c r="C17" s="711" t="s">
        <v>2907</v>
      </c>
      <c r="D17" s="711" t="s">
        <v>2908</v>
      </c>
      <c r="E17" s="711" t="s">
        <v>2909</v>
      </c>
      <c r="F17" s="720"/>
      <c r="G17" s="720"/>
      <c r="H17" s="720"/>
      <c r="I17" s="720"/>
      <c r="J17" s="720"/>
      <c r="K17" s="720"/>
      <c r="L17" s="720"/>
      <c r="M17" s="720"/>
      <c r="N17" s="720">
        <v>1</v>
      </c>
      <c r="O17" s="720">
        <v>34</v>
      </c>
      <c r="P17" s="716"/>
      <c r="Q17" s="721">
        <v>34</v>
      </c>
    </row>
    <row r="18" spans="1:17" ht="14.4" customHeight="1" x14ac:dyDescent="0.3">
      <c r="A18" s="710" t="s">
        <v>2967</v>
      </c>
      <c r="B18" s="711" t="s">
        <v>2968</v>
      </c>
      <c r="C18" s="711" t="s">
        <v>2907</v>
      </c>
      <c r="D18" s="711" t="s">
        <v>2969</v>
      </c>
      <c r="E18" s="711" t="s">
        <v>2970</v>
      </c>
      <c r="F18" s="720">
        <v>11</v>
      </c>
      <c r="G18" s="720">
        <v>0</v>
      </c>
      <c r="H18" s="720"/>
      <c r="I18" s="720">
        <v>0</v>
      </c>
      <c r="J18" s="720"/>
      <c r="K18" s="720"/>
      <c r="L18" s="720"/>
      <c r="M18" s="720"/>
      <c r="N18" s="720"/>
      <c r="O18" s="720"/>
      <c r="P18" s="716"/>
      <c r="Q18" s="721"/>
    </row>
    <row r="19" spans="1:17" ht="14.4" customHeight="1" x14ac:dyDescent="0.3">
      <c r="A19" s="710" t="s">
        <v>2971</v>
      </c>
      <c r="B19" s="711" t="s">
        <v>2930</v>
      </c>
      <c r="C19" s="711" t="s">
        <v>2907</v>
      </c>
      <c r="D19" s="711" t="s">
        <v>2914</v>
      </c>
      <c r="E19" s="711" t="s">
        <v>2915</v>
      </c>
      <c r="F19" s="720">
        <v>13</v>
      </c>
      <c r="G19" s="720">
        <v>4264</v>
      </c>
      <c r="H19" s="720">
        <v>1</v>
      </c>
      <c r="I19" s="720">
        <v>328</v>
      </c>
      <c r="J19" s="720">
        <v>4</v>
      </c>
      <c r="K19" s="720">
        <v>1308</v>
      </c>
      <c r="L19" s="720">
        <v>0.30675422138836772</v>
      </c>
      <c r="M19" s="720">
        <v>327</v>
      </c>
      <c r="N19" s="720">
        <v>13</v>
      </c>
      <c r="O19" s="720">
        <v>4251</v>
      </c>
      <c r="P19" s="716">
        <v>0.99695121951219512</v>
      </c>
      <c r="Q19" s="721">
        <v>327</v>
      </c>
    </row>
    <row r="20" spans="1:17" ht="14.4" customHeight="1" x14ac:dyDescent="0.3">
      <c r="A20" s="710" t="s">
        <v>2972</v>
      </c>
      <c r="B20" s="711" t="s">
        <v>2930</v>
      </c>
      <c r="C20" s="711" t="s">
        <v>2907</v>
      </c>
      <c r="D20" s="711" t="s">
        <v>2914</v>
      </c>
      <c r="E20" s="711" t="s">
        <v>2915</v>
      </c>
      <c r="F20" s="720"/>
      <c r="G20" s="720"/>
      <c r="H20" s="720"/>
      <c r="I20" s="720"/>
      <c r="J20" s="720"/>
      <c r="K20" s="720"/>
      <c r="L20" s="720"/>
      <c r="M20" s="720"/>
      <c r="N20" s="720">
        <v>2</v>
      </c>
      <c r="O20" s="720">
        <v>654</v>
      </c>
      <c r="P20" s="716"/>
      <c r="Q20" s="721">
        <v>327</v>
      </c>
    </row>
    <row r="21" spans="1:17" ht="14.4" customHeight="1" x14ac:dyDescent="0.3">
      <c r="A21" s="710" t="s">
        <v>2973</v>
      </c>
      <c r="B21" s="711" t="s">
        <v>2930</v>
      </c>
      <c r="C21" s="711" t="s">
        <v>2907</v>
      </c>
      <c r="D21" s="711" t="s">
        <v>2914</v>
      </c>
      <c r="E21" s="711" t="s">
        <v>2915</v>
      </c>
      <c r="F21" s="720"/>
      <c r="G21" s="720"/>
      <c r="H21" s="720"/>
      <c r="I21" s="720"/>
      <c r="J21" s="720"/>
      <c r="K21" s="720"/>
      <c r="L21" s="720"/>
      <c r="M21" s="720"/>
      <c r="N21" s="720">
        <v>2</v>
      </c>
      <c r="O21" s="720">
        <v>654</v>
      </c>
      <c r="P21" s="716"/>
      <c r="Q21" s="721">
        <v>327</v>
      </c>
    </row>
    <row r="22" spans="1:17" ht="14.4" customHeight="1" x14ac:dyDescent="0.3">
      <c r="A22" s="710" t="s">
        <v>2974</v>
      </c>
      <c r="B22" s="711" t="s">
        <v>2930</v>
      </c>
      <c r="C22" s="711" t="s">
        <v>2907</v>
      </c>
      <c r="D22" s="711" t="s">
        <v>2908</v>
      </c>
      <c r="E22" s="711" t="s">
        <v>2909</v>
      </c>
      <c r="F22" s="720"/>
      <c r="G22" s="720"/>
      <c r="H22" s="720"/>
      <c r="I22" s="720"/>
      <c r="J22" s="720"/>
      <c r="K22" s="720"/>
      <c r="L22" s="720"/>
      <c r="M22" s="720"/>
      <c r="N22" s="720">
        <v>2</v>
      </c>
      <c r="O22" s="720">
        <v>68</v>
      </c>
      <c r="P22" s="716"/>
      <c r="Q22" s="721">
        <v>34</v>
      </c>
    </row>
    <row r="23" spans="1:17" ht="14.4" customHeight="1" x14ac:dyDescent="0.3">
      <c r="A23" s="710" t="s">
        <v>2974</v>
      </c>
      <c r="B23" s="711" t="s">
        <v>2930</v>
      </c>
      <c r="C23" s="711" t="s">
        <v>2907</v>
      </c>
      <c r="D23" s="711" t="s">
        <v>2914</v>
      </c>
      <c r="E23" s="711" t="s">
        <v>2915</v>
      </c>
      <c r="F23" s="720">
        <v>28</v>
      </c>
      <c r="G23" s="720">
        <v>9184</v>
      </c>
      <c r="H23" s="720">
        <v>1</v>
      </c>
      <c r="I23" s="720">
        <v>328</v>
      </c>
      <c r="J23" s="720">
        <v>30</v>
      </c>
      <c r="K23" s="720">
        <v>9810</v>
      </c>
      <c r="L23" s="720">
        <v>1.0681620209059233</v>
      </c>
      <c r="M23" s="720">
        <v>327</v>
      </c>
      <c r="N23" s="720">
        <v>34</v>
      </c>
      <c r="O23" s="720">
        <v>11118</v>
      </c>
      <c r="P23" s="716">
        <v>1.2105836236933798</v>
      </c>
      <c r="Q23" s="721">
        <v>327</v>
      </c>
    </row>
    <row r="24" spans="1:17" ht="14.4" customHeight="1" x14ac:dyDescent="0.3">
      <c r="A24" s="710" t="s">
        <v>2975</v>
      </c>
      <c r="B24" s="711" t="s">
        <v>2930</v>
      </c>
      <c r="C24" s="711" t="s">
        <v>2907</v>
      </c>
      <c r="D24" s="711" t="s">
        <v>2914</v>
      </c>
      <c r="E24" s="711" t="s">
        <v>2915</v>
      </c>
      <c r="F24" s="720">
        <v>2</v>
      </c>
      <c r="G24" s="720">
        <v>656</v>
      </c>
      <c r="H24" s="720">
        <v>1</v>
      </c>
      <c r="I24" s="720">
        <v>328</v>
      </c>
      <c r="J24" s="720"/>
      <c r="K24" s="720"/>
      <c r="L24" s="720"/>
      <c r="M24" s="720"/>
      <c r="N24" s="720"/>
      <c r="O24" s="720"/>
      <c r="P24" s="716"/>
      <c r="Q24" s="721"/>
    </row>
    <row r="25" spans="1:17" ht="14.4" customHeight="1" x14ac:dyDescent="0.3">
      <c r="A25" s="710" t="s">
        <v>2976</v>
      </c>
      <c r="B25" s="711" t="s">
        <v>2930</v>
      </c>
      <c r="C25" s="711" t="s">
        <v>2907</v>
      </c>
      <c r="D25" s="711" t="s">
        <v>2914</v>
      </c>
      <c r="E25" s="711" t="s">
        <v>2915</v>
      </c>
      <c r="F25" s="720">
        <v>3</v>
      </c>
      <c r="G25" s="720">
        <v>984</v>
      </c>
      <c r="H25" s="720">
        <v>1</v>
      </c>
      <c r="I25" s="720">
        <v>328</v>
      </c>
      <c r="J25" s="720">
        <v>1</v>
      </c>
      <c r="K25" s="720">
        <v>327</v>
      </c>
      <c r="L25" s="720">
        <v>0.33231707317073172</v>
      </c>
      <c r="M25" s="720">
        <v>327</v>
      </c>
      <c r="N25" s="720"/>
      <c r="O25" s="720"/>
      <c r="P25" s="716"/>
      <c r="Q25" s="721"/>
    </row>
    <row r="26" spans="1:17" ht="14.4" customHeight="1" x14ac:dyDescent="0.3">
      <c r="A26" s="710" t="s">
        <v>2977</v>
      </c>
      <c r="B26" s="711" t="s">
        <v>247</v>
      </c>
      <c r="C26" s="711" t="s">
        <v>2907</v>
      </c>
      <c r="D26" s="711" t="s">
        <v>2910</v>
      </c>
      <c r="E26" s="711" t="s">
        <v>2911</v>
      </c>
      <c r="F26" s="720">
        <v>1</v>
      </c>
      <c r="G26" s="720">
        <v>433</v>
      </c>
      <c r="H26" s="720">
        <v>1</v>
      </c>
      <c r="I26" s="720">
        <v>433</v>
      </c>
      <c r="J26" s="720"/>
      <c r="K26" s="720"/>
      <c r="L26" s="720"/>
      <c r="M26" s="720"/>
      <c r="N26" s="720"/>
      <c r="O26" s="720"/>
      <c r="P26" s="716"/>
      <c r="Q26" s="721"/>
    </row>
    <row r="27" spans="1:17" ht="14.4" customHeight="1" x14ac:dyDescent="0.3">
      <c r="A27" s="710" t="s">
        <v>2977</v>
      </c>
      <c r="B27" s="711" t="s">
        <v>2930</v>
      </c>
      <c r="C27" s="711" t="s">
        <v>2907</v>
      </c>
      <c r="D27" s="711" t="s">
        <v>2914</v>
      </c>
      <c r="E27" s="711" t="s">
        <v>2915</v>
      </c>
      <c r="F27" s="720"/>
      <c r="G27" s="720"/>
      <c r="H27" s="720"/>
      <c r="I27" s="720"/>
      <c r="J27" s="720">
        <v>1</v>
      </c>
      <c r="K27" s="720">
        <v>327</v>
      </c>
      <c r="L27" s="720"/>
      <c r="M27" s="720">
        <v>327</v>
      </c>
      <c r="N27" s="720"/>
      <c r="O27" s="720"/>
      <c r="P27" s="716"/>
      <c r="Q27" s="721"/>
    </row>
    <row r="28" spans="1:17" ht="14.4" customHeight="1" x14ac:dyDescent="0.3">
      <c r="A28" s="710" t="s">
        <v>2978</v>
      </c>
      <c r="B28" s="711" t="s">
        <v>2930</v>
      </c>
      <c r="C28" s="711" t="s">
        <v>2907</v>
      </c>
      <c r="D28" s="711" t="s">
        <v>2914</v>
      </c>
      <c r="E28" s="711" t="s">
        <v>2915</v>
      </c>
      <c r="F28" s="720">
        <v>2</v>
      </c>
      <c r="G28" s="720">
        <v>656</v>
      </c>
      <c r="H28" s="720">
        <v>1</v>
      </c>
      <c r="I28" s="720">
        <v>328</v>
      </c>
      <c r="J28" s="720">
        <v>3</v>
      </c>
      <c r="K28" s="720">
        <v>981</v>
      </c>
      <c r="L28" s="720">
        <v>1.4954268292682926</v>
      </c>
      <c r="M28" s="720">
        <v>327</v>
      </c>
      <c r="N28" s="720"/>
      <c r="O28" s="720"/>
      <c r="P28" s="716"/>
      <c r="Q28" s="721"/>
    </row>
    <row r="29" spans="1:17" ht="14.4" customHeight="1" x14ac:dyDescent="0.3">
      <c r="A29" s="710" t="s">
        <v>499</v>
      </c>
      <c r="B29" s="711" t="s">
        <v>2968</v>
      </c>
      <c r="C29" s="711" t="s">
        <v>2901</v>
      </c>
      <c r="D29" s="711" t="s">
        <v>2979</v>
      </c>
      <c r="E29" s="711" t="s">
        <v>2980</v>
      </c>
      <c r="F29" s="720"/>
      <c r="G29" s="720"/>
      <c r="H29" s="720"/>
      <c r="I29" s="720"/>
      <c r="J29" s="720">
        <v>8</v>
      </c>
      <c r="K29" s="720">
        <v>666.4</v>
      </c>
      <c r="L29" s="720"/>
      <c r="M29" s="720">
        <v>83.3</v>
      </c>
      <c r="N29" s="720"/>
      <c r="O29" s="720"/>
      <c r="P29" s="716"/>
      <c r="Q29" s="721"/>
    </row>
    <row r="30" spans="1:17" ht="14.4" customHeight="1" x14ac:dyDescent="0.3">
      <c r="A30" s="710" t="s">
        <v>499</v>
      </c>
      <c r="B30" s="711" t="s">
        <v>2968</v>
      </c>
      <c r="C30" s="711" t="s">
        <v>2901</v>
      </c>
      <c r="D30" s="711" t="s">
        <v>2981</v>
      </c>
      <c r="E30" s="711" t="s">
        <v>2982</v>
      </c>
      <c r="F30" s="720"/>
      <c r="G30" s="720"/>
      <c r="H30" s="720"/>
      <c r="I30" s="720"/>
      <c r="J30" s="720">
        <v>8</v>
      </c>
      <c r="K30" s="720">
        <v>672.64</v>
      </c>
      <c r="L30" s="720"/>
      <c r="M30" s="720">
        <v>84.08</v>
      </c>
      <c r="N30" s="720">
        <v>4</v>
      </c>
      <c r="O30" s="720">
        <v>336.32</v>
      </c>
      <c r="P30" s="716"/>
      <c r="Q30" s="721">
        <v>84.08</v>
      </c>
    </row>
    <row r="31" spans="1:17" ht="14.4" customHeight="1" x14ac:dyDescent="0.3">
      <c r="A31" s="710" t="s">
        <v>499</v>
      </c>
      <c r="B31" s="711" t="s">
        <v>2968</v>
      </c>
      <c r="C31" s="711" t="s">
        <v>2901</v>
      </c>
      <c r="D31" s="711" t="s">
        <v>2983</v>
      </c>
      <c r="E31" s="711" t="s">
        <v>1788</v>
      </c>
      <c r="F31" s="720">
        <v>28</v>
      </c>
      <c r="G31" s="720">
        <v>2652.27</v>
      </c>
      <c r="H31" s="720">
        <v>1</v>
      </c>
      <c r="I31" s="720">
        <v>94.723928571428573</v>
      </c>
      <c r="J31" s="720">
        <v>9</v>
      </c>
      <c r="K31" s="720">
        <v>549.45000000000005</v>
      </c>
      <c r="L31" s="720">
        <v>0.20716216674772933</v>
      </c>
      <c r="M31" s="720">
        <v>61.050000000000004</v>
      </c>
      <c r="N31" s="720"/>
      <c r="O31" s="720"/>
      <c r="P31" s="716"/>
      <c r="Q31" s="721"/>
    </row>
    <row r="32" spans="1:17" ht="14.4" customHeight="1" x14ac:dyDescent="0.3">
      <c r="A32" s="710" t="s">
        <v>499</v>
      </c>
      <c r="B32" s="711" t="s">
        <v>2968</v>
      </c>
      <c r="C32" s="711" t="s">
        <v>2901</v>
      </c>
      <c r="D32" s="711" t="s">
        <v>2984</v>
      </c>
      <c r="E32" s="711" t="s">
        <v>2985</v>
      </c>
      <c r="F32" s="720">
        <v>2</v>
      </c>
      <c r="G32" s="720">
        <v>1364.87</v>
      </c>
      <c r="H32" s="720">
        <v>1</v>
      </c>
      <c r="I32" s="720">
        <v>682.43499999999995</v>
      </c>
      <c r="J32" s="720">
        <v>1.5</v>
      </c>
      <c r="K32" s="720">
        <v>662.16</v>
      </c>
      <c r="L32" s="720">
        <v>0.485145105394653</v>
      </c>
      <c r="M32" s="720">
        <v>441.44</v>
      </c>
      <c r="N32" s="720"/>
      <c r="O32" s="720"/>
      <c r="P32" s="716"/>
      <c r="Q32" s="721"/>
    </row>
    <row r="33" spans="1:17" ht="14.4" customHeight="1" x14ac:dyDescent="0.3">
      <c r="A33" s="710" t="s">
        <v>499</v>
      </c>
      <c r="B33" s="711" t="s">
        <v>2968</v>
      </c>
      <c r="C33" s="711" t="s">
        <v>2901</v>
      </c>
      <c r="D33" s="711" t="s">
        <v>2986</v>
      </c>
      <c r="E33" s="711" t="s">
        <v>2987</v>
      </c>
      <c r="F33" s="720">
        <v>23</v>
      </c>
      <c r="G33" s="720">
        <v>1908.44</v>
      </c>
      <c r="H33" s="720">
        <v>1</v>
      </c>
      <c r="I33" s="720">
        <v>82.975652173913048</v>
      </c>
      <c r="J33" s="720">
        <v>38</v>
      </c>
      <c r="K33" s="720">
        <v>2200.88</v>
      </c>
      <c r="L33" s="720">
        <v>1.1532351030160759</v>
      </c>
      <c r="M33" s="720">
        <v>57.917894736842108</v>
      </c>
      <c r="N33" s="720">
        <v>3</v>
      </c>
      <c r="O33" s="720">
        <v>121.08</v>
      </c>
      <c r="P33" s="716">
        <v>6.3444488692335099E-2</v>
      </c>
      <c r="Q33" s="721">
        <v>40.36</v>
      </c>
    </row>
    <row r="34" spans="1:17" ht="14.4" customHeight="1" x14ac:dyDescent="0.3">
      <c r="A34" s="710" t="s">
        <v>499</v>
      </c>
      <c r="B34" s="711" t="s">
        <v>2968</v>
      </c>
      <c r="C34" s="711" t="s">
        <v>2901</v>
      </c>
      <c r="D34" s="711" t="s">
        <v>2988</v>
      </c>
      <c r="E34" s="711" t="s">
        <v>2898</v>
      </c>
      <c r="F34" s="720">
        <v>1</v>
      </c>
      <c r="G34" s="720">
        <v>313.17</v>
      </c>
      <c r="H34" s="720">
        <v>1</v>
      </c>
      <c r="I34" s="720">
        <v>313.17</v>
      </c>
      <c r="J34" s="720">
        <v>11</v>
      </c>
      <c r="K34" s="720">
        <v>2990.79</v>
      </c>
      <c r="L34" s="720">
        <v>9.5500526870389884</v>
      </c>
      <c r="M34" s="720">
        <v>271.89</v>
      </c>
      <c r="N34" s="720"/>
      <c r="O34" s="720"/>
      <c r="P34" s="716"/>
      <c r="Q34" s="721"/>
    </row>
    <row r="35" spans="1:17" ht="14.4" customHeight="1" x14ac:dyDescent="0.3">
      <c r="A35" s="710" t="s">
        <v>499</v>
      </c>
      <c r="B35" s="711" t="s">
        <v>2968</v>
      </c>
      <c r="C35" s="711" t="s">
        <v>2901</v>
      </c>
      <c r="D35" s="711" t="s">
        <v>2989</v>
      </c>
      <c r="E35" s="711" t="s">
        <v>2025</v>
      </c>
      <c r="F35" s="720">
        <v>17.200000000000003</v>
      </c>
      <c r="G35" s="720">
        <v>10190.459999999999</v>
      </c>
      <c r="H35" s="720">
        <v>1</v>
      </c>
      <c r="I35" s="720">
        <v>592.46860465116265</v>
      </c>
      <c r="J35" s="720">
        <v>30.8</v>
      </c>
      <c r="K35" s="720">
        <v>11665.939999999999</v>
      </c>
      <c r="L35" s="720">
        <v>1.1447903234986447</v>
      </c>
      <c r="M35" s="720">
        <v>378.76428571428568</v>
      </c>
      <c r="N35" s="720">
        <v>12.6</v>
      </c>
      <c r="O35" s="720">
        <v>4784.8500000000004</v>
      </c>
      <c r="P35" s="716">
        <v>0.46954210114165612</v>
      </c>
      <c r="Q35" s="721">
        <v>379.75000000000006</v>
      </c>
    </row>
    <row r="36" spans="1:17" ht="14.4" customHeight="1" x14ac:dyDescent="0.3">
      <c r="A36" s="710" t="s">
        <v>499</v>
      </c>
      <c r="B36" s="711" t="s">
        <v>2968</v>
      </c>
      <c r="C36" s="711" t="s">
        <v>2901</v>
      </c>
      <c r="D36" s="711" t="s">
        <v>2990</v>
      </c>
      <c r="E36" s="711" t="s">
        <v>2032</v>
      </c>
      <c r="F36" s="720">
        <v>8</v>
      </c>
      <c r="G36" s="720">
        <v>839.04</v>
      </c>
      <c r="H36" s="720">
        <v>1</v>
      </c>
      <c r="I36" s="720">
        <v>104.88</v>
      </c>
      <c r="J36" s="720">
        <v>10</v>
      </c>
      <c r="K36" s="720">
        <v>409.5</v>
      </c>
      <c r="L36" s="720">
        <v>0.48805778032036617</v>
      </c>
      <c r="M36" s="720">
        <v>40.950000000000003</v>
      </c>
      <c r="N36" s="720">
        <v>18</v>
      </c>
      <c r="O36" s="720">
        <v>737.1</v>
      </c>
      <c r="P36" s="716">
        <v>0.87850400457665911</v>
      </c>
      <c r="Q36" s="721">
        <v>40.950000000000003</v>
      </c>
    </row>
    <row r="37" spans="1:17" ht="14.4" customHeight="1" x14ac:dyDescent="0.3">
      <c r="A37" s="710" t="s">
        <v>499</v>
      </c>
      <c r="B37" s="711" t="s">
        <v>2968</v>
      </c>
      <c r="C37" s="711" t="s">
        <v>2901</v>
      </c>
      <c r="D37" s="711" t="s">
        <v>2991</v>
      </c>
      <c r="E37" s="711" t="s">
        <v>2992</v>
      </c>
      <c r="F37" s="720"/>
      <c r="G37" s="720"/>
      <c r="H37" s="720"/>
      <c r="I37" s="720"/>
      <c r="J37" s="720">
        <v>17</v>
      </c>
      <c r="K37" s="720">
        <v>348.16</v>
      </c>
      <c r="L37" s="720"/>
      <c r="M37" s="720">
        <v>20.48</v>
      </c>
      <c r="N37" s="720"/>
      <c r="O37" s="720"/>
      <c r="P37" s="716"/>
      <c r="Q37" s="721"/>
    </row>
    <row r="38" spans="1:17" ht="14.4" customHeight="1" x14ac:dyDescent="0.3">
      <c r="A38" s="710" t="s">
        <v>499</v>
      </c>
      <c r="B38" s="711" t="s">
        <v>2968</v>
      </c>
      <c r="C38" s="711" t="s">
        <v>2901</v>
      </c>
      <c r="D38" s="711" t="s">
        <v>2993</v>
      </c>
      <c r="E38" s="711" t="s">
        <v>2994</v>
      </c>
      <c r="F38" s="720"/>
      <c r="G38" s="720"/>
      <c r="H38" s="720"/>
      <c r="I38" s="720"/>
      <c r="J38" s="720">
        <v>3</v>
      </c>
      <c r="K38" s="720">
        <v>11777.7</v>
      </c>
      <c r="L38" s="720"/>
      <c r="M38" s="720">
        <v>3925.9</v>
      </c>
      <c r="N38" s="720"/>
      <c r="O38" s="720"/>
      <c r="P38" s="716"/>
      <c r="Q38" s="721"/>
    </row>
    <row r="39" spans="1:17" ht="14.4" customHeight="1" x14ac:dyDescent="0.3">
      <c r="A39" s="710" t="s">
        <v>499</v>
      </c>
      <c r="B39" s="711" t="s">
        <v>2968</v>
      </c>
      <c r="C39" s="711" t="s">
        <v>2901</v>
      </c>
      <c r="D39" s="711" t="s">
        <v>2995</v>
      </c>
      <c r="E39" s="711" t="s">
        <v>2996</v>
      </c>
      <c r="F39" s="720">
        <v>0.7</v>
      </c>
      <c r="G39" s="720">
        <v>330.71</v>
      </c>
      <c r="H39" s="720">
        <v>1</v>
      </c>
      <c r="I39" s="720">
        <v>472.44285714285712</v>
      </c>
      <c r="J39" s="720"/>
      <c r="K39" s="720"/>
      <c r="L39" s="720"/>
      <c r="M39" s="720"/>
      <c r="N39" s="720"/>
      <c r="O39" s="720"/>
      <c r="P39" s="716"/>
      <c r="Q39" s="721"/>
    </row>
    <row r="40" spans="1:17" ht="14.4" customHeight="1" x14ac:dyDescent="0.3">
      <c r="A40" s="710" t="s">
        <v>499</v>
      </c>
      <c r="B40" s="711" t="s">
        <v>2968</v>
      </c>
      <c r="C40" s="711" t="s">
        <v>2901</v>
      </c>
      <c r="D40" s="711" t="s">
        <v>2997</v>
      </c>
      <c r="E40" s="711" t="s">
        <v>2998</v>
      </c>
      <c r="F40" s="720"/>
      <c r="G40" s="720"/>
      <c r="H40" s="720"/>
      <c r="I40" s="720"/>
      <c r="J40" s="720">
        <v>8</v>
      </c>
      <c r="K40" s="720">
        <v>1642.64</v>
      </c>
      <c r="L40" s="720"/>
      <c r="M40" s="720">
        <v>205.33</v>
      </c>
      <c r="N40" s="720"/>
      <c r="O40" s="720"/>
      <c r="P40" s="716"/>
      <c r="Q40" s="721"/>
    </row>
    <row r="41" spans="1:17" ht="14.4" customHeight="1" x14ac:dyDescent="0.3">
      <c r="A41" s="710" t="s">
        <v>499</v>
      </c>
      <c r="B41" s="711" t="s">
        <v>2968</v>
      </c>
      <c r="C41" s="711" t="s">
        <v>2901</v>
      </c>
      <c r="D41" s="711" t="s">
        <v>2999</v>
      </c>
      <c r="E41" s="711" t="s">
        <v>3000</v>
      </c>
      <c r="F41" s="720">
        <v>4.5999999999999996</v>
      </c>
      <c r="G41" s="720">
        <v>409.25</v>
      </c>
      <c r="H41" s="720">
        <v>1</v>
      </c>
      <c r="I41" s="720">
        <v>88.967391304347828</v>
      </c>
      <c r="J41" s="720">
        <v>5.7</v>
      </c>
      <c r="K41" s="720">
        <v>551.66</v>
      </c>
      <c r="L41" s="720">
        <v>1.3479780085522297</v>
      </c>
      <c r="M41" s="720">
        <v>96.782456140350874</v>
      </c>
      <c r="N41" s="720">
        <v>2.1</v>
      </c>
      <c r="O41" s="720">
        <v>203.63</v>
      </c>
      <c r="P41" s="716">
        <v>0.4975687232742822</v>
      </c>
      <c r="Q41" s="721">
        <v>96.966666666666654</v>
      </c>
    </row>
    <row r="42" spans="1:17" ht="14.4" customHeight="1" x14ac:dyDescent="0.3">
      <c r="A42" s="710" t="s">
        <v>499</v>
      </c>
      <c r="B42" s="711" t="s">
        <v>2968</v>
      </c>
      <c r="C42" s="711" t="s">
        <v>2901</v>
      </c>
      <c r="D42" s="711" t="s">
        <v>3001</v>
      </c>
      <c r="E42" s="711" t="s">
        <v>3002</v>
      </c>
      <c r="F42" s="720"/>
      <c r="G42" s="720"/>
      <c r="H42" s="720"/>
      <c r="I42" s="720"/>
      <c r="J42" s="720">
        <v>0.35</v>
      </c>
      <c r="K42" s="720">
        <v>280</v>
      </c>
      <c r="L42" s="720"/>
      <c r="M42" s="720">
        <v>800</v>
      </c>
      <c r="N42" s="720"/>
      <c r="O42" s="720"/>
      <c r="P42" s="716"/>
      <c r="Q42" s="721"/>
    </row>
    <row r="43" spans="1:17" ht="14.4" customHeight="1" x14ac:dyDescent="0.3">
      <c r="A43" s="710" t="s">
        <v>499</v>
      </c>
      <c r="B43" s="711" t="s">
        <v>2968</v>
      </c>
      <c r="C43" s="711" t="s">
        <v>2901</v>
      </c>
      <c r="D43" s="711" t="s">
        <v>3003</v>
      </c>
      <c r="E43" s="711" t="s">
        <v>3004</v>
      </c>
      <c r="F43" s="720"/>
      <c r="G43" s="720"/>
      <c r="H43" s="720"/>
      <c r="I43" s="720"/>
      <c r="J43" s="720">
        <v>0.3</v>
      </c>
      <c r="K43" s="720">
        <v>647.58000000000004</v>
      </c>
      <c r="L43" s="720"/>
      <c r="M43" s="720">
        <v>2158.6000000000004</v>
      </c>
      <c r="N43" s="720"/>
      <c r="O43" s="720"/>
      <c r="P43" s="716"/>
      <c r="Q43" s="721"/>
    </row>
    <row r="44" spans="1:17" ht="14.4" customHeight="1" x14ac:dyDescent="0.3">
      <c r="A44" s="710" t="s">
        <v>499</v>
      </c>
      <c r="B44" s="711" t="s">
        <v>2968</v>
      </c>
      <c r="C44" s="711" t="s">
        <v>2901</v>
      </c>
      <c r="D44" s="711" t="s">
        <v>3005</v>
      </c>
      <c r="E44" s="711" t="s">
        <v>1795</v>
      </c>
      <c r="F44" s="720"/>
      <c r="G44" s="720"/>
      <c r="H44" s="720"/>
      <c r="I44" s="720"/>
      <c r="J44" s="720"/>
      <c r="K44" s="720"/>
      <c r="L44" s="720"/>
      <c r="M44" s="720"/>
      <c r="N44" s="720">
        <v>2.6</v>
      </c>
      <c r="O44" s="720">
        <v>1630.46</v>
      </c>
      <c r="P44" s="716"/>
      <c r="Q44" s="721">
        <v>627.1</v>
      </c>
    </row>
    <row r="45" spans="1:17" ht="14.4" customHeight="1" x14ac:dyDescent="0.3">
      <c r="A45" s="710" t="s">
        <v>499</v>
      </c>
      <c r="B45" s="711" t="s">
        <v>2968</v>
      </c>
      <c r="C45" s="711" t="s">
        <v>2901</v>
      </c>
      <c r="D45" s="711" t="s">
        <v>3006</v>
      </c>
      <c r="E45" s="711" t="s">
        <v>3007</v>
      </c>
      <c r="F45" s="720"/>
      <c r="G45" s="720"/>
      <c r="H45" s="720"/>
      <c r="I45" s="720"/>
      <c r="J45" s="720">
        <v>9</v>
      </c>
      <c r="K45" s="720">
        <v>2461.29</v>
      </c>
      <c r="L45" s="720"/>
      <c r="M45" s="720">
        <v>273.47666666666669</v>
      </c>
      <c r="N45" s="720"/>
      <c r="O45" s="720"/>
      <c r="P45" s="716"/>
      <c r="Q45" s="721"/>
    </row>
    <row r="46" spans="1:17" ht="14.4" customHeight="1" x14ac:dyDescent="0.3">
      <c r="A46" s="710" t="s">
        <v>499</v>
      </c>
      <c r="B46" s="711" t="s">
        <v>2968</v>
      </c>
      <c r="C46" s="711" t="s">
        <v>2901</v>
      </c>
      <c r="D46" s="711" t="s">
        <v>3008</v>
      </c>
      <c r="E46" s="711" t="s">
        <v>1811</v>
      </c>
      <c r="F46" s="720"/>
      <c r="G46" s="720"/>
      <c r="H46" s="720"/>
      <c r="I46" s="720"/>
      <c r="J46" s="720">
        <v>0.7</v>
      </c>
      <c r="K46" s="720">
        <v>804.96</v>
      </c>
      <c r="L46" s="720"/>
      <c r="M46" s="720">
        <v>1149.9428571428573</v>
      </c>
      <c r="N46" s="720"/>
      <c r="O46" s="720"/>
      <c r="P46" s="716"/>
      <c r="Q46" s="721"/>
    </row>
    <row r="47" spans="1:17" ht="14.4" customHeight="1" x14ac:dyDescent="0.3">
      <c r="A47" s="710" t="s">
        <v>499</v>
      </c>
      <c r="B47" s="711" t="s">
        <v>2968</v>
      </c>
      <c r="C47" s="711" t="s">
        <v>2901</v>
      </c>
      <c r="D47" s="711" t="s">
        <v>3009</v>
      </c>
      <c r="E47" s="711" t="s">
        <v>3010</v>
      </c>
      <c r="F47" s="720"/>
      <c r="G47" s="720"/>
      <c r="H47" s="720"/>
      <c r="I47" s="720"/>
      <c r="J47" s="720">
        <v>0.92</v>
      </c>
      <c r="K47" s="720">
        <v>3326.91</v>
      </c>
      <c r="L47" s="720"/>
      <c r="M47" s="720">
        <v>3616.20652173913</v>
      </c>
      <c r="N47" s="720">
        <v>1.33</v>
      </c>
      <c r="O47" s="720">
        <v>4836.17</v>
      </c>
      <c r="P47" s="716"/>
      <c r="Q47" s="721">
        <v>3636.218045112782</v>
      </c>
    </row>
    <row r="48" spans="1:17" ht="14.4" customHeight="1" x14ac:dyDescent="0.3">
      <c r="A48" s="710" t="s">
        <v>499</v>
      </c>
      <c r="B48" s="711" t="s">
        <v>2968</v>
      </c>
      <c r="C48" s="711" t="s">
        <v>3011</v>
      </c>
      <c r="D48" s="711" t="s">
        <v>3012</v>
      </c>
      <c r="E48" s="711" t="s">
        <v>3013</v>
      </c>
      <c r="F48" s="720">
        <v>3</v>
      </c>
      <c r="G48" s="720">
        <v>5346.16</v>
      </c>
      <c r="H48" s="720">
        <v>1</v>
      </c>
      <c r="I48" s="720">
        <v>1782.0533333333333</v>
      </c>
      <c r="J48" s="720">
        <v>7</v>
      </c>
      <c r="K48" s="720">
        <v>12818.74</v>
      </c>
      <c r="L48" s="720">
        <v>2.3977471680608136</v>
      </c>
      <c r="M48" s="720">
        <v>1831.2485714285715</v>
      </c>
      <c r="N48" s="720">
        <v>2</v>
      </c>
      <c r="O48" s="720">
        <v>3731.16</v>
      </c>
      <c r="P48" s="716">
        <v>0.69791401678962095</v>
      </c>
      <c r="Q48" s="721">
        <v>1865.58</v>
      </c>
    </row>
    <row r="49" spans="1:17" ht="14.4" customHeight="1" x14ac:dyDescent="0.3">
      <c r="A49" s="710" t="s">
        <v>499</v>
      </c>
      <c r="B49" s="711" t="s">
        <v>2968</v>
      </c>
      <c r="C49" s="711" t="s">
        <v>3011</v>
      </c>
      <c r="D49" s="711" t="s">
        <v>3014</v>
      </c>
      <c r="E49" s="711" t="s">
        <v>3015</v>
      </c>
      <c r="F49" s="720">
        <v>1</v>
      </c>
      <c r="G49" s="720">
        <v>9039.01</v>
      </c>
      <c r="H49" s="720">
        <v>1</v>
      </c>
      <c r="I49" s="720">
        <v>9039.01</v>
      </c>
      <c r="J49" s="720"/>
      <c r="K49" s="720"/>
      <c r="L49" s="720"/>
      <c r="M49" s="720"/>
      <c r="N49" s="720"/>
      <c r="O49" s="720"/>
      <c r="P49" s="716"/>
      <c r="Q49" s="721"/>
    </row>
    <row r="50" spans="1:17" ht="14.4" customHeight="1" x14ac:dyDescent="0.3">
      <c r="A50" s="710" t="s">
        <v>499</v>
      </c>
      <c r="B50" s="711" t="s">
        <v>2968</v>
      </c>
      <c r="C50" s="711" t="s">
        <v>3016</v>
      </c>
      <c r="D50" s="711" t="s">
        <v>3017</v>
      </c>
      <c r="E50" s="711" t="s">
        <v>3018</v>
      </c>
      <c r="F50" s="720">
        <v>1</v>
      </c>
      <c r="G50" s="720">
        <v>28950</v>
      </c>
      <c r="H50" s="720">
        <v>1</v>
      </c>
      <c r="I50" s="720">
        <v>28950</v>
      </c>
      <c r="J50" s="720"/>
      <c r="K50" s="720"/>
      <c r="L50" s="720"/>
      <c r="M50" s="720"/>
      <c r="N50" s="720"/>
      <c r="O50" s="720"/>
      <c r="P50" s="716"/>
      <c r="Q50" s="721"/>
    </row>
    <row r="51" spans="1:17" ht="14.4" customHeight="1" x14ac:dyDescent="0.3">
      <c r="A51" s="710" t="s">
        <v>499</v>
      </c>
      <c r="B51" s="711" t="s">
        <v>2968</v>
      </c>
      <c r="C51" s="711" t="s">
        <v>3016</v>
      </c>
      <c r="D51" s="711" t="s">
        <v>3019</v>
      </c>
      <c r="E51" s="711" t="s">
        <v>3020</v>
      </c>
      <c r="F51" s="720">
        <v>1</v>
      </c>
      <c r="G51" s="720">
        <v>1796</v>
      </c>
      <c r="H51" s="720">
        <v>1</v>
      </c>
      <c r="I51" s="720">
        <v>1796</v>
      </c>
      <c r="J51" s="720"/>
      <c r="K51" s="720"/>
      <c r="L51" s="720"/>
      <c r="M51" s="720"/>
      <c r="N51" s="720"/>
      <c r="O51" s="720"/>
      <c r="P51" s="716"/>
      <c r="Q51" s="721"/>
    </row>
    <row r="52" spans="1:17" ht="14.4" customHeight="1" x14ac:dyDescent="0.3">
      <c r="A52" s="710" t="s">
        <v>499</v>
      </c>
      <c r="B52" s="711" t="s">
        <v>2968</v>
      </c>
      <c r="C52" s="711" t="s">
        <v>3016</v>
      </c>
      <c r="D52" s="711" t="s">
        <v>3021</v>
      </c>
      <c r="E52" s="711" t="s">
        <v>3022</v>
      </c>
      <c r="F52" s="720">
        <v>1</v>
      </c>
      <c r="G52" s="720">
        <v>1796</v>
      </c>
      <c r="H52" s="720">
        <v>1</v>
      </c>
      <c r="I52" s="720">
        <v>1796</v>
      </c>
      <c r="J52" s="720"/>
      <c r="K52" s="720"/>
      <c r="L52" s="720"/>
      <c r="M52" s="720"/>
      <c r="N52" s="720"/>
      <c r="O52" s="720"/>
      <c r="P52" s="716"/>
      <c r="Q52" s="721"/>
    </row>
    <row r="53" spans="1:17" ht="14.4" customHeight="1" x14ac:dyDescent="0.3">
      <c r="A53" s="710" t="s">
        <v>499</v>
      </c>
      <c r="B53" s="711" t="s">
        <v>2968</v>
      </c>
      <c r="C53" s="711" t="s">
        <v>3016</v>
      </c>
      <c r="D53" s="711" t="s">
        <v>3023</v>
      </c>
      <c r="E53" s="711" t="s">
        <v>3024</v>
      </c>
      <c r="F53" s="720">
        <v>1</v>
      </c>
      <c r="G53" s="720">
        <v>2016</v>
      </c>
      <c r="H53" s="720">
        <v>1</v>
      </c>
      <c r="I53" s="720">
        <v>2016</v>
      </c>
      <c r="J53" s="720"/>
      <c r="K53" s="720"/>
      <c r="L53" s="720"/>
      <c r="M53" s="720"/>
      <c r="N53" s="720"/>
      <c r="O53" s="720"/>
      <c r="P53" s="716"/>
      <c r="Q53" s="721"/>
    </row>
    <row r="54" spans="1:17" ht="14.4" customHeight="1" x14ac:dyDescent="0.3">
      <c r="A54" s="710" t="s">
        <v>499</v>
      </c>
      <c r="B54" s="711" t="s">
        <v>2968</v>
      </c>
      <c r="C54" s="711" t="s">
        <v>2907</v>
      </c>
      <c r="D54" s="711" t="s">
        <v>3025</v>
      </c>
      <c r="E54" s="711" t="s">
        <v>3026</v>
      </c>
      <c r="F54" s="720">
        <v>2134</v>
      </c>
      <c r="G54" s="720">
        <v>2332305</v>
      </c>
      <c r="H54" s="720">
        <v>1</v>
      </c>
      <c r="I54" s="720">
        <v>1092.9264292408623</v>
      </c>
      <c r="J54" s="720">
        <v>1969</v>
      </c>
      <c r="K54" s="720">
        <v>2204010</v>
      </c>
      <c r="L54" s="720">
        <v>0.94499218584190314</v>
      </c>
      <c r="M54" s="720">
        <v>1119.3550025393602</v>
      </c>
      <c r="N54" s="720">
        <v>1893</v>
      </c>
      <c r="O54" s="720">
        <v>2080614</v>
      </c>
      <c r="P54" s="716">
        <v>0.89208486883147786</v>
      </c>
      <c r="Q54" s="721">
        <v>1099.109350237718</v>
      </c>
    </row>
    <row r="55" spans="1:17" ht="14.4" customHeight="1" x14ac:dyDescent="0.3">
      <c r="A55" s="710" t="s">
        <v>499</v>
      </c>
      <c r="B55" s="711" t="s">
        <v>2968</v>
      </c>
      <c r="C55" s="711" t="s">
        <v>2907</v>
      </c>
      <c r="D55" s="711" t="s">
        <v>3027</v>
      </c>
      <c r="E55" s="711" t="s">
        <v>3028</v>
      </c>
      <c r="F55" s="720">
        <v>4</v>
      </c>
      <c r="G55" s="720">
        <v>740</v>
      </c>
      <c r="H55" s="720">
        <v>1</v>
      </c>
      <c r="I55" s="720">
        <v>185</v>
      </c>
      <c r="J55" s="720">
        <v>7</v>
      </c>
      <c r="K55" s="720">
        <v>1295</v>
      </c>
      <c r="L55" s="720">
        <v>1.75</v>
      </c>
      <c r="M55" s="720">
        <v>185</v>
      </c>
      <c r="N55" s="720">
        <v>2</v>
      </c>
      <c r="O55" s="720">
        <v>370</v>
      </c>
      <c r="P55" s="716">
        <v>0.5</v>
      </c>
      <c r="Q55" s="721">
        <v>185</v>
      </c>
    </row>
    <row r="56" spans="1:17" ht="14.4" customHeight="1" x14ac:dyDescent="0.3">
      <c r="A56" s="710" t="s">
        <v>499</v>
      </c>
      <c r="B56" s="711" t="s">
        <v>2968</v>
      </c>
      <c r="C56" s="711" t="s">
        <v>2907</v>
      </c>
      <c r="D56" s="711" t="s">
        <v>3029</v>
      </c>
      <c r="E56" s="711" t="s">
        <v>3030</v>
      </c>
      <c r="F56" s="720">
        <v>125</v>
      </c>
      <c r="G56" s="720">
        <v>80450</v>
      </c>
      <c r="H56" s="720">
        <v>1</v>
      </c>
      <c r="I56" s="720">
        <v>643.6</v>
      </c>
      <c r="J56" s="720">
        <v>113</v>
      </c>
      <c r="K56" s="720">
        <v>72866</v>
      </c>
      <c r="L56" s="720">
        <v>0.90573026724673711</v>
      </c>
      <c r="M56" s="720">
        <v>644.83185840707961</v>
      </c>
      <c r="N56" s="720">
        <v>112</v>
      </c>
      <c r="O56" s="720">
        <v>72240</v>
      </c>
      <c r="P56" s="716">
        <v>0.89794903666873838</v>
      </c>
      <c r="Q56" s="721">
        <v>645</v>
      </c>
    </row>
    <row r="57" spans="1:17" ht="14.4" customHeight="1" x14ac:dyDescent="0.3">
      <c r="A57" s="710" t="s">
        <v>499</v>
      </c>
      <c r="B57" s="711" t="s">
        <v>2968</v>
      </c>
      <c r="C57" s="711" t="s">
        <v>2907</v>
      </c>
      <c r="D57" s="711" t="s">
        <v>2935</v>
      </c>
      <c r="E57" s="711" t="s">
        <v>2936</v>
      </c>
      <c r="F57" s="720">
        <v>122</v>
      </c>
      <c r="G57" s="720">
        <v>49738</v>
      </c>
      <c r="H57" s="720">
        <v>1</v>
      </c>
      <c r="I57" s="720">
        <v>407.68852459016392</v>
      </c>
      <c r="J57" s="720">
        <v>94</v>
      </c>
      <c r="K57" s="720">
        <v>38601</v>
      </c>
      <c r="L57" s="720">
        <v>0.7760866942780168</v>
      </c>
      <c r="M57" s="720">
        <v>410.64893617021278</v>
      </c>
      <c r="N57" s="720">
        <v>95</v>
      </c>
      <c r="O57" s="720">
        <v>39045</v>
      </c>
      <c r="P57" s="716">
        <v>0.78501347058587001</v>
      </c>
      <c r="Q57" s="721">
        <v>411</v>
      </c>
    </row>
    <row r="58" spans="1:17" ht="14.4" customHeight="1" x14ac:dyDescent="0.3">
      <c r="A58" s="710" t="s">
        <v>499</v>
      </c>
      <c r="B58" s="711" t="s">
        <v>2968</v>
      </c>
      <c r="C58" s="711" t="s">
        <v>2907</v>
      </c>
      <c r="D58" s="711" t="s">
        <v>2937</v>
      </c>
      <c r="E58" s="711" t="s">
        <v>2938</v>
      </c>
      <c r="F58" s="720">
        <v>116</v>
      </c>
      <c r="G58" s="720">
        <v>23746</v>
      </c>
      <c r="H58" s="720">
        <v>1</v>
      </c>
      <c r="I58" s="720">
        <v>204.70689655172413</v>
      </c>
      <c r="J58" s="720">
        <v>96</v>
      </c>
      <c r="K58" s="720">
        <v>19767</v>
      </c>
      <c r="L58" s="720">
        <v>0.83243493641034283</v>
      </c>
      <c r="M58" s="720">
        <v>205.90625</v>
      </c>
      <c r="N58" s="720">
        <v>96</v>
      </c>
      <c r="O58" s="720">
        <v>19776</v>
      </c>
      <c r="P58" s="716">
        <v>0.83281394761222938</v>
      </c>
      <c r="Q58" s="721">
        <v>206</v>
      </c>
    </row>
    <row r="59" spans="1:17" ht="14.4" customHeight="1" x14ac:dyDescent="0.3">
      <c r="A59" s="710" t="s">
        <v>499</v>
      </c>
      <c r="B59" s="711" t="s">
        <v>2968</v>
      </c>
      <c r="C59" s="711" t="s">
        <v>2907</v>
      </c>
      <c r="D59" s="711" t="s">
        <v>3031</v>
      </c>
      <c r="E59" s="711" t="s">
        <v>3032</v>
      </c>
      <c r="F59" s="720">
        <v>0</v>
      </c>
      <c r="G59" s="720">
        <v>0</v>
      </c>
      <c r="H59" s="720"/>
      <c r="I59" s="720"/>
      <c r="J59" s="720">
        <v>0</v>
      </c>
      <c r="K59" s="720">
        <v>0</v>
      </c>
      <c r="L59" s="720"/>
      <c r="M59" s="720"/>
      <c r="N59" s="720">
        <v>0</v>
      </c>
      <c r="O59" s="720">
        <v>0</v>
      </c>
      <c r="P59" s="716"/>
      <c r="Q59" s="721"/>
    </row>
    <row r="60" spans="1:17" ht="14.4" customHeight="1" x14ac:dyDescent="0.3">
      <c r="A60" s="710" t="s">
        <v>499</v>
      </c>
      <c r="B60" s="711" t="s">
        <v>2968</v>
      </c>
      <c r="C60" s="711" t="s">
        <v>2907</v>
      </c>
      <c r="D60" s="711" t="s">
        <v>3033</v>
      </c>
      <c r="E60" s="711" t="s">
        <v>3034</v>
      </c>
      <c r="F60" s="720">
        <v>18</v>
      </c>
      <c r="G60" s="720">
        <v>0</v>
      </c>
      <c r="H60" s="720"/>
      <c r="I60" s="720">
        <v>0</v>
      </c>
      <c r="J60" s="720"/>
      <c r="K60" s="720"/>
      <c r="L60" s="720"/>
      <c r="M60" s="720"/>
      <c r="N60" s="720">
        <v>42</v>
      </c>
      <c r="O60" s="720">
        <v>0</v>
      </c>
      <c r="P60" s="716"/>
      <c r="Q60" s="721">
        <v>0</v>
      </c>
    </row>
    <row r="61" spans="1:17" ht="14.4" customHeight="1" x14ac:dyDescent="0.3">
      <c r="A61" s="710" t="s">
        <v>499</v>
      </c>
      <c r="B61" s="711" t="s">
        <v>2968</v>
      </c>
      <c r="C61" s="711" t="s">
        <v>2907</v>
      </c>
      <c r="D61" s="711" t="s">
        <v>3035</v>
      </c>
      <c r="E61" s="711" t="s">
        <v>3036</v>
      </c>
      <c r="F61" s="720">
        <v>36</v>
      </c>
      <c r="G61" s="720">
        <v>0</v>
      </c>
      <c r="H61" s="720"/>
      <c r="I61" s="720">
        <v>0</v>
      </c>
      <c r="J61" s="720"/>
      <c r="K61" s="720"/>
      <c r="L61" s="720"/>
      <c r="M61" s="720"/>
      <c r="N61" s="720"/>
      <c r="O61" s="720"/>
      <c r="P61" s="716"/>
      <c r="Q61" s="721"/>
    </row>
    <row r="62" spans="1:17" ht="14.4" customHeight="1" x14ac:dyDescent="0.3">
      <c r="A62" s="710" t="s">
        <v>499</v>
      </c>
      <c r="B62" s="711" t="s">
        <v>2968</v>
      </c>
      <c r="C62" s="711" t="s">
        <v>2907</v>
      </c>
      <c r="D62" s="711" t="s">
        <v>2914</v>
      </c>
      <c r="E62" s="711" t="s">
        <v>2915</v>
      </c>
      <c r="F62" s="720">
        <v>134</v>
      </c>
      <c r="G62" s="720">
        <v>43948</v>
      </c>
      <c r="H62" s="720">
        <v>1</v>
      </c>
      <c r="I62" s="720">
        <v>327.97014925373134</v>
      </c>
      <c r="J62" s="720">
        <v>117</v>
      </c>
      <c r="K62" s="720">
        <v>38261</v>
      </c>
      <c r="L62" s="720">
        <v>0.8705970692636753</v>
      </c>
      <c r="M62" s="720">
        <v>327.017094017094</v>
      </c>
      <c r="N62" s="720">
        <v>118</v>
      </c>
      <c r="O62" s="720">
        <v>38586</v>
      </c>
      <c r="P62" s="716">
        <v>0.87799217256757989</v>
      </c>
      <c r="Q62" s="721">
        <v>327</v>
      </c>
    </row>
    <row r="63" spans="1:17" ht="14.4" customHeight="1" x14ac:dyDescent="0.3">
      <c r="A63" s="710" t="s">
        <v>499</v>
      </c>
      <c r="B63" s="711" t="s">
        <v>2968</v>
      </c>
      <c r="C63" s="711" t="s">
        <v>2907</v>
      </c>
      <c r="D63" s="711" t="s">
        <v>2969</v>
      </c>
      <c r="E63" s="711" t="s">
        <v>2970</v>
      </c>
      <c r="F63" s="720">
        <v>1894</v>
      </c>
      <c r="G63" s="720">
        <v>0</v>
      </c>
      <c r="H63" s="720"/>
      <c r="I63" s="720">
        <v>0</v>
      </c>
      <c r="J63" s="720">
        <v>1699</v>
      </c>
      <c r="K63" s="720">
        <v>0</v>
      </c>
      <c r="L63" s="720"/>
      <c r="M63" s="720">
        <v>0</v>
      </c>
      <c r="N63" s="720"/>
      <c r="O63" s="720"/>
      <c r="P63" s="716"/>
      <c r="Q63" s="721"/>
    </row>
    <row r="64" spans="1:17" ht="14.4" customHeight="1" x14ac:dyDescent="0.3">
      <c r="A64" s="710" t="s">
        <v>499</v>
      </c>
      <c r="B64" s="711" t="s">
        <v>2968</v>
      </c>
      <c r="C64" s="711" t="s">
        <v>2907</v>
      </c>
      <c r="D64" s="711" t="s">
        <v>3037</v>
      </c>
      <c r="E64" s="711" t="s">
        <v>3038</v>
      </c>
      <c r="F64" s="720"/>
      <c r="G64" s="720"/>
      <c r="H64" s="720"/>
      <c r="I64" s="720"/>
      <c r="J64" s="720">
        <v>12</v>
      </c>
      <c r="K64" s="720">
        <v>0</v>
      </c>
      <c r="L64" s="720"/>
      <c r="M64" s="720">
        <v>0</v>
      </c>
      <c r="N64" s="720">
        <v>4</v>
      </c>
      <c r="O64" s="720">
        <v>0</v>
      </c>
      <c r="P64" s="716"/>
      <c r="Q64" s="721">
        <v>0</v>
      </c>
    </row>
    <row r="65" spans="1:17" ht="14.4" customHeight="1" x14ac:dyDescent="0.3">
      <c r="A65" s="710" t="s">
        <v>499</v>
      </c>
      <c r="B65" s="711" t="s">
        <v>3039</v>
      </c>
      <c r="C65" s="711" t="s">
        <v>2907</v>
      </c>
      <c r="D65" s="711" t="s">
        <v>3040</v>
      </c>
      <c r="E65" s="711" t="s">
        <v>3041</v>
      </c>
      <c r="F65" s="720"/>
      <c r="G65" s="720"/>
      <c r="H65" s="720"/>
      <c r="I65" s="720"/>
      <c r="J65" s="720">
        <v>1</v>
      </c>
      <c r="K65" s="720">
        <v>0</v>
      </c>
      <c r="L65" s="720"/>
      <c r="M65" s="720">
        <v>0</v>
      </c>
      <c r="N65" s="720"/>
      <c r="O65" s="720"/>
      <c r="P65" s="716"/>
      <c r="Q65" s="721"/>
    </row>
    <row r="66" spans="1:17" ht="14.4" customHeight="1" x14ac:dyDescent="0.3">
      <c r="A66" s="710" t="s">
        <v>499</v>
      </c>
      <c r="B66" s="711" t="s">
        <v>3039</v>
      </c>
      <c r="C66" s="711" t="s">
        <v>2907</v>
      </c>
      <c r="D66" s="711" t="s">
        <v>3042</v>
      </c>
      <c r="E66" s="711" t="s">
        <v>3043</v>
      </c>
      <c r="F66" s="720"/>
      <c r="G66" s="720"/>
      <c r="H66" s="720"/>
      <c r="I66" s="720"/>
      <c r="J66" s="720">
        <v>1</v>
      </c>
      <c r="K66" s="720">
        <v>0</v>
      </c>
      <c r="L66" s="720"/>
      <c r="M66" s="720">
        <v>0</v>
      </c>
      <c r="N66" s="720"/>
      <c r="O66" s="720"/>
      <c r="P66" s="716"/>
      <c r="Q66" s="721"/>
    </row>
    <row r="67" spans="1:17" ht="14.4" customHeight="1" x14ac:dyDescent="0.3">
      <c r="A67" s="710" t="s">
        <v>499</v>
      </c>
      <c r="B67" s="711" t="s">
        <v>3039</v>
      </c>
      <c r="C67" s="711" t="s">
        <v>2907</v>
      </c>
      <c r="D67" s="711" t="s">
        <v>3044</v>
      </c>
      <c r="E67" s="711" t="s">
        <v>3045</v>
      </c>
      <c r="F67" s="720"/>
      <c r="G67" s="720"/>
      <c r="H67" s="720"/>
      <c r="I67" s="720"/>
      <c r="J67" s="720">
        <v>1</v>
      </c>
      <c r="K67" s="720">
        <v>0</v>
      </c>
      <c r="L67" s="720"/>
      <c r="M67" s="720">
        <v>0</v>
      </c>
      <c r="N67" s="720"/>
      <c r="O67" s="720"/>
      <c r="P67" s="716"/>
      <c r="Q67" s="721"/>
    </row>
    <row r="68" spans="1:17" ht="14.4" customHeight="1" x14ac:dyDescent="0.3">
      <c r="A68" s="710" t="s">
        <v>499</v>
      </c>
      <c r="B68" s="711" t="s">
        <v>3039</v>
      </c>
      <c r="C68" s="711" t="s">
        <v>2907</v>
      </c>
      <c r="D68" s="711" t="s">
        <v>3046</v>
      </c>
      <c r="E68" s="711" t="s">
        <v>3047</v>
      </c>
      <c r="F68" s="720">
        <v>1</v>
      </c>
      <c r="G68" s="720">
        <v>505</v>
      </c>
      <c r="H68" s="720">
        <v>1</v>
      </c>
      <c r="I68" s="720">
        <v>505</v>
      </c>
      <c r="J68" s="720"/>
      <c r="K68" s="720"/>
      <c r="L68" s="720"/>
      <c r="M68" s="720"/>
      <c r="N68" s="720"/>
      <c r="O68" s="720"/>
      <c r="P68" s="716"/>
      <c r="Q68" s="721"/>
    </row>
    <row r="69" spans="1:17" ht="14.4" customHeight="1" x14ac:dyDescent="0.3">
      <c r="A69" s="710" t="s">
        <v>499</v>
      </c>
      <c r="B69" s="711" t="s">
        <v>3039</v>
      </c>
      <c r="C69" s="711" t="s">
        <v>2907</v>
      </c>
      <c r="D69" s="711" t="s">
        <v>3048</v>
      </c>
      <c r="E69" s="711" t="s">
        <v>3049</v>
      </c>
      <c r="F69" s="720">
        <v>1</v>
      </c>
      <c r="G69" s="720">
        <v>9000</v>
      </c>
      <c r="H69" s="720">
        <v>1</v>
      </c>
      <c r="I69" s="720">
        <v>9000</v>
      </c>
      <c r="J69" s="720"/>
      <c r="K69" s="720"/>
      <c r="L69" s="720"/>
      <c r="M69" s="720"/>
      <c r="N69" s="720"/>
      <c r="O69" s="720"/>
      <c r="P69" s="716"/>
      <c r="Q69" s="721"/>
    </row>
    <row r="70" spans="1:17" ht="14.4" customHeight="1" x14ac:dyDescent="0.3">
      <c r="A70" s="710" t="s">
        <v>499</v>
      </c>
      <c r="B70" s="711" t="s">
        <v>3039</v>
      </c>
      <c r="C70" s="711" t="s">
        <v>2907</v>
      </c>
      <c r="D70" s="711" t="s">
        <v>3050</v>
      </c>
      <c r="E70" s="711" t="s">
        <v>3051</v>
      </c>
      <c r="F70" s="720"/>
      <c r="G70" s="720"/>
      <c r="H70" s="720"/>
      <c r="I70" s="720"/>
      <c r="J70" s="720">
        <v>1</v>
      </c>
      <c r="K70" s="720">
        <v>2651</v>
      </c>
      <c r="L70" s="720"/>
      <c r="M70" s="720">
        <v>2651</v>
      </c>
      <c r="N70" s="720"/>
      <c r="O70" s="720"/>
      <c r="P70" s="716"/>
      <c r="Q70" s="721"/>
    </row>
    <row r="71" spans="1:17" ht="14.4" customHeight="1" x14ac:dyDescent="0.3">
      <c r="A71" s="710" t="s">
        <v>499</v>
      </c>
      <c r="B71" s="711" t="s">
        <v>3039</v>
      </c>
      <c r="C71" s="711" t="s">
        <v>2907</v>
      </c>
      <c r="D71" s="711" t="s">
        <v>3052</v>
      </c>
      <c r="E71" s="711" t="s">
        <v>3053</v>
      </c>
      <c r="F71" s="720"/>
      <c r="G71" s="720"/>
      <c r="H71" s="720"/>
      <c r="I71" s="720"/>
      <c r="J71" s="720">
        <v>1</v>
      </c>
      <c r="K71" s="720">
        <v>0</v>
      </c>
      <c r="L71" s="720"/>
      <c r="M71" s="720">
        <v>0</v>
      </c>
      <c r="N71" s="720"/>
      <c r="O71" s="720"/>
      <c r="P71" s="716"/>
      <c r="Q71" s="721"/>
    </row>
    <row r="72" spans="1:17" ht="14.4" customHeight="1" x14ac:dyDescent="0.3">
      <c r="A72" s="710" t="s">
        <v>499</v>
      </c>
      <c r="B72" s="711" t="s">
        <v>3039</v>
      </c>
      <c r="C72" s="711" t="s">
        <v>2907</v>
      </c>
      <c r="D72" s="711" t="s">
        <v>3054</v>
      </c>
      <c r="E72" s="711" t="s">
        <v>3055</v>
      </c>
      <c r="F72" s="720"/>
      <c r="G72" s="720"/>
      <c r="H72" s="720"/>
      <c r="I72" s="720"/>
      <c r="J72" s="720">
        <v>1</v>
      </c>
      <c r="K72" s="720">
        <v>0</v>
      </c>
      <c r="L72" s="720"/>
      <c r="M72" s="720">
        <v>0</v>
      </c>
      <c r="N72" s="720"/>
      <c r="O72" s="720"/>
      <c r="P72" s="716"/>
      <c r="Q72" s="721"/>
    </row>
    <row r="73" spans="1:17" ht="14.4" customHeight="1" x14ac:dyDescent="0.3">
      <c r="A73" s="710" t="s">
        <v>499</v>
      </c>
      <c r="B73" s="711" t="s">
        <v>3039</v>
      </c>
      <c r="C73" s="711" t="s">
        <v>2907</v>
      </c>
      <c r="D73" s="711" t="s">
        <v>3056</v>
      </c>
      <c r="E73" s="711" t="s">
        <v>3057</v>
      </c>
      <c r="F73" s="720">
        <v>1</v>
      </c>
      <c r="G73" s="720">
        <v>6016</v>
      </c>
      <c r="H73" s="720">
        <v>1</v>
      </c>
      <c r="I73" s="720">
        <v>6016</v>
      </c>
      <c r="J73" s="720"/>
      <c r="K73" s="720"/>
      <c r="L73" s="720"/>
      <c r="M73" s="720"/>
      <c r="N73" s="720"/>
      <c r="O73" s="720"/>
      <c r="P73" s="716"/>
      <c r="Q73" s="721"/>
    </row>
    <row r="74" spans="1:17" ht="14.4" customHeight="1" x14ac:dyDescent="0.3">
      <c r="A74" s="710" t="s">
        <v>499</v>
      </c>
      <c r="B74" s="711" t="s">
        <v>3039</v>
      </c>
      <c r="C74" s="711" t="s">
        <v>2907</v>
      </c>
      <c r="D74" s="711" t="s">
        <v>3058</v>
      </c>
      <c r="E74" s="711" t="s">
        <v>3059</v>
      </c>
      <c r="F74" s="720">
        <v>1</v>
      </c>
      <c r="G74" s="720">
        <v>4594</v>
      </c>
      <c r="H74" s="720">
        <v>1</v>
      </c>
      <c r="I74" s="720">
        <v>4594</v>
      </c>
      <c r="J74" s="720"/>
      <c r="K74" s="720"/>
      <c r="L74" s="720"/>
      <c r="M74" s="720"/>
      <c r="N74" s="720"/>
      <c r="O74" s="720"/>
      <c r="P74" s="716"/>
      <c r="Q74" s="721"/>
    </row>
    <row r="75" spans="1:17" ht="14.4" customHeight="1" x14ac:dyDescent="0.3">
      <c r="A75" s="710" t="s">
        <v>499</v>
      </c>
      <c r="B75" s="711" t="s">
        <v>3039</v>
      </c>
      <c r="C75" s="711" t="s">
        <v>2907</v>
      </c>
      <c r="D75" s="711" t="s">
        <v>3060</v>
      </c>
      <c r="E75" s="711" t="s">
        <v>3061</v>
      </c>
      <c r="F75" s="720">
        <v>1</v>
      </c>
      <c r="G75" s="720">
        <v>6076</v>
      </c>
      <c r="H75" s="720">
        <v>1</v>
      </c>
      <c r="I75" s="720">
        <v>6076</v>
      </c>
      <c r="J75" s="720"/>
      <c r="K75" s="720"/>
      <c r="L75" s="720"/>
      <c r="M75" s="720"/>
      <c r="N75" s="720"/>
      <c r="O75" s="720"/>
      <c r="P75" s="716"/>
      <c r="Q75" s="721"/>
    </row>
    <row r="76" spans="1:17" ht="14.4" customHeight="1" x14ac:dyDescent="0.3">
      <c r="A76" s="710" t="s">
        <v>3062</v>
      </c>
      <c r="B76" s="711" t="s">
        <v>2930</v>
      </c>
      <c r="C76" s="711" t="s">
        <v>2907</v>
      </c>
      <c r="D76" s="711" t="s">
        <v>2914</v>
      </c>
      <c r="E76" s="711" t="s">
        <v>2915</v>
      </c>
      <c r="F76" s="720">
        <v>23</v>
      </c>
      <c r="G76" s="720">
        <v>7544</v>
      </c>
      <c r="H76" s="720">
        <v>1</v>
      </c>
      <c r="I76" s="720">
        <v>328</v>
      </c>
      <c r="J76" s="720">
        <v>29</v>
      </c>
      <c r="K76" s="720">
        <v>9483</v>
      </c>
      <c r="L76" s="720">
        <v>1.2570254506892895</v>
      </c>
      <c r="M76" s="720">
        <v>327</v>
      </c>
      <c r="N76" s="720">
        <v>23</v>
      </c>
      <c r="O76" s="720">
        <v>7521</v>
      </c>
      <c r="P76" s="716">
        <v>0.99695121951219512</v>
      </c>
      <c r="Q76" s="721">
        <v>327</v>
      </c>
    </row>
    <row r="77" spans="1:17" ht="14.4" customHeight="1" x14ac:dyDescent="0.3">
      <c r="A77" s="710" t="s">
        <v>3063</v>
      </c>
      <c r="B77" s="711" t="s">
        <v>2930</v>
      </c>
      <c r="C77" s="711" t="s">
        <v>2907</v>
      </c>
      <c r="D77" s="711" t="s">
        <v>2914</v>
      </c>
      <c r="E77" s="711" t="s">
        <v>2915</v>
      </c>
      <c r="F77" s="720"/>
      <c r="G77" s="720"/>
      <c r="H77" s="720"/>
      <c r="I77" s="720"/>
      <c r="J77" s="720">
        <v>1</v>
      </c>
      <c r="K77" s="720">
        <v>327</v>
      </c>
      <c r="L77" s="720"/>
      <c r="M77" s="720">
        <v>327</v>
      </c>
      <c r="N77" s="720"/>
      <c r="O77" s="720"/>
      <c r="P77" s="716"/>
      <c r="Q77" s="721"/>
    </row>
    <row r="78" spans="1:17" ht="14.4" customHeight="1" thickBot="1" x14ac:dyDescent="0.35">
      <c r="A78" s="702" t="s">
        <v>3064</v>
      </c>
      <c r="B78" s="703" t="s">
        <v>2930</v>
      </c>
      <c r="C78" s="703" t="s">
        <v>2907</v>
      </c>
      <c r="D78" s="703" t="s">
        <v>2914</v>
      </c>
      <c r="E78" s="703" t="s">
        <v>2915</v>
      </c>
      <c r="F78" s="722">
        <v>2</v>
      </c>
      <c r="G78" s="722">
        <v>656</v>
      </c>
      <c r="H78" s="722">
        <v>1</v>
      </c>
      <c r="I78" s="722">
        <v>328</v>
      </c>
      <c r="J78" s="722"/>
      <c r="K78" s="722"/>
      <c r="L78" s="722"/>
      <c r="M78" s="722"/>
      <c r="N78" s="722">
        <v>2</v>
      </c>
      <c r="O78" s="722">
        <v>654</v>
      </c>
      <c r="P78" s="708">
        <v>0.99695121951219512</v>
      </c>
      <c r="Q78" s="723">
        <v>327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2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7" customWidth="1"/>
    <col min="2" max="4" width="7.88671875" style="367" customWidth="1"/>
    <col min="5" max="5" width="7.88671875" style="376" customWidth="1"/>
    <col min="6" max="8" width="7.88671875" style="367" customWidth="1"/>
    <col min="9" max="9" width="7.88671875" style="377" customWidth="1"/>
    <col min="10" max="13" width="7.88671875" style="367" customWidth="1"/>
    <col min="14" max="16384" width="9.33203125" style="367"/>
  </cols>
  <sheetData>
    <row r="1" spans="1:13" ht="18.600000000000001" customHeight="1" thickBot="1" x14ac:dyDescent="0.4">
      <c r="A1" s="549" t="s">
        <v>139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89" t="s">
        <v>298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4.4" customHeight="1" thickBot="1" x14ac:dyDescent="0.35">
      <c r="A3" s="550" t="s">
        <v>73</v>
      </c>
      <c r="B3" s="529" t="s">
        <v>74</v>
      </c>
      <c r="C3" s="530"/>
      <c r="D3" s="530"/>
      <c r="E3" s="531"/>
      <c r="F3" s="529" t="s">
        <v>242</v>
      </c>
      <c r="G3" s="530"/>
      <c r="H3" s="530"/>
      <c r="I3" s="531"/>
      <c r="J3" s="123"/>
      <c r="K3" s="124"/>
      <c r="L3" s="123"/>
      <c r="M3" s="125"/>
    </row>
    <row r="4" spans="1:13" ht="14.4" customHeight="1" thickBot="1" x14ac:dyDescent="0.35">
      <c r="A4" s="551"/>
      <c r="B4" s="126">
        <v>2012</v>
      </c>
      <c r="C4" s="127">
        <v>2013</v>
      </c>
      <c r="D4" s="127">
        <v>2014</v>
      </c>
      <c r="E4" s="128" t="s">
        <v>5</v>
      </c>
      <c r="F4" s="127">
        <v>2012</v>
      </c>
      <c r="G4" s="127">
        <v>2013</v>
      </c>
      <c r="H4" s="127">
        <v>2014</v>
      </c>
      <c r="I4" s="128" t="s">
        <v>5</v>
      </c>
      <c r="J4" s="123"/>
      <c r="K4" s="123"/>
      <c r="L4" s="129" t="s">
        <v>75</v>
      </c>
      <c r="M4" s="130" t="s">
        <v>76</v>
      </c>
    </row>
    <row r="5" spans="1:13" ht="14.4" hidden="1" customHeight="1" outlineLevel="1" x14ac:dyDescent="0.3">
      <c r="A5" s="118" t="s">
        <v>172</v>
      </c>
      <c r="B5" s="121">
        <v>153.84700000000001</v>
      </c>
      <c r="C5" s="114">
        <v>120.321</v>
      </c>
      <c r="D5" s="114">
        <v>200.95599999999999</v>
      </c>
      <c r="E5" s="131">
        <v>1.3062068158625126</v>
      </c>
      <c r="F5" s="132">
        <v>85</v>
      </c>
      <c r="G5" s="114">
        <v>67</v>
      </c>
      <c r="H5" s="114">
        <v>64</v>
      </c>
      <c r="I5" s="133">
        <v>0.75294117647058822</v>
      </c>
      <c r="J5" s="123"/>
      <c r="K5" s="123"/>
      <c r="L5" s="7">
        <f>D5-B5</f>
        <v>47.10899999999998</v>
      </c>
      <c r="M5" s="8">
        <f>H5-F5</f>
        <v>-21</v>
      </c>
    </row>
    <row r="6" spans="1:13" ht="14.4" hidden="1" customHeight="1" outlineLevel="1" x14ac:dyDescent="0.3">
      <c r="A6" s="119" t="s">
        <v>173</v>
      </c>
      <c r="B6" s="122">
        <v>56.332999999999998</v>
      </c>
      <c r="C6" s="113">
        <v>39.796999999999997</v>
      </c>
      <c r="D6" s="113">
        <v>36.1</v>
      </c>
      <c r="E6" s="134">
        <v>0.64083219427333893</v>
      </c>
      <c r="F6" s="135">
        <v>21</v>
      </c>
      <c r="G6" s="113">
        <v>22</v>
      </c>
      <c r="H6" s="113">
        <v>18</v>
      </c>
      <c r="I6" s="136">
        <v>0.8571428571428571</v>
      </c>
      <c r="J6" s="123"/>
      <c r="K6" s="123"/>
      <c r="L6" s="5">
        <f t="shared" ref="L6:L11" si="0">D6-B6</f>
        <v>-20.232999999999997</v>
      </c>
      <c r="M6" s="6">
        <f t="shared" ref="M6:M13" si="1">H6-F6</f>
        <v>-3</v>
      </c>
    </row>
    <row r="7" spans="1:13" ht="14.4" hidden="1" customHeight="1" outlineLevel="1" x14ac:dyDescent="0.3">
      <c r="A7" s="119" t="s">
        <v>174</v>
      </c>
      <c r="B7" s="122">
        <v>47.83</v>
      </c>
      <c r="C7" s="113">
        <v>29.4</v>
      </c>
      <c r="D7" s="113">
        <v>25.715</v>
      </c>
      <c r="E7" s="134">
        <v>0.53763328454944592</v>
      </c>
      <c r="F7" s="135">
        <v>12</v>
      </c>
      <c r="G7" s="113">
        <v>11</v>
      </c>
      <c r="H7" s="113">
        <v>9</v>
      </c>
      <c r="I7" s="136">
        <v>0.75</v>
      </c>
      <c r="J7" s="123"/>
      <c r="K7" s="123"/>
      <c r="L7" s="5">
        <f t="shared" si="0"/>
        <v>-22.114999999999998</v>
      </c>
      <c r="M7" s="6">
        <f t="shared" si="1"/>
        <v>-3</v>
      </c>
    </row>
    <row r="8" spans="1:13" ht="14.4" hidden="1" customHeight="1" outlineLevel="1" x14ac:dyDescent="0.3">
      <c r="A8" s="119" t="s">
        <v>175</v>
      </c>
      <c r="B8" s="122">
        <v>5.0570000000000004</v>
      </c>
      <c r="C8" s="113">
        <v>5.2930000000000001</v>
      </c>
      <c r="D8" s="113">
        <v>5.1189999999999998</v>
      </c>
      <c r="E8" s="134">
        <v>1.0122602333399247</v>
      </c>
      <c r="F8" s="135">
        <v>3</v>
      </c>
      <c r="G8" s="113">
        <v>2</v>
      </c>
      <c r="H8" s="113">
        <v>2</v>
      </c>
      <c r="I8" s="136">
        <v>0.66666666666666663</v>
      </c>
      <c r="J8" s="123"/>
      <c r="K8" s="123"/>
      <c r="L8" s="5">
        <f t="shared" si="0"/>
        <v>6.1999999999999389E-2</v>
      </c>
      <c r="M8" s="6">
        <f t="shared" si="1"/>
        <v>-1</v>
      </c>
    </row>
    <row r="9" spans="1:13" ht="14.4" hidden="1" customHeight="1" outlineLevel="1" x14ac:dyDescent="0.3">
      <c r="A9" s="119" t="s">
        <v>176</v>
      </c>
      <c r="B9" s="122">
        <v>0</v>
      </c>
      <c r="C9" s="113">
        <v>0</v>
      </c>
      <c r="D9" s="113">
        <v>0</v>
      </c>
      <c r="E9" s="134" t="s">
        <v>500</v>
      </c>
      <c r="F9" s="135">
        <v>0</v>
      </c>
      <c r="G9" s="113">
        <v>0</v>
      </c>
      <c r="H9" s="113">
        <v>0</v>
      </c>
      <c r="I9" s="136" t="s">
        <v>500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177</v>
      </c>
      <c r="B10" s="122">
        <v>10.959</v>
      </c>
      <c r="C10" s="113">
        <v>24.295000000000002</v>
      </c>
      <c r="D10" s="113">
        <v>23.317</v>
      </c>
      <c r="E10" s="134">
        <v>2.1276576329957115</v>
      </c>
      <c r="F10" s="135">
        <v>5</v>
      </c>
      <c r="G10" s="113">
        <v>11</v>
      </c>
      <c r="H10" s="113">
        <v>12</v>
      </c>
      <c r="I10" s="136">
        <v>2.4</v>
      </c>
      <c r="J10" s="123"/>
      <c r="K10" s="123"/>
      <c r="L10" s="5">
        <f t="shared" si="0"/>
        <v>12.358000000000001</v>
      </c>
      <c r="M10" s="6">
        <f t="shared" si="1"/>
        <v>7</v>
      </c>
    </row>
    <row r="11" spans="1:13" ht="14.4" hidden="1" customHeight="1" outlineLevel="1" x14ac:dyDescent="0.3">
      <c r="A11" s="119" t="s">
        <v>178</v>
      </c>
      <c r="B11" s="122">
        <v>0</v>
      </c>
      <c r="C11" s="113">
        <v>0</v>
      </c>
      <c r="D11" s="113">
        <v>0</v>
      </c>
      <c r="E11" s="134" t="s">
        <v>500</v>
      </c>
      <c r="F11" s="135">
        <v>0</v>
      </c>
      <c r="G11" s="113">
        <v>0</v>
      </c>
      <c r="H11" s="113">
        <v>0</v>
      </c>
      <c r="I11" s="136" t="s">
        <v>500</v>
      </c>
      <c r="J11" s="123"/>
      <c r="K11" s="123"/>
      <c r="L11" s="5">
        <f t="shared" si="0"/>
        <v>0</v>
      </c>
      <c r="M11" s="6">
        <f t="shared" si="1"/>
        <v>0</v>
      </c>
    </row>
    <row r="12" spans="1:13" ht="14.4" hidden="1" customHeight="1" outlineLevel="1" thickBot="1" x14ac:dyDescent="0.35">
      <c r="A12" s="250" t="s">
        <v>241</v>
      </c>
      <c r="B12" s="251">
        <v>0</v>
      </c>
      <c r="C12" s="252">
        <v>0</v>
      </c>
      <c r="D12" s="252">
        <v>0</v>
      </c>
      <c r="E12" s="253"/>
      <c r="F12" s="254">
        <v>0</v>
      </c>
      <c r="G12" s="252">
        <v>0</v>
      </c>
      <c r="H12" s="252">
        <v>0</v>
      </c>
      <c r="I12" s="255"/>
      <c r="J12" s="123"/>
      <c r="K12" s="123"/>
      <c r="L12" s="256">
        <f>D12-B12</f>
        <v>0</v>
      </c>
      <c r="M12" s="257">
        <f>H12-F12</f>
        <v>0</v>
      </c>
    </row>
    <row r="13" spans="1:13" ht="14.4" customHeight="1" collapsed="1" thickBot="1" x14ac:dyDescent="0.35">
      <c r="A13" s="120" t="s">
        <v>6</v>
      </c>
      <c r="B13" s="115">
        <f>SUM(B5:B12)</f>
        <v>274.02600000000001</v>
      </c>
      <c r="C13" s="116">
        <f>SUM(C5:C12)</f>
        <v>219.10599999999999</v>
      </c>
      <c r="D13" s="116">
        <f>SUM(D5:D12)</f>
        <v>291.20699999999999</v>
      </c>
      <c r="E13" s="137">
        <f>IF(OR(D13=0,B13=0),0,D13/B13)</f>
        <v>1.0626984300759781</v>
      </c>
      <c r="F13" s="138">
        <f>SUM(F5:F12)</f>
        <v>126</v>
      </c>
      <c r="G13" s="116">
        <f>SUM(G5:G12)</f>
        <v>113</v>
      </c>
      <c r="H13" s="116">
        <f>SUM(H5:H12)</f>
        <v>105</v>
      </c>
      <c r="I13" s="139">
        <f>IF(OR(H13=0,F13=0),0,H13/F13)</f>
        <v>0.83333333333333337</v>
      </c>
      <c r="J13" s="123"/>
      <c r="K13" s="123"/>
      <c r="L13" s="129">
        <f>D13-B13</f>
        <v>17.180999999999983</v>
      </c>
      <c r="M13" s="140">
        <f t="shared" si="1"/>
        <v>-21</v>
      </c>
    </row>
    <row r="14" spans="1:13" ht="14.4" customHeight="1" x14ac:dyDescent="0.3">
      <c r="A14" s="141"/>
      <c r="B14" s="552"/>
      <c r="C14" s="552"/>
      <c r="D14" s="552"/>
      <c r="E14" s="552"/>
      <c r="F14" s="552"/>
      <c r="G14" s="552"/>
      <c r="H14" s="552"/>
      <c r="I14" s="552"/>
      <c r="J14" s="123"/>
      <c r="K14" s="123"/>
      <c r="L14" s="123"/>
      <c r="M14" s="125"/>
    </row>
    <row r="15" spans="1:13" ht="14.4" customHeight="1" thickBot="1" x14ac:dyDescent="0.35">
      <c r="A15" s="141"/>
      <c r="B15" s="369"/>
      <c r="C15" s="370"/>
      <c r="D15" s="370"/>
      <c r="E15" s="370"/>
      <c r="F15" s="369"/>
      <c r="G15" s="370"/>
      <c r="H15" s="370"/>
      <c r="I15" s="370"/>
      <c r="J15" s="123"/>
      <c r="K15" s="123"/>
      <c r="L15" s="123"/>
      <c r="M15" s="125"/>
    </row>
    <row r="16" spans="1:13" ht="14.4" customHeight="1" thickBot="1" x14ac:dyDescent="0.35">
      <c r="A16" s="558" t="s">
        <v>235</v>
      </c>
      <c r="B16" s="560" t="s">
        <v>74</v>
      </c>
      <c r="C16" s="561"/>
      <c r="D16" s="561"/>
      <c r="E16" s="562"/>
      <c r="F16" s="560" t="s">
        <v>242</v>
      </c>
      <c r="G16" s="561"/>
      <c r="H16" s="561"/>
      <c r="I16" s="562"/>
      <c r="J16" s="543" t="s">
        <v>183</v>
      </c>
      <c r="K16" s="544"/>
      <c r="L16" s="158"/>
      <c r="M16" s="158"/>
    </row>
    <row r="17" spans="1:13" ht="14.4" customHeight="1" thickBot="1" x14ac:dyDescent="0.35">
      <c r="A17" s="559"/>
      <c r="B17" s="142">
        <v>2012</v>
      </c>
      <c r="C17" s="143">
        <v>2013</v>
      </c>
      <c r="D17" s="143">
        <v>2014</v>
      </c>
      <c r="E17" s="144" t="s">
        <v>5</v>
      </c>
      <c r="F17" s="142">
        <v>2012</v>
      </c>
      <c r="G17" s="143">
        <v>2013</v>
      </c>
      <c r="H17" s="143">
        <v>2014</v>
      </c>
      <c r="I17" s="144" t="s">
        <v>5</v>
      </c>
      <c r="J17" s="545" t="s">
        <v>184</v>
      </c>
      <c r="K17" s="546"/>
      <c r="L17" s="145" t="s">
        <v>75</v>
      </c>
      <c r="M17" s="146" t="s">
        <v>76</v>
      </c>
    </row>
    <row r="18" spans="1:13" ht="14.4" hidden="1" customHeight="1" outlineLevel="1" x14ac:dyDescent="0.3">
      <c r="A18" s="118" t="s">
        <v>172</v>
      </c>
      <c r="B18" s="121">
        <v>153.84700000000001</v>
      </c>
      <c r="C18" s="114">
        <v>120.321</v>
      </c>
      <c r="D18" s="114">
        <v>163.459</v>
      </c>
      <c r="E18" s="131">
        <v>1.0624776563728899</v>
      </c>
      <c r="F18" s="121">
        <v>85</v>
      </c>
      <c r="G18" s="114">
        <v>67</v>
      </c>
      <c r="H18" s="114">
        <v>62</v>
      </c>
      <c r="I18" s="133">
        <v>0.72941176470588232</v>
      </c>
      <c r="J18" s="547">
        <f>0.97*0.976</f>
        <v>0.94672000000000001</v>
      </c>
      <c r="K18" s="548"/>
      <c r="L18" s="147">
        <f>D18-B18</f>
        <v>9.6119999999999948</v>
      </c>
      <c r="M18" s="148">
        <f>H18-F18</f>
        <v>-23</v>
      </c>
    </row>
    <row r="19" spans="1:13" ht="14.4" hidden="1" customHeight="1" outlineLevel="1" x14ac:dyDescent="0.3">
      <c r="A19" s="119" t="s">
        <v>173</v>
      </c>
      <c r="B19" s="122">
        <v>56.332999999999998</v>
      </c>
      <c r="C19" s="113">
        <v>39.796999999999997</v>
      </c>
      <c r="D19" s="113">
        <v>36.1</v>
      </c>
      <c r="E19" s="134">
        <v>0.64083219427333893</v>
      </c>
      <c r="F19" s="122">
        <v>21</v>
      </c>
      <c r="G19" s="113">
        <v>22</v>
      </c>
      <c r="H19" s="113">
        <v>18</v>
      </c>
      <c r="I19" s="136">
        <v>0.8571428571428571</v>
      </c>
      <c r="J19" s="547">
        <f>0.97*1.096</f>
        <v>1.0631200000000001</v>
      </c>
      <c r="K19" s="548"/>
      <c r="L19" s="149">
        <f t="shared" ref="L19:L26" si="2">D19-B19</f>
        <v>-20.232999999999997</v>
      </c>
      <c r="M19" s="150">
        <f t="shared" ref="M19:M26" si="3">H19-F19</f>
        <v>-3</v>
      </c>
    </row>
    <row r="20" spans="1:13" ht="14.4" hidden="1" customHeight="1" outlineLevel="1" x14ac:dyDescent="0.3">
      <c r="A20" s="119" t="s">
        <v>174</v>
      </c>
      <c r="B20" s="122">
        <v>47.83</v>
      </c>
      <c r="C20" s="113">
        <v>29.4</v>
      </c>
      <c r="D20" s="113">
        <v>25.715</v>
      </c>
      <c r="E20" s="134">
        <v>0.53763328454944592</v>
      </c>
      <c r="F20" s="122">
        <v>12</v>
      </c>
      <c r="G20" s="113">
        <v>11</v>
      </c>
      <c r="H20" s="113">
        <v>9</v>
      </c>
      <c r="I20" s="136">
        <v>0.75</v>
      </c>
      <c r="J20" s="547">
        <f>0.97*1.047</f>
        <v>1.01559</v>
      </c>
      <c r="K20" s="548"/>
      <c r="L20" s="149">
        <f t="shared" si="2"/>
        <v>-22.114999999999998</v>
      </c>
      <c r="M20" s="150">
        <f t="shared" si="3"/>
        <v>-3</v>
      </c>
    </row>
    <row r="21" spans="1:13" ht="14.4" hidden="1" customHeight="1" outlineLevel="1" x14ac:dyDescent="0.3">
      <c r="A21" s="119" t="s">
        <v>175</v>
      </c>
      <c r="B21" s="122">
        <v>5.0570000000000004</v>
      </c>
      <c r="C21" s="113">
        <v>5.2930000000000001</v>
      </c>
      <c r="D21" s="113">
        <v>5.1189999999999998</v>
      </c>
      <c r="E21" s="134">
        <v>1.0122602333399247</v>
      </c>
      <c r="F21" s="122">
        <v>3</v>
      </c>
      <c r="G21" s="113">
        <v>2</v>
      </c>
      <c r="H21" s="113">
        <v>2</v>
      </c>
      <c r="I21" s="136">
        <v>0.66666666666666663</v>
      </c>
      <c r="J21" s="547">
        <f>0.97*1.091</f>
        <v>1.05827</v>
      </c>
      <c r="K21" s="548"/>
      <c r="L21" s="149">
        <f t="shared" si="2"/>
        <v>6.1999999999999389E-2</v>
      </c>
      <c r="M21" s="150">
        <f t="shared" si="3"/>
        <v>-1</v>
      </c>
    </row>
    <row r="22" spans="1:13" ht="14.4" hidden="1" customHeight="1" outlineLevel="1" x14ac:dyDescent="0.3">
      <c r="A22" s="119" t="s">
        <v>176</v>
      </c>
      <c r="B22" s="122">
        <v>0</v>
      </c>
      <c r="C22" s="113">
        <v>0</v>
      </c>
      <c r="D22" s="113">
        <v>0</v>
      </c>
      <c r="E22" s="134" t="s">
        <v>500</v>
      </c>
      <c r="F22" s="122">
        <v>0</v>
      </c>
      <c r="G22" s="113">
        <v>0</v>
      </c>
      <c r="H22" s="113">
        <v>0</v>
      </c>
      <c r="I22" s="136" t="s">
        <v>500</v>
      </c>
      <c r="J22" s="547">
        <f>0.97*1</f>
        <v>0.97</v>
      </c>
      <c r="K22" s="548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177</v>
      </c>
      <c r="B23" s="122">
        <v>10.959</v>
      </c>
      <c r="C23" s="113">
        <v>24.295000000000002</v>
      </c>
      <c r="D23" s="113">
        <v>23.317</v>
      </c>
      <c r="E23" s="134">
        <v>2.1276576329957115</v>
      </c>
      <c r="F23" s="122">
        <v>5</v>
      </c>
      <c r="G23" s="113">
        <v>11</v>
      </c>
      <c r="H23" s="113">
        <v>12</v>
      </c>
      <c r="I23" s="136">
        <v>2.4</v>
      </c>
      <c r="J23" s="547">
        <f>0.97*1.096</f>
        <v>1.0631200000000001</v>
      </c>
      <c r="K23" s="548"/>
      <c r="L23" s="149">
        <f t="shared" si="2"/>
        <v>12.358000000000001</v>
      </c>
      <c r="M23" s="150">
        <f t="shared" si="3"/>
        <v>7</v>
      </c>
    </row>
    <row r="24" spans="1:13" ht="14.4" hidden="1" customHeight="1" outlineLevel="1" x14ac:dyDescent="0.3">
      <c r="A24" s="119" t="s">
        <v>178</v>
      </c>
      <c r="B24" s="122">
        <v>0</v>
      </c>
      <c r="C24" s="113">
        <v>0</v>
      </c>
      <c r="D24" s="113">
        <v>0</v>
      </c>
      <c r="E24" s="134" t="s">
        <v>500</v>
      </c>
      <c r="F24" s="122">
        <v>0</v>
      </c>
      <c r="G24" s="113">
        <v>0</v>
      </c>
      <c r="H24" s="113">
        <v>0</v>
      </c>
      <c r="I24" s="136" t="s">
        <v>500</v>
      </c>
      <c r="J24" s="547">
        <f>0.97*0.989</f>
        <v>0.95933000000000002</v>
      </c>
      <c r="K24" s="548"/>
      <c r="L24" s="149">
        <f t="shared" si="2"/>
        <v>0</v>
      </c>
      <c r="M24" s="150">
        <f t="shared" si="3"/>
        <v>0</v>
      </c>
    </row>
    <row r="25" spans="1:13" ht="14.4" hidden="1" customHeight="1" outlineLevel="1" thickBot="1" x14ac:dyDescent="0.35">
      <c r="A25" s="250" t="s">
        <v>241</v>
      </c>
      <c r="B25" s="251">
        <v>0</v>
      </c>
      <c r="C25" s="252">
        <v>0</v>
      </c>
      <c r="D25" s="252">
        <v>0</v>
      </c>
      <c r="E25" s="253"/>
      <c r="F25" s="251">
        <v>0</v>
      </c>
      <c r="G25" s="252">
        <v>0</v>
      </c>
      <c r="H25" s="252">
        <v>0</v>
      </c>
      <c r="I25" s="255"/>
      <c r="J25" s="371"/>
      <c r="K25" s="372"/>
      <c r="L25" s="258">
        <f>D25-B25</f>
        <v>0</v>
      </c>
      <c r="M25" s="259">
        <f>H25-F25</f>
        <v>0</v>
      </c>
    </row>
    <row r="26" spans="1:13" ht="14.4" customHeight="1" collapsed="1" thickBot="1" x14ac:dyDescent="0.35">
      <c r="A26" s="151" t="s">
        <v>6</v>
      </c>
      <c r="B26" s="152">
        <f>SUM(B18:B25)</f>
        <v>274.02600000000001</v>
      </c>
      <c r="C26" s="153">
        <f>SUM(C18:C25)</f>
        <v>219.10599999999999</v>
      </c>
      <c r="D26" s="153">
        <f>SUM(D18:D25)</f>
        <v>253.71</v>
      </c>
      <c r="E26" s="154">
        <f>IF(OR(D26=0,B26=0),0,D26/B26)</f>
        <v>0.92586104968141714</v>
      </c>
      <c r="F26" s="152">
        <f>SUM(F18:F25)</f>
        <v>126</v>
      </c>
      <c r="G26" s="153">
        <f>SUM(G18:G25)</f>
        <v>113</v>
      </c>
      <c r="H26" s="153">
        <f>SUM(H18:H25)</f>
        <v>103</v>
      </c>
      <c r="I26" s="155">
        <f>IF(OR(H26=0,F26=0),0,H26/F26)</f>
        <v>0.81746031746031744</v>
      </c>
      <c r="J26" s="123"/>
      <c r="K26" s="123"/>
      <c r="L26" s="145">
        <f t="shared" si="2"/>
        <v>-20.316000000000003</v>
      </c>
      <c r="M26" s="156">
        <f t="shared" si="3"/>
        <v>-23</v>
      </c>
    </row>
    <row r="27" spans="1:13" ht="14.4" customHeight="1" x14ac:dyDescent="0.3">
      <c r="A27" s="157"/>
      <c r="B27" s="552" t="s">
        <v>237</v>
      </c>
      <c r="C27" s="563"/>
      <c r="D27" s="563"/>
      <c r="E27" s="563"/>
      <c r="F27" s="552" t="s">
        <v>238</v>
      </c>
      <c r="G27" s="563"/>
      <c r="H27" s="563"/>
      <c r="I27" s="563"/>
      <c r="J27" s="158"/>
      <c r="K27" s="158"/>
      <c r="L27" s="158"/>
      <c r="M27" s="159"/>
    </row>
    <row r="28" spans="1:13" ht="14.4" customHeight="1" thickBot="1" x14ac:dyDescent="0.35">
      <c r="A28" s="157"/>
      <c r="B28" s="369"/>
      <c r="C28" s="370"/>
      <c r="D28" s="370"/>
      <c r="E28" s="370"/>
      <c r="F28" s="369"/>
      <c r="G28" s="370"/>
      <c r="H28" s="370"/>
      <c r="I28" s="370"/>
      <c r="J28" s="158"/>
      <c r="K28" s="158"/>
      <c r="L28" s="158"/>
      <c r="M28" s="159"/>
    </row>
    <row r="29" spans="1:13" ht="14.4" customHeight="1" thickBot="1" x14ac:dyDescent="0.35">
      <c r="A29" s="553" t="s">
        <v>236</v>
      </c>
      <c r="B29" s="555" t="s">
        <v>74</v>
      </c>
      <c r="C29" s="556"/>
      <c r="D29" s="556"/>
      <c r="E29" s="557"/>
      <c r="F29" s="556" t="s">
        <v>242</v>
      </c>
      <c r="G29" s="556"/>
      <c r="H29" s="556"/>
      <c r="I29" s="557"/>
      <c r="J29" s="158"/>
      <c r="K29" s="158"/>
      <c r="L29" s="158"/>
      <c r="M29" s="159"/>
    </row>
    <row r="30" spans="1:13" ht="14.4" customHeight="1" thickBot="1" x14ac:dyDescent="0.35">
      <c r="A30" s="554"/>
      <c r="B30" s="160">
        <v>2012</v>
      </c>
      <c r="C30" s="161">
        <v>2013</v>
      </c>
      <c r="D30" s="161">
        <v>2014</v>
      </c>
      <c r="E30" s="162" t="s">
        <v>5</v>
      </c>
      <c r="F30" s="161">
        <v>2012</v>
      </c>
      <c r="G30" s="161">
        <v>2013</v>
      </c>
      <c r="H30" s="161">
        <v>2014</v>
      </c>
      <c r="I30" s="162" t="s">
        <v>5</v>
      </c>
      <c r="J30" s="158"/>
      <c r="K30" s="158"/>
      <c r="L30" s="163" t="s">
        <v>75</v>
      </c>
      <c r="M30" s="164" t="s">
        <v>76</v>
      </c>
    </row>
    <row r="31" spans="1:13" ht="14.4" hidden="1" customHeight="1" outlineLevel="1" x14ac:dyDescent="0.3">
      <c r="A31" s="118" t="s">
        <v>172</v>
      </c>
      <c r="B31" s="121">
        <v>0</v>
      </c>
      <c r="C31" s="114">
        <v>0</v>
      </c>
      <c r="D31" s="114">
        <v>37.497</v>
      </c>
      <c r="E31" s="131" t="s">
        <v>500</v>
      </c>
      <c r="F31" s="132">
        <v>0</v>
      </c>
      <c r="G31" s="114">
        <v>0</v>
      </c>
      <c r="H31" s="114">
        <v>2</v>
      </c>
      <c r="I31" s="133" t="s">
        <v>500</v>
      </c>
      <c r="J31" s="158"/>
      <c r="K31" s="158"/>
      <c r="L31" s="147">
        <f t="shared" ref="L31:L39" si="4">D31-B31</f>
        <v>37.497</v>
      </c>
      <c r="M31" s="148">
        <f t="shared" ref="M31:M39" si="5">H31-F31</f>
        <v>2</v>
      </c>
    </row>
    <row r="32" spans="1:13" ht="14.4" hidden="1" customHeight="1" outlineLevel="1" x14ac:dyDescent="0.3">
      <c r="A32" s="119" t="s">
        <v>173</v>
      </c>
      <c r="B32" s="122">
        <v>0</v>
      </c>
      <c r="C32" s="113">
        <v>0</v>
      </c>
      <c r="D32" s="113">
        <v>0</v>
      </c>
      <c r="E32" s="134" t="s">
        <v>500</v>
      </c>
      <c r="F32" s="135">
        <v>0</v>
      </c>
      <c r="G32" s="113">
        <v>0</v>
      </c>
      <c r="H32" s="113">
        <v>0</v>
      </c>
      <c r="I32" s="136" t="s">
        <v>500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174</v>
      </c>
      <c r="B33" s="122">
        <v>0</v>
      </c>
      <c r="C33" s="113">
        <v>0</v>
      </c>
      <c r="D33" s="113">
        <v>0</v>
      </c>
      <c r="E33" s="134" t="s">
        <v>500</v>
      </c>
      <c r="F33" s="135">
        <v>0</v>
      </c>
      <c r="G33" s="113">
        <v>0</v>
      </c>
      <c r="H33" s="113">
        <v>0</v>
      </c>
      <c r="I33" s="136" t="s">
        <v>500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175</v>
      </c>
      <c r="B34" s="122">
        <v>0</v>
      </c>
      <c r="C34" s="113">
        <v>0</v>
      </c>
      <c r="D34" s="113">
        <v>0</v>
      </c>
      <c r="E34" s="134" t="s">
        <v>500</v>
      </c>
      <c r="F34" s="135">
        <v>0</v>
      </c>
      <c r="G34" s="113">
        <v>0</v>
      </c>
      <c r="H34" s="113">
        <v>0</v>
      </c>
      <c r="I34" s="136" t="s">
        <v>500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176</v>
      </c>
      <c r="B35" s="122">
        <v>0</v>
      </c>
      <c r="C35" s="113">
        <v>0</v>
      </c>
      <c r="D35" s="113">
        <v>0</v>
      </c>
      <c r="E35" s="134" t="s">
        <v>500</v>
      </c>
      <c r="F35" s="135">
        <v>0</v>
      </c>
      <c r="G35" s="113">
        <v>0</v>
      </c>
      <c r="H35" s="113">
        <v>0</v>
      </c>
      <c r="I35" s="136" t="s">
        <v>500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177</v>
      </c>
      <c r="B36" s="122">
        <v>0</v>
      </c>
      <c r="C36" s="113">
        <v>0</v>
      </c>
      <c r="D36" s="113">
        <v>0</v>
      </c>
      <c r="E36" s="134" t="s">
        <v>500</v>
      </c>
      <c r="F36" s="135">
        <v>0</v>
      </c>
      <c r="G36" s="113">
        <v>0</v>
      </c>
      <c r="H36" s="113">
        <v>0</v>
      </c>
      <c r="I36" s="136" t="s">
        <v>500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178</v>
      </c>
      <c r="B37" s="122">
        <v>0</v>
      </c>
      <c r="C37" s="113">
        <v>0</v>
      </c>
      <c r="D37" s="113">
        <v>0</v>
      </c>
      <c r="E37" s="134" t="s">
        <v>500</v>
      </c>
      <c r="F37" s="135">
        <v>0</v>
      </c>
      <c r="G37" s="113">
        <v>0</v>
      </c>
      <c r="H37" s="113">
        <v>0</v>
      </c>
      <c r="I37" s="136" t="s">
        <v>500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50" t="s">
        <v>241</v>
      </c>
      <c r="B38" s="251">
        <v>0</v>
      </c>
      <c r="C38" s="252">
        <v>0</v>
      </c>
      <c r="D38" s="252">
        <v>0</v>
      </c>
      <c r="E38" s="253"/>
      <c r="F38" s="254">
        <v>0</v>
      </c>
      <c r="G38" s="252">
        <v>0</v>
      </c>
      <c r="H38" s="252">
        <v>0</v>
      </c>
      <c r="I38" s="255"/>
      <c r="J38" s="158"/>
      <c r="K38" s="158"/>
      <c r="L38" s="258">
        <f>D38-B38</f>
        <v>0</v>
      </c>
      <c r="M38" s="259">
        <f>H38-F38</f>
        <v>0</v>
      </c>
    </row>
    <row r="39" spans="1:13" ht="14.4" customHeight="1" collapsed="1" thickBot="1" x14ac:dyDescent="0.35">
      <c r="A39" s="165" t="s">
        <v>6</v>
      </c>
      <c r="B39" s="117">
        <f>SUM(B31:B38)</f>
        <v>0</v>
      </c>
      <c r="C39" s="166">
        <f>SUM(C31:C38)</f>
        <v>0</v>
      </c>
      <c r="D39" s="166">
        <f>SUM(D31:D38)</f>
        <v>37.497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2</v>
      </c>
      <c r="I39" s="169">
        <f>IF(OR(H39=0,F39=0),0,H39/F39)</f>
        <v>0</v>
      </c>
      <c r="J39" s="158"/>
      <c r="K39" s="158"/>
      <c r="L39" s="163">
        <f t="shared" si="4"/>
        <v>37.497</v>
      </c>
      <c r="M39" s="170">
        <f t="shared" si="5"/>
        <v>2</v>
      </c>
    </row>
    <row r="40" spans="1:13" ht="14.4" customHeight="1" x14ac:dyDescent="0.25">
      <c r="A40" s="373"/>
      <c r="B40" s="373"/>
      <c r="C40" s="373"/>
      <c r="D40" s="373"/>
      <c r="E40" s="374"/>
      <c r="F40" s="373"/>
      <c r="G40" s="373"/>
      <c r="H40" s="373"/>
      <c r="I40" s="375"/>
      <c r="J40" s="373"/>
      <c r="K40" s="373"/>
      <c r="L40" s="373"/>
      <c r="M40" s="373"/>
    </row>
    <row r="41" spans="1:13" ht="14.4" customHeight="1" x14ac:dyDescent="0.3">
      <c r="A41" s="268" t="s">
        <v>239</v>
      </c>
      <c r="B41" s="373"/>
      <c r="C41" s="373"/>
      <c r="D41" s="373"/>
      <c r="E41" s="374"/>
      <c r="F41" s="373"/>
      <c r="G41" s="373"/>
      <c r="H41" s="373"/>
      <c r="I41" s="375"/>
      <c r="J41" s="373"/>
      <c r="K41" s="373"/>
      <c r="L41" s="373"/>
      <c r="M41" s="373"/>
    </row>
    <row r="42" spans="1:13" ht="14.4" customHeight="1" x14ac:dyDescent="0.3">
      <c r="A42" s="249" t="s">
        <v>240</v>
      </c>
      <c r="B42" s="373"/>
      <c r="C42" s="373"/>
      <c r="D42" s="373"/>
      <c r="E42" s="374"/>
      <c r="F42" s="373"/>
      <c r="G42" s="373"/>
      <c r="H42" s="373"/>
      <c r="I42" s="375"/>
      <c r="J42" s="373"/>
      <c r="K42" s="373"/>
      <c r="L42" s="373"/>
      <c r="M42" s="373"/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7" t="s">
        <v>118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89" t="s">
        <v>298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8"/>
      <c r="C3" s="378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8"/>
      <c r="C4" s="378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8"/>
      <c r="C5" s="378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8"/>
      <c r="C6" s="378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8"/>
      <c r="C7" s="378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8"/>
      <c r="C8" s="378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8"/>
      <c r="C9" s="378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8"/>
      <c r="C10" s="378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8"/>
      <c r="C11" s="378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8"/>
      <c r="C12" s="378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8"/>
      <c r="C13" s="378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8"/>
      <c r="C14" s="378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8"/>
      <c r="C15" s="378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8"/>
      <c r="C16" s="378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8"/>
      <c r="C17" s="378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8"/>
      <c r="C18" s="378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8"/>
      <c r="C19" s="378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8"/>
      <c r="C20" s="378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8"/>
      <c r="C21" s="378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8"/>
      <c r="C22" s="378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8"/>
      <c r="C23" s="378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8"/>
      <c r="C24" s="378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8"/>
      <c r="C25" s="378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8"/>
      <c r="C26" s="378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8"/>
      <c r="C27" s="378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8"/>
      <c r="C28" s="378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8"/>
      <c r="C29" s="378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8"/>
      <c r="C30" s="378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4" t="s">
        <v>86</v>
      </c>
      <c r="C31" s="565"/>
      <c r="D31" s="565"/>
      <c r="E31" s="566"/>
      <c r="F31" s="171" t="s">
        <v>86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70</v>
      </c>
      <c r="B32" s="172" t="s">
        <v>89</v>
      </c>
      <c r="C32" s="173" t="s">
        <v>90</v>
      </c>
      <c r="D32" s="173" t="s">
        <v>91</v>
      </c>
      <c r="E32" s="174" t="s">
        <v>5</v>
      </c>
      <c r="F32" s="175" t="s">
        <v>92</v>
      </c>
      <c r="G32" s="379"/>
      <c r="H32" s="379" t="s">
        <v>119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106</v>
      </c>
      <c r="B33" s="206">
        <v>427.76</v>
      </c>
      <c r="C33" s="206">
        <v>1151</v>
      </c>
      <c r="D33" s="84">
        <f>IF(C33="","",C33-B33)</f>
        <v>723.24</v>
      </c>
      <c r="E33" s="85">
        <f>IF(C33="","",C33/B33)</f>
        <v>2.6907611744903686</v>
      </c>
      <c r="F33" s="86">
        <v>739.53</v>
      </c>
      <c r="G33" s="379">
        <v>0</v>
      </c>
      <c r="H33" s="380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107</v>
      </c>
      <c r="B34" s="207">
        <v>1087.3900000000001</v>
      </c>
      <c r="C34" s="207">
        <v>2953</v>
      </c>
      <c r="D34" s="87">
        <f t="shared" ref="D34:D45" si="0">IF(C34="","",C34-B34)</f>
        <v>1865.61</v>
      </c>
      <c r="E34" s="88">
        <f t="shared" ref="E34:E45" si="1">IF(C34="","",C34/B34)</f>
        <v>2.7156769880171785</v>
      </c>
      <c r="F34" s="89">
        <v>1886.6</v>
      </c>
      <c r="G34" s="379">
        <v>1</v>
      </c>
      <c r="H34" s="380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108</v>
      </c>
      <c r="B35" s="207"/>
      <c r="C35" s="207"/>
      <c r="D35" s="87" t="str">
        <f t="shared" si="0"/>
        <v/>
      </c>
      <c r="E35" s="88" t="str">
        <f t="shared" si="1"/>
        <v/>
      </c>
      <c r="F35" s="89"/>
      <c r="G35" s="381"/>
      <c r="H35" s="381"/>
      <c r="I35" s="80"/>
      <c r="J35" s="80"/>
      <c r="K35" s="80"/>
      <c r="L35" s="80"/>
      <c r="M35" s="80"/>
    </row>
    <row r="36" spans="1:13" ht="14.4" customHeight="1" x14ac:dyDescent="0.3">
      <c r="A36" s="177" t="s">
        <v>109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81"/>
      <c r="H36" s="381"/>
      <c r="I36" s="80"/>
      <c r="J36" s="80"/>
      <c r="K36" s="80"/>
      <c r="L36" s="80"/>
      <c r="M36" s="80"/>
    </row>
    <row r="37" spans="1:13" ht="14.4" customHeight="1" x14ac:dyDescent="0.3">
      <c r="A37" s="177" t="s">
        <v>110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81"/>
      <c r="H37" s="381"/>
      <c r="I37" s="80"/>
      <c r="J37" s="80"/>
      <c r="K37" s="80"/>
      <c r="L37" s="80"/>
      <c r="M37" s="80"/>
    </row>
    <row r="38" spans="1:13" ht="14.4" customHeight="1" x14ac:dyDescent="0.3">
      <c r="A38" s="177" t="s">
        <v>111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81"/>
      <c r="H38" s="381"/>
      <c r="I38" s="80"/>
      <c r="J38" s="80"/>
      <c r="K38" s="80"/>
      <c r="L38" s="80"/>
      <c r="M38" s="80"/>
    </row>
    <row r="39" spans="1:13" ht="14.4" customHeight="1" x14ac:dyDescent="0.3">
      <c r="A39" s="177" t="s">
        <v>112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81"/>
      <c r="H39" s="381"/>
      <c r="I39" s="80"/>
      <c r="J39" s="80"/>
      <c r="K39" s="80"/>
      <c r="L39" s="80"/>
      <c r="M39" s="80"/>
    </row>
    <row r="40" spans="1:13" ht="14.4" customHeight="1" x14ac:dyDescent="0.3">
      <c r="A40" s="177" t="s">
        <v>113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81"/>
      <c r="H40" s="381"/>
      <c r="I40" s="80"/>
      <c r="J40" s="80"/>
      <c r="K40" s="80"/>
      <c r="L40" s="80"/>
      <c r="M40" s="80"/>
    </row>
    <row r="41" spans="1:13" ht="14.4" customHeight="1" x14ac:dyDescent="0.3">
      <c r="A41" s="177" t="s">
        <v>114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81"/>
      <c r="H41" s="381"/>
      <c r="I41" s="80"/>
      <c r="J41" s="80"/>
      <c r="K41" s="80"/>
      <c r="L41" s="80"/>
      <c r="M41" s="80"/>
    </row>
    <row r="42" spans="1:13" ht="14.4" customHeight="1" x14ac:dyDescent="0.3">
      <c r="A42" s="177" t="s">
        <v>115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81"/>
      <c r="H42" s="381"/>
      <c r="I42" s="80"/>
      <c r="J42" s="80"/>
      <c r="K42" s="80"/>
      <c r="L42" s="80"/>
      <c r="M42" s="80"/>
    </row>
    <row r="43" spans="1:13" ht="14.4" customHeight="1" x14ac:dyDescent="0.3">
      <c r="A43" s="177" t="s">
        <v>116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81"/>
      <c r="H43" s="381"/>
      <c r="I43" s="80"/>
      <c r="J43" s="80"/>
      <c r="K43" s="80"/>
      <c r="L43" s="80"/>
      <c r="M43" s="80"/>
    </row>
    <row r="44" spans="1:13" ht="14.4" customHeight="1" x14ac:dyDescent="0.3">
      <c r="A44" s="177" t="s">
        <v>117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81"/>
      <c r="H44" s="381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120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81"/>
      <c r="H45" s="381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4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3" customWidth="1"/>
    <col min="3" max="3" width="5.88671875" style="223" customWidth="1"/>
    <col min="4" max="4" width="7.6640625" style="223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3" customWidth="1"/>
    <col min="20" max="20" width="9.6640625" style="223" customWidth="1"/>
    <col min="21" max="21" width="7.6640625" style="22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7" customFormat="1" ht="18.600000000000001" customHeight="1" thickBot="1" x14ac:dyDescent="0.4">
      <c r="A1" s="520" t="s">
        <v>3349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ht="14.4" customHeight="1" thickBot="1" x14ac:dyDescent="0.35">
      <c r="A2" s="389" t="s">
        <v>298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2"/>
      <c r="Q2" s="382"/>
      <c r="R2" s="382"/>
      <c r="S2" s="383"/>
      <c r="T2" s="383"/>
      <c r="U2" s="383"/>
      <c r="V2" s="382"/>
      <c r="W2" s="384"/>
    </row>
    <row r="3" spans="1:23" s="94" customFormat="1" ht="14.4" customHeight="1" x14ac:dyDescent="0.3">
      <c r="A3" s="573" t="s">
        <v>78</v>
      </c>
      <c r="B3" s="574">
        <v>2012</v>
      </c>
      <c r="C3" s="575"/>
      <c r="D3" s="576"/>
      <c r="E3" s="574">
        <v>2013</v>
      </c>
      <c r="F3" s="575"/>
      <c r="G3" s="576"/>
      <c r="H3" s="574">
        <v>2014</v>
      </c>
      <c r="I3" s="575"/>
      <c r="J3" s="576"/>
      <c r="K3" s="577" t="s">
        <v>79</v>
      </c>
      <c r="L3" s="569" t="s">
        <v>80</v>
      </c>
      <c r="M3" s="569" t="s">
        <v>81</v>
      </c>
      <c r="N3" s="569" t="s">
        <v>82</v>
      </c>
      <c r="O3" s="276" t="s">
        <v>83</v>
      </c>
      <c r="P3" s="570" t="s">
        <v>84</v>
      </c>
      <c r="Q3" s="571" t="s">
        <v>85</v>
      </c>
      <c r="R3" s="572"/>
      <c r="S3" s="567" t="s">
        <v>86</v>
      </c>
      <c r="T3" s="568"/>
      <c r="U3" s="568"/>
      <c r="V3" s="568"/>
      <c r="W3" s="224" t="s">
        <v>86</v>
      </c>
    </row>
    <row r="4" spans="1:23" s="95" customFormat="1" ht="14.4" customHeight="1" thickBot="1" x14ac:dyDescent="0.35">
      <c r="A4" s="784"/>
      <c r="B4" s="785" t="s">
        <v>87</v>
      </c>
      <c r="C4" s="786" t="s">
        <v>75</v>
      </c>
      <c r="D4" s="787" t="s">
        <v>88</v>
      </c>
      <c r="E4" s="785" t="s">
        <v>87</v>
      </c>
      <c r="F4" s="786" t="s">
        <v>75</v>
      </c>
      <c r="G4" s="787" t="s">
        <v>88</v>
      </c>
      <c r="H4" s="785" t="s">
        <v>87</v>
      </c>
      <c r="I4" s="786" t="s">
        <v>75</v>
      </c>
      <c r="J4" s="787" t="s">
        <v>88</v>
      </c>
      <c r="K4" s="788"/>
      <c r="L4" s="789"/>
      <c r="M4" s="789"/>
      <c r="N4" s="789"/>
      <c r="O4" s="790"/>
      <c r="P4" s="791"/>
      <c r="Q4" s="792" t="s">
        <v>76</v>
      </c>
      <c r="R4" s="793" t="s">
        <v>75</v>
      </c>
      <c r="S4" s="794" t="s">
        <v>89</v>
      </c>
      <c r="T4" s="795" t="s">
        <v>90</v>
      </c>
      <c r="U4" s="795" t="s">
        <v>91</v>
      </c>
      <c r="V4" s="796" t="s">
        <v>5</v>
      </c>
      <c r="W4" s="797" t="s">
        <v>92</v>
      </c>
    </row>
    <row r="5" spans="1:23" ht="14.4" customHeight="1" x14ac:dyDescent="0.3">
      <c r="A5" s="827" t="s">
        <v>3066</v>
      </c>
      <c r="B5" s="798"/>
      <c r="C5" s="799"/>
      <c r="D5" s="800"/>
      <c r="E5" s="801">
        <v>1</v>
      </c>
      <c r="F5" s="802">
        <v>15.62</v>
      </c>
      <c r="G5" s="803">
        <v>64</v>
      </c>
      <c r="H5" s="804"/>
      <c r="I5" s="805"/>
      <c r="J5" s="806"/>
      <c r="K5" s="807">
        <v>11.49</v>
      </c>
      <c r="L5" s="804">
        <v>6</v>
      </c>
      <c r="M5" s="804">
        <v>53</v>
      </c>
      <c r="N5" s="808">
        <v>17.510000000000002</v>
      </c>
      <c r="O5" s="804" t="s">
        <v>3067</v>
      </c>
      <c r="P5" s="809" t="s">
        <v>3068</v>
      </c>
      <c r="Q5" s="810">
        <f>H5-B5</f>
        <v>0</v>
      </c>
      <c r="R5" s="810">
        <f>I5-C5</f>
        <v>0</v>
      </c>
      <c r="S5" s="798" t="str">
        <f>IF(H5=0,"",H5*N5)</f>
        <v/>
      </c>
      <c r="T5" s="798" t="str">
        <f>IF(H5=0,"",H5*J5)</f>
        <v/>
      </c>
      <c r="U5" s="798" t="str">
        <f>IF(H5=0,"",T5-S5)</f>
        <v/>
      </c>
      <c r="V5" s="811" t="str">
        <f>IF(H5=0,"",T5/S5)</f>
        <v/>
      </c>
      <c r="W5" s="812"/>
    </row>
    <row r="6" spans="1:23" ht="14.4" customHeight="1" x14ac:dyDescent="0.3">
      <c r="A6" s="828" t="s">
        <v>3069</v>
      </c>
      <c r="B6" s="777"/>
      <c r="C6" s="778"/>
      <c r="D6" s="779"/>
      <c r="E6" s="782"/>
      <c r="F6" s="762"/>
      <c r="G6" s="763"/>
      <c r="H6" s="758">
        <v>1</v>
      </c>
      <c r="I6" s="759">
        <v>30.58</v>
      </c>
      <c r="J6" s="768">
        <v>70</v>
      </c>
      <c r="K6" s="764">
        <v>30.58</v>
      </c>
      <c r="L6" s="761">
        <v>11</v>
      </c>
      <c r="M6" s="761">
        <v>98</v>
      </c>
      <c r="N6" s="765">
        <v>32.64</v>
      </c>
      <c r="O6" s="761" t="s">
        <v>3067</v>
      </c>
      <c r="P6" s="780" t="s">
        <v>3070</v>
      </c>
      <c r="Q6" s="766">
        <f t="shared" ref="Q6:R69" si="0">H6-B6</f>
        <v>1</v>
      </c>
      <c r="R6" s="766">
        <f t="shared" si="0"/>
        <v>30.58</v>
      </c>
      <c r="S6" s="777">
        <f t="shared" ref="S6:S69" si="1">IF(H6=0,"",H6*N6)</f>
        <v>32.64</v>
      </c>
      <c r="T6" s="777">
        <f t="shared" ref="T6:T69" si="2">IF(H6=0,"",H6*J6)</f>
        <v>70</v>
      </c>
      <c r="U6" s="777">
        <f t="shared" ref="U6:U69" si="3">IF(H6=0,"",T6-S6)</f>
        <v>37.36</v>
      </c>
      <c r="V6" s="781">
        <f t="shared" ref="V6:V69" si="4">IF(H6=0,"",T6/S6)</f>
        <v>2.1446078431372548</v>
      </c>
      <c r="W6" s="767">
        <v>37</v>
      </c>
    </row>
    <row r="7" spans="1:23" ht="14.4" customHeight="1" x14ac:dyDescent="0.3">
      <c r="A7" s="828" t="s">
        <v>3071</v>
      </c>
      <c r="B7" s="769">
        <v>2</v>
      </c>
      <c r="C7" s="770">
        <v>14.3</v>
      </c>
      <c r="D7" s="771">
        <v>27</v>
      </c>
      <c r="E7" s="782"/>
      <c r="F7" s="762"/>
      <c r="G7" s="763"/>
      <c r="H7" s="761"/>
      <c r="I7" s="762"/>
      <c r="J7" s="763"/>
      <c r="K7" s="764">
        <v>6.4</v>
      </c>
      <c r="L7" s="761">
        <v>4</v>
      </c>
      <c r="M7" s="761">
        <v>34</v>
      </c>
      <c r="N7" s="765">
        <v>11.47</v>
      </c>
      <c r="O7" s="761" t="s">
        <v>3067</v>
      </c>
      <c r="P7" s="780" t="s">
        <v>3072</v>
      </c>
      <c r="Q7" s="766">
        <f t="shared" si="0"/>
        <v>-2</v>
      </c>
      <c r="R7" s="766">
        <f t="shared" si="0"/>
        <v>-14.3</v>
      </c>
      <c r="S7" s="777" t="str">
        <f t="shared" si="1"/>
        <v/>
      </c>
      <c r="T7" s="777" t="str">
        <f t="shared" si="2"/>
        <v/>
      </c>
      <c r="U7" s="777" t="str">
        <f t="shared" si="3"/>
        <v/>
      </c>
      <c r="V7" s="781" t="str">
        <f t="shared" si="4"/>
        <v/>
      </c>
      <c r="W7" s="767"/>
    </row>
    <row r="8" spans="1:23" ht="14.4" customHeight="1" x14ac:dyDescent="0.3">
      <c r="A8" s="829" t="s">
        <v>3073</v>
      </c>
      <c r="B8" s="813"/>
      <c r="C8" s="814"/>
      <c r="D8" s="772"/>
      <c r="E8" s="815"/>
      <c r="F8" s="816"/>
      <c r="G8" s="773"/>
      <c r="H8" s="817">
        <v>1</v>
      </c>
      <c r="I8" s="816">
        <v>11.49</v>
      </c>
      <c r="J8" s="774">
        <v>55</v>
      </c>
      <c r="K8" s="818">
        <v>8.2100000000000009</v>
      </c>
      <c r="L8" s="817">
        <v>5</v>
      </c>
      <c r="M8" s="817">
        <v>44</v>
      </c>
      <c r="N8" s="819">
        <v>14.75</v>
      </c>
      <c r="O8" s="817" t="s">
        <v>3067</v>
      </c>
      <c r="P8" s="820" t="s">
        <v>3074</v>
      </c>
      <c r="Q8" s="821">
        <f t="shared" si="0"/>
        <v>1</v>
      </c>
      <c r="R8" s="821">
        <f t="shared" si="0"/>
        <v>11.49</v>
      </c>
      <c r="S8" s="822">
        <f t="shared" si="1"/>
        <v>14.75</v>
      </c>
      <c r="T8" s="822">
        <f t="shared" si="2"/>
        <v>55</v>
      </c>
      <c r="U8" s="822">
        <f t="shared" si="3"/>
        <v>40.25</v>
      </c>
      <c r="V8" s="823">
        <f t="shared" si="4"/>
        <v>3.7288135593220337</v>
      </c>
      <c r="W8" s="775">
        <v>40</v>
      </c>
    </row>
    <row r="9" spans="1:23" ht="14.4" customHeight="1" x14ac:dyDescent="0.3">
      <c r="A9" s="828" t="s">
        <v>3075</v>
      </c>
      <c r="B9" s="777"/>
      <c r="C9" s="778"/>
      <c r="D9" s="779"/>
      <c r="E9" s="782"/>
      <c r="F9" s="762"/>
      <c r="G9" s="763"/>
      <c r="H9" s="758">
        <v>1</v>
      </c>
      <c r="I9" s="759">
        <v>5.75</v>
      </c>
      <c r="J9" s="768">
        <v>35</v>
      </c>
      <c r="K9" s="764">
        <v>3.26</v>
      </c>
      <c r="L9" s="761">
        <v>2</v>
      </c>
      <c r="M9" s="761">
        <v>22</v>
      </c>
      <c r="N9" s="765">
        <v>7.4</v>
      </c>
      <c r="O9" s="761" t="s">
        <v>3067</v>
      </c>
      <c r="P9" s="780" t="s">
        <v>3076</v>
      </c>
      <c r="Q9" s="766">
        <f t="shared" si="0"/>
        <v>1</v>
      </c>
      <c r="R9" s="766">
        <f t="shared" si="0"/>
        <v>5.75</v>
      </c>
      <c r="S9" s="777">
        <f t="shared" si="1"/>
        <v>7.4</v>
      </c>
      <c r="T9" s="777">
        <f t="shared" si="2"/>
        <v>35</v>
      </c>
      <c r="U9" s="777">
        <f t="shared" si="3"/>
        <v>27.6</v>
      </c>
      <c r="V9" s="781">
        <f t="shared" si="4"/>
        <v>4.7297297297297298</v>
      </c>
      <c r="W9" s="767">
        <v>28</v>
      </c>
    </row>
    <row r="10" spans="1:23" ht="14.4" customHeight="1" x14ac:dyDescent="0.3">
      <c r="A10" s="828" t="s">
        <v>3077</v>
      </c>
      <c r="B10" s="777"/>
      <c r="C10" s="778"/>
      <c r="D10" s="779"/>
      <c r="E10" s="758">
        <v>1</v>
      </c>
      <c r="F10" s="759">
        <v>5.66</v>
      </c>
      <c r="G10" s="760">
        <v>46</v>
      </c>
      <c r="H10" s="761"/>
      <c r="I10" s="762"/>
      <c r="J10" s="763"/>
      <c r="K10" s="764">
        <v>5.66</v>
      </c>
      <c r="L10" s="761">
        <v>8</v>
      </c>
      <c r="M10" s="761">
        <v>70</v>
      </c>
      <c r="N10" s="765">
        <v>23.49</v>
      </c>
      <c r="O10" s="761" t="s">
        <v>3067</v>
      </c>
      <c r="P10" s="780" t="s">
        <v>3078</v>
      </c>
      <c r="Q10" s="766">
        <f t="shared" si="0"/>
        <v>0</v>
      </c>
      <c r="R10" s="766">
        <f t="shared" si="0"/>
        <v>0</v>
      </c>
      <c r="S10" s="777" t="str">
        <f t="shared" si="1"/>
        <v/>
      </c>
      <c r="T10" s="777" t="str">
        <f t="shared" si="2"/>
        <v/>
      </c>
      <c r="U10" s="777" t="str">
        <f t="shared" si="3"/>
        <v/>
      </c>
      <c r="V10" s="781" t="str">
        <f t="shared" si="4"/>
        <v/>
      </c>
      <c r="W10" s="767"/>
    </row>
    <row r="11" spans="1:23" ht="14.4" customHeight="1" x14ac:dyDescent="0.3">
      <c r="A11" s="828" t="s">
        <v>3079</v>
      </c>
      <c r="B11" s="777"/>
      <c r="C11" s="778"/>
      <c r="D11" s="779"/>
      <c r="E11" s="758">
        <v>1</v>
      </c>
      <c r="F11" s="759">
        <v>1.41</v>
      </c>
      <c r="G11" s="760">
        <v>17</v>
      </c>
      <c r="H11" s="761"/>
      <c r="I11" s="762"/>
      <c r="J11" s="763"/>
      <c r="K11" s="764">
        <v>1.41</v>
      </c>
      <c r="L11" s="761">
        <v>3</v>
      </c>
      <c r="M11" s="761">
        <v>30</v>
      </c>
      <c r="N11" s="765">
        <v>10.16</v>
      </c>
      <c r="O11" s="761" t="s">
        <v>3067</v>
      </c>
      <c r="P11" s="780" t="s">
        <v>3080</v>
      </c>
      <c r="Q11" s="766">
        <f t="shared" si="0"/>
        <v>0</v>
      </c>
      <c r="R11" s="766">
        <f t="shared" si="0"/>
        <v>0</v>
      </c>
      <c r="S11" s="777" t="str">
        <f t="shared" si="1"/>
        <v/>
      </c>
      <c r="T11" s="777" t="str">
        <f t="shared" si="2"/>
        <v/>
      </c>
      <c r="U11" s="777" t="str">
        <f t="shared" si="3"/>
        <v/>
      </c>
      <c r="V11" s="781" t="str">
        <f t="shared" si="4"/>
        <v/>
      </c>
      <c r="W11" s="767"/>
    </row>
    <row r="12" spans="1:23" ht="14.4" customHeight="1" x14ac:dyDescent="0.3">
      <c r="A12" s="828" t="s">
        <v>3081</v>
      </c>
      <c r="B12" s="769"/>
      <c r="C12" s="770"/>
      <c r="D12" s="771"/>
      <c r="E12" s="782">
        <v>1</v>
      </c>
      <c r="F12" s="762">
        <v>0.84</v>
      </c>
      <c r="G12" s="763">
        <v>20</v>
      </c>
      <c r="H12" s="761"/>
      <c r="I12" s="762"/>
      <c r="J12" s="763"/>
      <c r="K12" s="764">
        <v>0.84</v>
      </c>
      <c r="L12" s="761">
        <v>2</v>
      </c>
      <c r="M12" s="761">
        <v>22</v>
      </c>
      <c r="N12" s="765">
        <v>7.44</v>
      </c>
      <c r="O12" s="761" t="s">
        <v>3067</v>
      </c>
      <c r="P12" s="780" t="s">
        <v>3082</v>
      </c>
      <c r="Q12" s="766">
        <f t="shared" si="0"/>
        <v>0</v>
      </c>
      <c r="R12" s="766">
        <f t="shared" si="0"/>
        <v>0</v>
      </c>
      <c r="S12" s="777" t="str">
        <f t="shared" si="1"/>
        <v/>
      </c>
      <c r="T12" s="777" t="str">
        <f t="shared" si="2"/>
        <v/>
      </c>
      <c r="U12" s="777" t="str">
        <f t="shared" si="3"/>
        <v/>
      </c>
      <c r="V12" s="781" t="str">
        <f t="shared" si="4"/>
        <v/>
      </c>
      <c r="W12" s="767"/>
    </row>
    <row r="13" spans="1:23" ht="14.4" customHeight="1" x14ac:dyDescent="0.3">
      <c r="A13" s="829" t="s">
        <v>3083</v>
      </c>
      <c r="B13" s="813">
        <v>1</v>
      </c>
      <c r="C13" s="814">
        <v>1.18</v>
      </c>
      <c r="D13" s="772">
        <v>31</v>
      </c>
      <c r="E13" s="815"/>
      <c r="F13" s="816"/>
      <c r="G13" s="773"/>
      <c r="H13" s="817">
        <v>1</v>
      </c>
      <c r="I13" s="816">
        <v>1</v>
      </c>
      <c r="J13" s="774">
        <v>19</v>
      </c>
      <c r="K13" s="818">
        <v>1</v>
      </c>
      <c r="L13" s="817">
        <v>3</v>
      </c>
      <c r="M13" s="817">
        <v>28</v>
      </c>
      <c r="N13" s="819">
        <v>9.44</v>
      </c>
      <c r="O13" s="817" t="s">
        <v>3067</v>
      </c>
      <c r="P13" s="820" t="s">
        <v>3084</v>
      </c>
      <c r="Q13" s="821">
        <f t="shared" si="0"/>
        <v>0</v>
      </c>
      <c r="R13" s="821">
        <f t="shared" si="0"/>
        <v>-0.17999999999999994</v>
      </c>
      <c r="S13" s="822">
        <f t="shared" si="1"/>
        <v>9.44</v>
      </c>
      <c r="T13" s="822">
        <f t="shared" si="2"/>
        <v>19</v>
      </c>
      <c r="U13" s="822">
        <f t="shared" si="3"/>
        <v>9.56</v>
      </c>
      <c r="V13" s="823">
        <f t="shared" si="4"/>
        <v>2.0127118644067798</v>
      </c>
      <c r="W13" s="775">
        <v>10</v>
      </c>
    </row>
    <row r="14" spans="1:23" ht="14.4" customHeight="1" x14ac:dyDescent="0.3">
      <c r="A14" s="829" t="s">
        <v>3085</v>
      </c>
      <c r="B14" s="813">
        <v>1</v>
      </c>
      <c r="C14" s="814">
        <v>1.34</v>
      </c>
      <c r="D14" s="772">
        <v>20</v>
      </c>
      <c r="E14" s="815"/>
      <c r="F14" s="816"/>
      <c r="G14" s="773"/>
      <c r="H14" s="817"/>
      <c r="I14" s="816"/>
      <c r="J14" s="773"/>
      <c r="K14" s="818">
        <v>1.34</v>
      </c>
      <c r="L14" s="817">
        <v>4</v>
      </c>
      <c r="M14" s="817">
        <v>35</v>
      </c>
      <c r="N14" s="819">
        <v>11.68</v>
      </c>
      <c r="O14" s="817" t="s">
        <v>3067</v>
      </c>
      <c r="P14" s="820" t="s">
        <v>3086</v>
      </c>
      <c r="Q14" s="821">
        <f t="shared" si="0"/>
        <v>-1</v>
      </c>
      <c r="R14" s="821">
        <f t="shared" si="0"/>
        <v>-1.34</v>
      </c>
      <c r="S14" s="822" t="str">
        <f t="shared" si="1"/>
        <v/>
      </c>
      <c r="T14" s="822" t="str">
        <f t="shared" si="2"/>
        <v/>
      </c>
      <c r="U14" s="822" t="str">
        <f t="shared" si="3"/>
        <v/>
      </c>
      <c r="V14" s="823" t="str">
        <f t="shared" si="4"/>
        <v/>
      </c>
      <c r="W14" s="775"/>
    </row>
    <row r="15" spans="1:23" ht="14.4" customHeight="1" x14ac:dyDescent="0.3">
      <c r="A15" s="828" t="s">
        <v>3087</v>
      </c>
      <c r="B15" s="777">
        <v>1</v>
      </c>
      <c r="C15" s="778">
        <v>1.64</v>
      </c>
      <c r="D15" s="779">
        <v>29</v>
      </c>
      <c r="E15" s="782"/>
      <c r="F15" s="762"/>
      <c r="G15" s="763"/>
      <c r="H15" s="758">
        <v>1</v>
      </c>
      <c r="I15" s="759">
        <v>1.64</v>
      </c>
      <c r="J15" s="768">
        <v>29</v>
      </c>
      <c r="K15" s="764">
        <v>1.54</v>
      </c>
      <c r="L15" s="761">
        <v>3</v>
      </c>
      <c r="M15" s="761">
        <v>28</v>
      </c>
      <c r="N15" s="765">
        <v>9.43</v>
      </c>
      <c r="O15" s="761" t="s">
        <v>3067</v>
      </c>
      <c r="P15" s="780" t="s">
        <v>3088</v>
      </c>
      <c r="Q15" s="766">
        <f t="shared" si="0"/>
        <v>0</v>
      </c>
      <c r="R15" s="766">
        <f t="shared" si="0"/>
        <v>0</v>
      </c>
      <c r="S15" s="777">
        <f t="shared" si="1"/>
        <v>9.43</v>
      </c>
      <c r="T15" s="777">
        <f t="shared" si="2"/>
        <v>29</v>
      </c>
      <c r="U15" s="777">
        <f t="shared" si="3"/>
        <v>19.57</v>
      </c>
      <c r="V15" s="781">
        <f t="shared" si="4"/>
        <v>3.0752916224814424</v>
      </c>
      <c r="W15" s="767">
        <v>20</v>
      </c>
    </row>
    <row r="16" spans="1:23" ht="14.4" customHeight="1" x14ac:dyDescent="0.3">
      <c r="A16" s="829" t="s">
        <v>3089</v>
      </c>
      <c r="B16" s="822">
        <v>1</v>
      </c>
      <c r="C16" s="824">
        <v>2.35</v>
      </c>
      <c r="D16" s="783">
        <v>33</v>
      </c>
      <c r="E16" s="815">
        <v>1</v>
      </c>
      <c r="F16" s="816">
        <v>2.88</v>
      </c>
      <c r="G16" s="773">
        <v>45</v>
      </c>
      <c r="H16" s="825"/>
      <c r="I16" s="826"/>
      <c r="J16" s="776"/>
      <c r="K16" s="818">
        <v>2.08</v>
      </c>
      <c r="L16" s="817">
        <v>4</v>
      </c>
      <c r="M16" s="817">
        <v>37</v>
      </c>
      <c r="N16" s="819">
        <v>12.32</v>
      </c>
      <c r="O16" s="817" t="s">
        <v>3067</v>
      </c>
      <c r="P16" s="820" t="s">
        <v>3090</v>
      </c>
      <c r="Q16" s="821">
        <f t="shared" si="0"/>
        <v>-1</v>
      </c>
      <c r="R16" s="821">
        <f t="shared" si="0"/>
        <v>-2.35</v>
      </c>
      <c r="S16" s="822" t="str">
        <f t="shared" si="1"/>
        <v/>
      </c>
      <c r="T16" s="822" t="str">
        <f t="shared" si="2"/>
        <v/>
      </c>
      <c r="U16" s="822" t="str">
        <f t="shared" si="3"/>
        <v/>
      </c>
      <c r="V16" s="823" t="str">
        <f t="shared" si="4"/>
        <v/>
      </c>
      <c r="W16" s="775"/>
    </row>
    <row r="17" spans="1:23" ht="14.4" customHeight="1" x14ac:dyDescent="0.3">
      <c r="A17" s="829" t="s">
        <v>3091</v>
      </c>
      <c r="B17" s="822"/>
      <c r="C17" s="824"/>
      <c r="D17" s="783"/>
      <c r="E17" s="815"/>
      <c r="F17" s="816"/>
      <c r="G17" s="773"/>
      <c r="H17" s="825">
        <v>1</v>
      </c>
      <c r="I17" s="826">
        <v>2.97</v>
      </c>
      <c r="J17" s="774">
        <v>28</v>
      </c>
      <c r="K17" s="818">
        <v>2.97</v>
      </c>
      <c r="L17" s="817">
        <v>4</v>
      </c>
      <c r="M17" s="817">
        <v>39</v>
      </c>
      <c r="N17" s="819">
        <v>13.16</v>
      </c>
      <c r="O17" s="817" t="s">
        <v>3067</v>
      </c>
      <c r="P17" s="820" t="s">
        <v>3092</v>
      </c>
      <c r="Q17" s="821">
        <f t="shared" si="0"/>
        <v>1</v>
      </c>
      <c r="R17" s="821">
        <f t="shared" si="0"/>
        <v>2.97</v>
      </c>
      <c r="S17" s="822">
        <f t="shared" si="1"/>
        <v>13.16</v>
      </c>
      <c r="T17" s="822">
        <f t="shared" si="2"/>
        <v>28</v>
      </c>
      <c r="U17" s="822">
        <f t="shared" si="3"/>
        <v>14.84</v>
      </c>
      <c r="V17" s="823">
        <f t="shared" si="4"/>
        <v>2.1276595744680851</v>
      </c>
      <c r="W17" s="775">
        <v>15</v>
      </c>
    </row>
    <row r="18" spans="1:23" ht="14.4" customHeight="1" x14ac:dyDescent="0.3">
      <c r="A18" s="828" t="s">
        <v>3093</v>
      </c>
      <c r="B18" s="769">
        <v>9</v>
      </c>
      <c r="C18" s="770">
        <v>11.76</v>
      </c>
      <c r="D18" s="771">
        <v>27.6</v>
      </c>
      <c r="E18" s="782">
        <v>2</v>
      </c>
      <c r="F18" s="762">
        <v>2.74</v>
      </c>
      <c r="G18" s="763">
        <v>32.5</v>
      </c>
      <c r="H18" s="761">
        <v>1</v>
      </c>
      <c r="I18" s="762">
        <v>1.07</v>
      </c>
      <c r="J18" s="768">
        <v>20</v>
      </c>
      <c r="K18" s="764">
        <v>1.07</v>
      </c>
      <c r="L18" s="761">
        <v>3</v>
      </c>
      <c r="M18" s="761">
        <v>28</v>
      </c>
      <c r="N18" s="765">
        <v>9.17</v>
      </c>
      <c r="O18" s="761" t="s">
        <v>3067</v>
      </c>
      <c r="P18" s="780" t="s">
        <v>3094</v>
      </c>
      <c r="Q18" s="766">
        <f t="shared" si="0"/>
        <v>-8</v>
      </c>
      <c r="R18" s="766">
        <f t="shared" si="0"/>
        <v>-10.69</v>
      </c>
      <c r="S18" s="777">
        <f t="shared" si="1"/>
        <v>9.17</v>
      </c>
      <c r="T18" s="777">
        <f t="shared" si="2"/>
        <v>20</v>
      </c>
      <c r="U18" s="777">
        <f t="shared" si="3"/>
        <v>10.83</v>
      </c>
      <c r="V18" s="781">
        <f t="shared" si="4"/>
        <v>2.1810250817884405</v>
      </c>
      <c r="W18" s="767">
        <v>11</v>
      </c>
    </row>
    <row r="19" spans="1:23" ht="14.4" customHeight="1" x14ac:dyDescent="0.3">
      <c r="A19" s="829" t="s">
        <v>3095</v>
      </c>
      <c r="B19" s="813">
        <v>6</v>
      </c>
      <c r="C19" s="814">
        <v>9.7200000000000006</v>
      </c>
      <c r="D19" s="772">
        <v>34.200000000000003</v>
      </c>
      <c r="E19" s="815">
        <v>6</v>
      </c>
      <c r="F19" s="816">
        <v>8.93</v>
      </c>
      <c r="G19" s="773">
        <v>29.2</v>
      </c>
      <c r="H19" s="817">
        <v>5</v>
      </c>
      <c r="I19" s="816">
        <v>7.13</v>
      </c>
      <c r="J19" s="774">
        <v>27.6</v>
      </c>
      <c r="K19" s="818">
        <v>1.27</v>
      </c>
      <c r="L19" s="817">
        <v>4</v>
      </c>
      <c r="M19" s="817">
        <v>32</v>
      </c>
      <c r="N19" s="819">
        <v>10.7</v>
      </c>
      <c r="O19" s="817" t="s">
        <v>3067</v>
      </c>
      <c r="P19" s="820" t="s">
        <v>3096</v>
      </c>
      <c r="Q19" s="821">
        <f t="shared" si="0"/>
        <v>-1</v>
      </c>
      <c r="R19" s="821">
        <f t="shared" si="0"/>
        <v>-2.5900000000000007</v>
      </c>
      <c r="S19" s="822">
        <f t="shared" si="1"/>
        <v>53.5</v>
      </c>
      <c r="T19" s="822">
        <f t="shared" si="2"/>
        <v>138</v>
      </c>
      <c r="U19" s="822">
        <f t="shared" si="3"/>
        <v>84.5</v>
      </c>
      <c r="V19" s="823">
        <f t="shared" si="4"/>
        <v>2.5794392523364484</v>
      </c>
      <c r="W19" s="775">
        <v>89</v>
      </c>
    </row>
    <row r="20" spans="1:23" ht="14.4" customHeight="1" x14ac:dyDescent="0.3">
      <c r="A20" s="829" t="s">
        <v>3097</v>
      </c>
      <c r="B20" s="813">
        <v>2</v>
      </c>
      <c r="C20" s="814">
        <v>3.87</v>
      </c>
      <c r="D20" s="772">
        <v>18.5</v>
      </c>
      <c r="E20" s="815">
        <v>2</v>
      </c>
      <c r="F20" s="816">
        <v>3.87</v>
      </c>
      <c r="G20" s="773">
        <v>29.5</v>
      </c>
      <c r="H20" s="817">
        <v>2</v>
      </c>
      <c r="I20" s="816">
        <v>3.96</v>
      </c>
      <c r="J20" s="774">
        <v>32.5</v>
      </c>
      <c r="K20" s="818">
        <v>1.94</v>
      </c>
      <c r="L20" s="817">
        <v>4</v>
      </c>
      <c r="M20" s="817">
        <v>38</v>
      </c>
      <c r="N20" s="819">
        <v>12.76</v>
      </c>
      <c r="O20" s="817" t="s">
        <v>3067</v>
      </c>
      <c r="P20" s="820" t="s">
        <v>3098</v>
      </c>
      <c r="Q20" s="821">
        <f t="shared" si="0"/>
        <v>0</v>
      </c>
      <c r="R20" s="821">
        <f t="shared" si="0"/>
        <v>8.9999999999999858E-2</v>
      </c>
      <c r="S20" s="822">
        <f t="shared" si="1"/>
        <v>25.52</v>
      </c>
      <c r="T20" s="822">
        <f t="shared" si="2"/>
        <v>65</v>
      </c>
      <c r="U20" s="822">
        <f t="shared" si="3"/>
        <v>39.480000000000004</v>
      </c>
      <c r="V20" s="823">
        <f t="shared" si="4"/>
        <v>2.5470219435736676</v>
      </c>
      <c r="W20" s="775">
        <v>39</v>
      </c>
    </row>
    <row r="21" spans="1:23" ht="14.4" customHeight="1" x14ac:dyDescent="0.3">
      <c r="A21" s="828" t="s">
        <v>3099</v>
      </c>
      <c r="B21" s="777"/>
      <c r="C21" s="778"/>
      <c r="D21" s="779"/>
      <c r="E21" s="782"/>
      <c r="F21" s="762"/>
      <c r="G21" s="763"/>
      <c r="H21" s="758">
        <v>2</v>
      </c>
      <c r="I21" s="759">
        <v>2.06</v>
      </c>
      <c r="J21" s="768">
        <v>17.5</v>
      </c>
      <c r="K21" s="764">
        <v>0.75</v>
      </c>
      <c r="L21" s="761">
        <v>3</v>
      </c>
      <c r="M21" s="761">
        <v>28</v>
      </c>
      <c r="N21" s="765">
        <v>9.24</v>
      </c>
      <c r="O21" s="761" t="s">
        <v>3067</v>
      </c>
      <c r="P21" s="780" t="s">
        <v>3100</v>
      </c>
      <c r="Q21" s="766">
        <f t="shared" si="0"/>
        <v>2</v>
      </c>
      <c r="R21" s="766">
        <f t="shared" si="0"/>
        <v>2.06</v>
      </c>
      <c r="S21" s="777">
        <f t="shared" si="1"/>
        <v>18.48</v>
      </c>
      <c r="T21" s="777">
        <f t="shared" si="2"/>
        <v>35</v>
      </c>
      <c r="U21" s="777">
        <f t="shared" si="3"/>
        <v>16.52</v>
      </c>
      <c r="V21" s="781">
        <f t="shared" si="4"/>
        <v>1.8939393939393938</v>
      </c>
      <c r="W21" s="767">
        <v>17</v>
      </c>
    </row>
    <row r="22" spans="1:23" ht="14.4" customHeight="1" x14ac:dyDescent="0.3">
      <c r="A22" s="829" t="s">
        <v>3101</v>
      </c>
      <c r="B22" s="822">
        <v>1</v>
      </c>
      <c r="C22" s="824">
        <v>1.74</v>
      </c>
      <c r="D22" s="783">
        <v>44</v>
      </c>
      <c r="E22" s="815"/>
      <c r="F22" s="816"/>
      <c r="G22" s="773"/>
      <c r="H22" s="825"/>
      <c r="I22" s="826"/>
      <c r="J22" s="776"/>
      <c r="K22" s="818">
        <v>1.06</v>
      </c>
      <c r="L22" s="817">
        <v>4</v>
      </c>
      <c r="M22" s="817">
        <v>32</v>
      </c>
      <c r="N22" s="819">
        <v>10.6</v>
      </c>
      <c r="O22" s="817" t="s">
        <v>3067</v>
      </c>
      <c r="P22" s="820" t="s">
        <v>3102</v>
      </c>
      <c r="Q22" s="821">
        <f t="shared" si="0"/>
        <v>-1</v>
      </c>
      <c r="R22" s="821">
        <f t="shared" si="0"/>
        <v>-1.74</v>
      </c>
      <c r="S22" s="822" t="str">
        <f t="shared" si="1"/>
        <v/>
      </c>
      <c r="T22" s="822" t="str">
        <f t="shared" si="2"/>
        <v/>
      </c>
      <c r="U22" s="822" t="str">
        <f t="shared" si="3"/>
        <v/>
      </c>
      <c r="V22" s="823" t="str">
        <f t="shared" si="4"/>
        <v/>
      </c>
      <c r="W22" s="775"/>
    </row>
    <row r="23" spans="1:23" ht="14.4" customHeight="1" x14ac:dyDescent="0.3">
      <c r="A23" s="828" t="s">
        <v>3103</v>
      </c>
      <c r="B23" s="777"/>
      <c r="C23" s="778"/>
      <c r="D23" s="779"/>
      <c r="E23" s="758">
        <v>1</v>
      </c>
      <c r="F23" s="759">
        <v>0.7</v>
      </c>
      <c r="G23" s="760">
        <v>27</v>
      </c>
      <c r="H23" s="761"/>
      <c r="I23" s="762"/>
      <c r="J23" s="763"/>
      <c r="K23" s="764">
        <v>0.61</v>
      </c>
      <c r="L23" s="761">
        <v>3</v>
      </c>
      <c r="M23" s="761">
        <v>25</v>
      </c>
      <c r="N23" s="765">
        <v>8.48</v>
      </c>
      <c r="O23" s="761" t="s">
        <v>3067</v>
      </c>
      <c r="P23" s="780" t="s">
        <v>3104</v>
      </c>
      <c r="Q23" s="766">
        <f t="shared" si="0"/>
        <v>0</v>
      </c>
      <c r="R23" s="766">
        <f t="shared" si="0"/>
        <v>0</v>
      </c>
      <c r="S23" s="777" t="str">
        <f t="shared" si="1"/>
        <v/>
      </c>
      <c r="T23" s="777" t="str">
        <f t="shared" si="2"/>
        <v/>
      </c>
      <c r="U23" s="777" t="str">
        <f t="shared" si="3"/>
        <v/>
      </c>
      <c r="V23" s="781" t="str">
        <f t="shared" si="4"/>
        <v/>
      </c>
      <c r="W23" s="767"/>
    </row>
    <row r="24" spans="1:23" ht="14.4" customHeight="1" x14ac:dyDescent="0.3">
      <c r="A24" s="828" t="s">
        <v>3105</v>
      </c>
      <c r="B24" s="769">
        <v>1</v>
      </c>
      <c r="C24" s="770">
        <v>1.97</v>
      </c>
      <c r="D24" s="771">
        <v>37</v>
      </c>
      <c r="E24" s="782"/>
      <c r="F24" s="762"/>
      <c r="G24" s="763"/>
      <c r="H24" s="761"/>
      <c r="I24" s="762"/>
      <c r="J24" s="763"/>
      <c r="K24" s="764">
        <v>1.97</v>
      </c>
      <c r="L24" s="761">
        <v>4</v>
      </c>
      <c r="M24" s="761">
        <v>39</v>
      </c>
      <c r="N24" s="765">
        <v>12.88</v>
      </c>
      <c r="O24" s="761" t="s">
        <v>3067</v>
      </c>
      <c r="P24" s="780" t="s">
        <v>3106</v>
      </c>
      <c r="Q24" s="766">
        <f t="shared" si="0"/>
        <v>-1</v>
      </c>
      <c r="R24" s="766">
        <f t="shared" si="0"/>
        <v>-1.97</v>
      </c>
      <c r="S24" s="777" t="str">
        <f t="shared" si="1"/>
        <v/>
      </c>
      <c r="T24" s="777" t="str">
        <f t="shared" si="2"/>
        <v/>
      </c>
      <c r="U24" s="777" t="str">
        <f t="shared" si="3"/>
        <v/>
      </c>
      <c r="V24" s="781" t="str">
        <f t="shared" si="4"/>
        <v/>
      </c>
      <c r="W24" s="767"/>
    </row>
    <row r="25" spans="1:23" ht="14.4" customHeight="1" x14ac:dyDescent="0.3">
      <c r="A25" s="828" t="s">
        <v>3107</v>
      </c>
      <c r="B25" s="777"/>
      <c r="C25" s="778"/>
      <c r="D25" s="779"/>
      <c r="E25" s="758">
        <v>2</v>
      </c>
      <c r="F25" s="759">
        <v>2.94</v>
      </c>
      <c r="G25" s="760">
        <v>25.5</v>
      </c>
      <c r="H25" s="761"/>
      <c r="I25" s="762"/>
      <c r="J25" s="763"/>
      <c r="K25" s="764">
        <v>1.07</v>
      </c>
      <c r="L25" s="761">
        <v>2</v>
      </c>
      <c r="M25" s="761">
        <v>21</v>
      </c>
      <c r="N25" s="765">
        <v>7.06</v>
      </c>
      <c r="O25" s="761" t="s">
        <v>3067</v>
      </c>
      <c r="P25" s="780" t="s">
        <v>3108</v>
      </c>
      <c r="Q25" s="766">
        <f t="shared" si="0"/>
        <v>0</v>
      </c>
      <c r="R25" s="766">
        <f t="shared" si="0"/>
        <v>0</v>
      </c>
      <c r="S25" s="777" t="str">
        <f t="shared" si="1"/>
        <v/>
      </c>
      <c r="T25" s="777" t="str">
        <f t="shared" si="2"/>
        <v/>
      </c>
      <c r="U25" s="777" t="str">
        <f t="shared" si="3"/>
        <v/>
      </c>
      <c r="V25" s="781" t="str">
        <f t="shared" si="4"/>
        <v/>
      </c>
      <c r="W25" s="767"/>
    </row>
    <row r="26" spans="1:23" ht="14.4" customHeight="1" x14ac:dyDescent="0.3">
      <c r="A26" s="829" t="s">
        <v>3109</v>
      </c>
      <c r="B26" s="822"/>
      <c r="C26" s="824"/>
      <c r="D26" s="783"/>
      <c r="E26" s="825">
        <v>1</v>
      </c>
      <c r="F26" s="826">
        <v>1.74</v>
      </c>
      <c r="G26" s="776">
        <v>24</v>
      </c>
      <c r="H26" s="817"/>
      <c r="I26" s="816"/>
      <c r="J26" s="773"/>
      <c r="K26" s="818">
        <v>1.74</v>
      </c>
      <c r="L26" s="817">
        <v>3</v>
      </c>
      <c r="M26" s="817">
        <v>31</v>
      </c>
      <c r="N26" s="819">
        <v>10.3</v>
      </c>
      <c r="O26" s="817" t="s">
        <v>3067</v>
      </c>
      <c r="P26" s="820" t="s">
        <v>3110</v>
      </c>
      <c r="Q26" s="821">
        <f t="shared" si="0"/>
        <v>0</v>
      </c>
      <c r="R26" s="821">
        <f t="shared" si="0"/>
        <v>0</v>
      </c>
      <c r="S26" s="822" t="str">
        <f t="shared" si="1"/>
        <v/>
      </c>
      <c r="T26" s="822" t="str">
        <f t="shared" si="2"/>
        <v/>
      </c>
      <c r="U26" s="822" t="str">
        <f t="shared" si="3"/>
        <v/>
      </c>
      <c r="V26" s="823" t="str">
        <f t="shared" si="4"/>
        <v/>
      </c>
      <c r="W26" s="775"/>
    </row>
    <row r="27" spans="1:23" ht="14.4" customHeight="1" x14ac:dyDescent="0.3">
      <c r="A27" s="828" t="s">
        <v>3111</v>
      </c>
      <c r="B27" s="777"/>
      <c r="C27" s="778"/>
      <c r="D27" s="779"/>
      <c r="E27" s="782"/>
      <c r="F27" s="762"/>
      <c r="G27" s="763"/>
      <c r="H27" s="758">
        <v>1</v>
      </c>
      <c r="I27" s="759">
        <v>0.35</v>
      </c>
      <c r="J27" s="768">
        <v>9</v>
      </c>
      <c r="K27" s="764">
        <v>0.33</v>
      </c>
      <c r="L27" s="761">
        <v>1</v>
      </c>
      <c r="M27" s="761">
        <v>9</v>
      </c>
      <c r="N27" s="765">
        <v>3.06</v>
      </c>
      <c r="O27" s="761" t="s">
        <v>3067</v>
      </c>
      <c r="P27" s="780" t="s">
        <v>3112</v>
      </c>
      <c r="Q27" s="766">
        <f t="shared" si="0"/>
        <v>1</v>
      </c>
      <c r="R27" s="766">
        <f t="shared" si="0"/>
        <v>0.35</v>
      </c>
      <c r="S27" s="777">
        <f t="shared" si="1"/>
        <v>3.06</v>
      </c>
      <c r="T27" s="777">
        <f t="shared" si="2"/>
        <v>9</v>
      </c>
      <c r="U27" s="777">
        <f t="shared" si="3"/>
        <v>5.9399999999999995</v>
      </c>
      <c r="V27" s="781">
        <f t="shared" si="4"/>
        <v>2.9411764705882351</v>
      </c>
      <c r="W27" s="767">
        <v>6</v>
      </c>
    </row>
    <row r="28" spans="1:23" ht="14.4" customHeight="1" x14ac:dyDescent="0.3">
      <c r="A28" s="828" t="s">
        <v>3113</v>
      </c>
      <c r="B28" s="769">
        <v>2</v>
      </c>
      <c r="C28" s="770">
        <v>2.1800000000000002</v>
      </c>
      <c r="D28" s="771">
        <v>20</v>
      </c>
      <c r="E28" s="782"/>
      <c r="F28" s="762"/>
      <c r="G28" s="763"/>
      <c r="H28" s="761"/>
      <c r="I28" s="762"/>
      <c r="J28" s="763"/>
      <c r="K28" s="764">
        <v>0.51</v>
      </c>
      <c r="L28" s="761">
        <v>1</v>
      </c>
      <c r="M28" s="761">
        <v>12</v>
      </c>
      <c r="N28" s="765">
        <v>4.16</v>
      </c>
      <c r="O28" s="761" t="s">
        <v>3067</v>
      </c>
      <c r="P28" s="780" t="s">
        <v>3114</v>
      </c>
      <c r="Q28" s="766">
        <f t="shared" si="0"/>
        <v>-2</v>
      </c>
      <c r="R28" s="766">
        <f t="shared" si="0"/>
        <v>-2.1800000000000002</v>
      </c>
      <c r="S28" s="777" t="str">
        <f t="shared" si="1"/>
        <v/>
      </c>
      <c r="T28" s="777" t="str">
        <f t="shared" si="2"/>
        <v/>
      </c>
      <c r="U28" s="777" t="str">
        <f t="shared" si="3"/>
        <v/>
      </c>
      <c r="V28" s="781" t="str">
        <f t="shared" si="4"/>
        <v/>
      </c>
      <c r="W28" s="767"/>
    </row>
    <row r="29" spans="1:23" ht="14.4" customHeight="1" x14ac:dyDescent="0.3">
      <c r="A29" s="829" t="s">
        <v>3115</v>
      </c>
      <c r="B29" s="813">
        <v>1</v>
      </c>
      <c r="C29" s="814">
        <v>0.68</v>
      </c>
      <c r="D29" s="772">
        <v>3</v>
      </c>
      <c r="E29" s="815">
        <v>2</v>
      </c>
      <c r="F29" s="816">
        <v>2.21</v>
      </c>
      <c r="G29" s="773">
        <v>25</v>
      </c>
      <c r="H29" s="817">
        <v>1</v>
      </c>
      <c r="I29" s="816">
        <v>0.8</v>
      </c>
      <c r="J29" s="774">
        <v>22</v>
      </c>
      <c r="K29" s="818">
        <v>0.68</v>
      </c>
      <c r="L29" s="817">
        <v>2</v>
      </c>
      <c r="M29" s="817">
        <v>20</v>
      </c>
      <c r="N29" s="819">
        <v>6.61</v>
      </c>
      <c r="O29" s="817" t="s">
        <v>3067</v>
      </c>
      <c r="P29" s="820" t="s">
        <v>3116</v>
      </c>
      <c r="Q29" s="821">
        <f t="shared" si="0"/>
        <v>0</v>
      </c>
      <c r="R29" s="821">
        <f t="shared" si="0"/>
        <v>0.12</v>
      </c>
      <c r="S29" s="822">
        <f t="shared" si="1"/>
        <v>6.61</v>
      </c>
      <c r="T29" s="822">
        <f t="shared" si="2"/>
        <v>22</v>
      </c>
      <c r="U29" s="822">
        <f t="shared" si="3"/>
        <v>15.39</v>
      </c>
      <c r="V29" s="823">
        <f t="shared" si="4"/>
        <v>3.3282904689863839</v>
      </c>
      <c r="W29" s="775">
        <v>15</v>
      </c>
    </row>
    <row r="30" spans="1:23" ht="14.4" customHeight="1" x14ac:dyDescent="0.3">
      <c r="A30" s="829" t="s">
        <v>3117</v>
      </c>
      <c r="B30" s="813">
        <v>1</v>
      </c>
      <c r="C30" s="814">
        <v>0.96</v>
      </c>
      <c r="D30" s="772">
        <v>20</v>
      </c>
      <c r="E30" s="815"/>
      <c r="F30" s="816"/>
      <c r="G30" s="773"/>
      <c r="H30" s="817">
        <v>1</v>
      </c>
      <c r="I30" s="816">
        <v>1.33</v>
      </c>
      <c r="J30" s="774">
        <v>33</v>
      </c>
      <c r="K30" s="818">
        <v>0.96</v>
      </c>
      <c r="L30" s="817">
        <v>3</v>
      </c>
      <c r="M30" s="817">
        <v>27</v>
      </c>
      <c r="N30" s="819">
        <v>8.99</v>
      </c>
      <c r="O30" s="817" t="s">
        <v>3067</v>
      </c>
      <c r="P30" s="820" t="s">
        <v>3118</v>
      </c>
      <c r="Q30" s="821">
        <f t="shared" si="0"/>
        <v>0</v>
      </c>
      <c r="R30" s="821">
        <f t="shared" si="0"/>
        <v>0.37000000000000011</v>
      </c>
      <c r="S30" s="822">
        <f t="shared" si="1"/>
        <v>8.99</v>
      </c>
      <c r="T30" s="822">
        <f t="shared" si="2"/>
        <v>33</v>
      </c>
      <c r="U30" s="822">
        <f t="shared" si="3"/>
        <v>24.009999999999998</v>
      </c>
      <c r="V30" s="823">
        <f t="shared" si="4"/>
        <v>3.6707452725250276</v>
      </c>
      <c r="W30" s="775">
        <v>24</v>
      </c>
    </row>
    <row r="31" spans="1:23" ht="14.4" customHeight="1" x14ac:dyDescent="0.3">
      <c r="A31" s="828" t="s">
        <v>3119</v>
      </c>
      <c r="B31" s="769">
        <v>1</v>
      </c>
      <c r="C31" s="770">
        <v>0.64</v>
      </c>
      <c r="D31" s="771">
        <v>17</v>
      </c>
      <c r="E31" s="782"/>
      <c r="F31" s="762"/>
      <c r="G31" s="763"/>
      <c r="H31" s="761"/>
      <c r="I31" s="762"/>
      <c r="J31" s="763"/>
      <c r="K31" s="764">
        <v>0.64</v>
      </c>
      <c r="L31" s="761">
        <v>2</v>
      </c>
      <c r="M31" s="761">
        <v>20</v>
      </c>
      <c r="N31" s="765">
        <v>6.77</v>
      </c>
      <c r="O31" s="761" t="s">
        <v>3067</v>
      </c>
      <c r="P31" s="780" t="s">
        <v>3120</v>
      </c>
      <c r="Q31" s="766">
        <f t="shared" si="0"/>
        <v>-1</v>
      </c>
      <c r="R31" s="766">
        <f t="shared" si="0"/>
        <v>-0.64</v>
      </c>
      <c r="S31" s="777" t="str">
        <f t="shared" si="1"/>
        <v/>
      </c>
      <c r="T31" s="777" t="str">
        <f t="shared" si="2"/>
        <v/>
      </c>
      <c r="U31" s="777" t="str">
        <f t="shared" si="3"/>
        <v/>
      </c>
      <c r="V31" s="781" t="str">
        <f t="shared" si="4"/>
        <v/>
      </c>
      <c r="W31" s="767"/>
    </row>
    <row r="32" spans="1:23" ht="14.4" customHeight="1" x14ac:dyDescent="0.3">
      <c r="A32" s="828" t="s">
        <v>3121</v>
      </c>
      <c r="B32" s="777"/>
      <c r="C32" s="778"/>
      <c r="D32" s="779"/>
      <c r="E32" s="758">
        <v>1</v>
      </c>
      <c r="F32" s="759">
        <v>0.43</v>
      </c>
      <c r="G32" s="760">
        <v>8</v>
      </c>
      <c r="H32" s="761"/>
      <c r="I32" s="762"/>
      <c r="J32" s="763"/>
      <c r="K32" s="764">
        <v>0.43</v>
      </c>
      <c r="L32" s="761">
        <v>2</v>
      </c>
      <c r="M32" s="761">
        <v>14</v>
      </c>
      <c r="N32" s="765">
        <v>4.71</v>
      </c>
      <c r="O32" s="761" t="s">
        <v>3067</v>
      </c>
      <c r="P32" s="780" t="s">
        <v>3122</v>
      </c>
      <c r="Q32" s="766">
        <f t="shared" si="0"/>
        <v>0</v>
      </c>
      <c r="R32" s="766">
        <f t="shared" si="0"/>
        <v>0</v>
      </c>
      <c r="S32" s="777" t="str">
        <f t="shared" si="1"/>
        <v/>
      </c>
      <c r="T32" s="777" t="str">
        <f t="shared" si="2"/>
        <v/>
      </c>
      <c r="U32" s="777" t="str">
        <f t="shared" si="3"/>
        <v/>
      </c>
      <c r="V32" s="781" t="str">
        <f t="shared" si="4"/>
        <v/>
      </c>
      <c r="W32" s="767"/>
    </row>
    <row r="33" spans="1:23" ht="14.4" customHeight="1" x14ac:dyDescent="0.3">
      <c r="A33" s="828" t="s">
        <v>3123</v>
      </c>
      <c r="B33" s="777"/>
      <c r="C33" s="778"/>
      <c r="D33" s="779"/>
      <c r="E33" s="782"/>
      <c r="F33" s="762"/>
      <c r="G33" s="763"/>
      <c r="H33" s="758">
        <v>1</v>
      </c>
      <c r="I33" s="759">
        <v>0.66</v>
      </c>
      <c r="J33" s="768">
        <v>18</v>
      </c>
      <c r="K33" s="764">
        <v>0.66</v>
      </c>
      <c r="L33" s="761">
        <v>2</v>
      </c>
      <c r="M33" s="761">
        <v>20</v>
      </c>
      <c r="N33" s="765">
        <v>6.77</v>
      </c>
      <c r="O33" s="761" t="s">
        <v>3067</v>
      </c>
      <c r="P33" s="780" t="s">
        <v>3124</v>
      </c>
      <c r="Q33" s="766">
        <f t="shared" si="0"/>
        <v>1</v>
      </c>
      <c r="R33" s="766">
        <f t="shared" si="0"/>
        <v>0.66</v>
      </c>
      <c r="S33" s="777">
        <f t="shared" si="1"/>
        <v>6.77</v>
      </c>
      <c r="T33" s="777">
        <f t="shared" si="2"/>
        <v>18</v>
      </c>
      <c r="U33" s="777">
        <f t="shared" si="3"/>
        <v>11.23</v>
      </c>
      <c r="V33" s="781">
        <f t="shared" si="4"/>
        <v>2.6587887740029545</v>
      </c>
      <c r="W33" s="767">
        <v>11</v>
      </c>
    </row>
    <row r="34" spans="1:23" ht="14.4" customHeight="1" x14ac:dyDescent="0.3">
      <c r="A34" s="828" t="s">
        <v>3125</v>
      </c>
      <c r="B34" s="777">
        <v>1</v>
      </c>
      <c r="C34" s="778">
        <v>1.1499999999999999</v>
      </c>
      <c r="D34" s="779">
        <v>11</v>
      </c>
      <c r="E34" s="782">
        <v>1</v>
      </c>
      <c r="F34" s="762">
        <v>1.1499999999999999</v>
      </c>
      <c r="G34" s="763">
        <v>16</v>
      </c>
      <c r="H34" s="758">
        <v>2</v>
      </c>
      <c r="I34" s="759">
        <v>2.31</v>
      </c>
      <c r="J34" s="768">
        <v>26</v>
      </c>
      <c r="K34" s="764">
        <v>1.1499999999999999</v>
      </c>
      <c r="L34" s="761">
        <v>3</v>
      </c>
      <c r="M34" s="761">
        <v>30</v>
      </c>
      <c r="N34" s="765">
        <v>9.9600000000000009</v>
      </c>
      <c r="O34" s="761" t="s">
        <v>3067</v>
      </c>
      <c r="P34" s="780" t="s">
        <v>3126</v>
      </c>
      <c r="Q34" s="766">
        <f t="shared" si="0"/>
        <v>1</v>
      </c>
      <c r="R34" s="766">
        <f t="shared" si="0"/>
        <v>1.1600000000000001</v>
      </c>
      <c r="S34" s="777">
        <f t="shared" si="1"/>
        <v>19.920000000000002</v>
      </c>
      <c r="T34" s="777">
        <f t="shared" si="2"/>
        <v>52</v>
      </c>
      <c r="U34" s="777">
        <f t="shared" si="3"/>
        <v>32.08</v>
      </c>
      <c r="V34" s="781">
        <f t="shared" si="4"/>
        <v>2.6104417670682727</v>
      </c>
      <c r="W34" s="767">
        <v>32</v>
      </c>
    </row>
    <row r="35" spans="1:23" ht="14.4" customHeight="1" x14ac:dyDescent="0.3">
      <c r="A35" s="829" t="s">
        <v>3127</v>
      </c>
      <c r="B35" s="822">
        <v>3</v>
      </c>
      <c r="C35" s="824">
        <v>3.83</v>
      </c>
      <c r="D35" s="783">
        <v>15</v>
      </c>
      <c r="E35" s="815">
        <v>1</v>
      </c>
      <c r="F35" s="816">
        <v>1.28</v>
      </c>
      <c r="G35" s="773">
        <v>26</v>
      </c>
      <c r="H35" s="825">
        <v>4</v>
      </c>
      <c r="I35" s="826">
        <v>6.62</v>
      </c>
      <c r="J35" s="774">
        <v>35.5</v>
      </c>
      <c r="K35" s="818">
        <v>1.28</v>
      </c>
      <c r="L35" s="817">
        <v>4</v>
      </c>
      <c r="M35" s="817">
        <v>33</v>
      </c>
      <c r="N35" s="819">
        <v>11.01</v>
      </c>
      <c r="O35" s="817" t="s">
        <v>3067</v>
      </c>
      <c r="P35" s="820" t="s">
        <v>3128</v>
      </c>
      <c r="Q35" s="821">
        <f t="shared" si="0"/>
        <v>1</v>
      </c>
      <c r="R35" s="821">
        <f t="shared" si="0"/>
        <v>2.79</v>
      </c>
      <c r="S35" s="822">
        <f t="shared" si="1"/>
        <v>44.04</v>
      </c>
      <c r="T35" s="822">
        <f t="shared" si="2"/>
        <v>142</v>
      </c>
      <c r="U35" s="822">
        <f t="shared" si="3"/>
        <v>97.960000000000008</v>
      </c>
      <c r="V35" s="823">
        <f t="shared" si="4"/>
        <v>3.2243415077202542</v>
      </c>
      <c r="W35" s="775">
        <v>98</v>
      </c>
    </row>
    <row r="36" spans="1:23" ht="14.4" customHeight="1" x14ac:dyDescent="0.3">
      <c r="A36" s="829" t="s">
        <v>3129</v>
      </c>
      <c r="B36" s="822"/>
      <c r="C36" s="824"/>
      <c r="D36" s="783"/>
      <c r="E36" s="815">
        <v>1</v>
      </c>
      <c r="F36" s="816">
        <v>1.44</v>
      </c>
      <c r="G36" s="773">
        <v>16</v>
      </c>
      <c r="H36" s="825"/>
      <c r="I36" s="826"/>
      <c r="J36" s="776"/>
      <c r="K36" s="818">
        <v>1.44</v>
      </c>
      <c r="L36" s="817">
        <v>4</v>
      </c>
      <c r="M36" s="817">
        <v>34</v>
      </c>
      <c r="N36" s="819">
        <v>11.31</v>
      </c>
      <c r="O36" s="817" t="s">
        <v>3067</v>
      </c>
      <c r="P36" s="820" t="s">
        <v>3130</v>
      </c>
      <c r="Q36" s="821">
        <f t="shared" si="0"/>
        <v>0</v>
      </c>
      <c r="R36" s="821">
        <f t="shared" si="0"/>
        <v>0</v>
      </c>
      <c r="S36" s="822" t="str">
        <f t="shared" si="1"/>
        <v/>
      </c>
      <c r="T36" s="822" t="str">
        <f t="shared" si="2"/>
        <v/>
      </c>
      <c r="U36" s="822" t="str">
        <f t="shared" si="3"/>
        <v/>
      </c>
      <c r="V36" s="823" t="str">
        <f t="shared" si="4"/>
        <v/>
      </c>
      <c r="W36" s="775"/>
    </row>
    <row r="37" spans="1:23" ht="14.4" customHeight="1" x14ac:dyDescent="0.3">
      <c r="A37" s="828" t="s">
        <v>3131</v>
      </c>
      <c r="B37" s="777"/>
      <c r="C37" s="778"/>
      <c r="D37" s="779"/>
      <c r="E37" s="758">
        <v>1</v>
      </c>
      <c r="F37" s="759">
        <v>1.34</v>
      </c>
      <c r="G37" s="760">
        <v>19</v>
      </c>
      <c r="H37" s="761"/>
      <c r="I37" s="762"/>
      <c r="J37" s="763"/>
      <c r="K37" s="764">
        <v>1.34</v>
      </c>
      <c r="L37" s="761">
        <v>4</v>
      </c>
      <c r="M37" s="761">
        <v>36</v>
      </c>
      <c r="N37" s="765">
        <v>12.07</v>
      </c>
      <c r="O37" s="761" t="s">
        <v>3067</v>
      </c>
      <c r="P37" s="780" t="s">
        <v>3132</v>
      </c>
      <c r="Q37" s="766">
        <f t="shared" si="0"/>
        <v>0</v>
      </c>
      <c r="R37" s="766">
        <f t="shared" si="0"/>
        <v>0</v>
      </c>
      <c r="S37" s="777" t="str">
        <f t="shared" si="1"/>
        <v/>
      </c>
      <c r="T37" s="777" t="str">
        <f t="shared" si="2"/>
        <v/>
      </c>
      <c r="U37" s="777" t="str">
        <f t="shared" si="3"/>
        <v/>
      </c>
      <c r="V37" s="781" t="str">
        <f t="shared" si="4"/>
        <v/>
      </c>
      <c r="W37" s="767"/>
    </row>
    <row r="38" spans="1:23" ht="14.4" customHeight="1" x14ac:dyDescent="0.3">
      <c r="A38" s="828" t="s">
        <v>3133</v>
      </c>
      <c r="B38" s="777"/>
      <c r="C38" s="778"/>
      <c r="D38" s="779"/>
      <c r="E38" s="758">
        <v>1</v>
      </c>
      <c r="F38" s="759">
        <v>0.81</v>
      </c>
      <c r="G38" s="760">
        <v>14</v>
      </c>
      <c r="H38" s="761"/>
      <c r="I38" s="762"/>
      <c r="J38" s="763"/>
      <c r="K38" s="764">
        <v>0.74</v>
      </c>
      <c r="L38" s="761">
        <v>3</v>
      </c>
      <c r="M38" s="761">
        <v>25</v>
      </c>
      <c r="N38" s="765">
        <v>8.4</v>
      </c>
      <c r="O38" s="761" t="s">
        <v>3067</v>
      </c>
      <c r="P38" s="780" t="s">
        <v>3134</v>
      </c>
      <c r="Q38" s="766">
        <f t="shared" si="0"/>
        <v>0</v>
      </c>
      <c r="R38" s="766">
        <f t="shared" si="0"/>
        <v>0</v>
      </c>
      <c r="S38" s="777" t="str">
        <f t="shared" si="1"/>
        <v/>
      </c>
      <c r="T38" s="777" t="str">
        <f t="shared" si="2"/>
        <v/>
      </c>
      <c r="U38" s="777" t="str">
        <f t="shared" si="3"/>
        <v/>
      </c>
      <c r="V38" s="781" t="str">
        <f t="shared" si="4"/>
        <v/>
      </c>
      <c r="W38" s="767"/>
    </row>
    <row r="39" spans="1:23" ht="14.4" customHeight="1" x14ac:dyDescent="0.3">
      <c r="A39" s="829" t="s">
        <v>3135</v>
      </c>
      <c r="B39" s="822"/>
      <c r="C39" s="824"/>
      <c r="D39" s="783"/>
      <c r="E39" s="825">
        <v>1</v>
      </c>
      <c r="F39" s="826">
        <v>0.99</v>
      </c>
      <c r="G39" s="776">
        <v>35</v>
      </c>
      <c r="H39" s="817"/>
      <c r="I39" s="816"/>
      <c r="J39" s="773"/>
      <c r="K39" s="818">
        <v>0.9</v>
      </c>
      <c r="L39" s="817">
        <v>4</v>
      </c>
      <c r="M39" s="817">
        <v>33</v>
      </c>
      <c r="N39" s="819">
        <v>10.88</v>
      </c>
      <c r="O39" s="817" t="s">
        <v>3067</v>
      </c>
      <c r="P39" s="820" t="s">
        <v>3136</v>
      </c>
      <c r="Q39" s="821">
        <f t="shared" si="0"/>
        <v>0</v>
      </c>
      <c r="R39" s="821">
        <f t="shared" si="0"/>
        <v>0</v>
      </c>
      <c r="S39" s="822" t="str">
        <f t="shared" si="1"/>
        <v/>
      </c>
      <c r="T39" s="822" t="str">
        <f t="shared" si="2"/>
        <v/>
      </c>
      <c r="U39" s="822" t="str">
        <f t="shared" si="3"/>
        <v/>
      </c>
      <c r="V39" s="823" t="str">
        <f t="shared" si="4"/>
        <v/>
      </c>
      <c r="W39" s="775"/>
    </row>
    <row r="40" spans="1:23" ht="14.4" customHeight="1" x14ac:dyDescent="0.3">
      <c r="A40" s="829" t="s">
        <v>3137</v>
      </c>
      <c r="B40" s="822"/>
      <c r="C40" s="824"/>
      <c r="D40" s="783"/>
      <c r="E40" s="825">
        <v>1</v>
      </c>
      <c r="F40" s="826">
        <v>2.9</v>
      </c>
      <c r="G40" s="776">
        <v>69</v>
      </c>
      <c r="H40" s="817">
        <v>2</v>
      </c>
      <c r="I40" s="816">
        <v>2.58</v>
      </c>
      <c r="J40" s="774">
        <v>34.5</v>
      </c>
      <c r="K40" s="818">
        <v>1.23</v>
      </c>
      <c r="L40" s="817">
        <v>4</v>
      </c>
      <c r="M40" s="817">
        <v>38</v>
      </c>
      <c r="N40" s="819">
        <v>12.79</v>
      </c>
      <c r="O40" s="817" t="s">
        <v>3067</v>
      </c>
      <c r="P40" s="820" t="s">
        <v>3138</v>
      </c>
      <c r="Q40" s="821">
        <f t="shared" si="0"/>
        <v>2</v>
      </c>
      <c r="R40" s="821">
        <f t="shared" si="0"/>
        <v>2.58</v>
      </c>
      <c r="S40" s="822">
        <f t="shared" si="1"/>
        <v>25.58</v>
      </c>
      <c r="T40" s="822">
        <f t="shared" si="2"/>
        <v>69</v>
      </c>
      <c r="U40" s="822">
        <f t="shared" si="3"/>
        <v>43.42</v>
      </c>
      <c r="V40" s="823">
        <f t="shared" si="4"/>
        <v>2.6974198592650511</v>
      </c>
      <c r="W40" s="775">
        <v>43</v>
      </c>
    </row>
    <row r="41" spans="1:23" ht="14.4" customHeight="1" x14ac:dyDescent="0.3">
      <c r="A41" s="828" t="s">
        <v>3139</v>
      </c>
      <c r="B41" s="777"/>
      <c r="C41" s="778"/>
      <c r="D41" s="779"/>
      <c r="E41" s="758">
        <v>1</v>
      </c>
      <c r="F41" s="759">
        <v>1.0900000000000001</v>
      </c>
      <c r="G41" s="760">
        <v>37</v>
      </c>
      <c r="H41" s="761"/>
      <c r="I41" s="762"/>
      <c r="J41" s="763"/>
      <c r="K41" s="764">
        <v>0.9</v>
      </c>
      <c r="L41" s="761">
        <v>4</v>
      </c>
      <c r="M41" s="761">
        <v>33</v>
      </c>
      <c r="N41" s="765">
        <v>10.94</v>
      </c>
      <c r="O41" s="761" t="s">
        <v>3067</v>
      </c>
      <c r="P41" s="780" t="s">
        <v>3140</v>
      </c>
      <c r="Q41" s="766">
        <f t="shared" si="0"/>
        <v>0</v>
      </c>
      <c r="R41" s="766">
        <f t="shared" si="0"/>
        <v>0</v>
      </c>
      <c r="S41" s="777" t="str">
        <f t="shared" si="1"/>
        <v/>
      </c>
      <c r="T41" s="777" t="str">
        <f t="shared" si="2"/>
        <v/>
      </c>
      <c r="U41" s="777" t="str">
        <f t="shared" si="3"/>
        <v/>
      </c>
      <c r="V41" s="781" t="str">
        <f t="shared" si="4"/>
        <v/>
      </c>
      <c r="W41" s="767"/>
    </row>
    <row r="42" spans="1:23" ht="14.4" customHeight="1" x14ac:dyDescent="0.3">
      <c r="A42" s="828" t="s">
        <v>3141</v>
      </c>
      <c r="B42" s="777"/>
      <c r="C42" s="778"/>
      <c r="D42" s="779"/>
      <c r="E42" s="758">
        <v>2</v>
      </c>
      <c r="F42" s="759">
        <v>6.9</v>
      </c>
      <c r="G42" s="760">
        <v>51</v>
      </c>
      <c r="H42" s="761">
        <v>1</v>
      </c>
      <c r="I42" s="762">
        <v>0.64</v>
      </c>
      <c r="J42" s="768">
        <v>8</v>
      </c>
      <c r="K42" s="764">
        <v>0.64</v>
      </c>
      <c r="L42" s="761">
        <v>2</v>
      </c>
      <c r="M42" s="761">
        <v>16</v>
      </c>
      <c r="N42" s="765">
        <v>5.45</v>
      </c>
      <c r="O42" s="761" t="s">
        <v>3067</v>
      </c>
      <c r="P42" s="780" t="s">
        <v>3142</v>
      </c>
      <c r="Q42" s="766">
        <f t="shared" si="0"/>
        <v>1</v>
      </c>
      <c r="R42" s="766">
        <f t="shared" si="0"/>
        <v>0.64</v>
      </c>
      <c r="S42" s="777">
        <f t="shared" si="1"/>
        <v>5.45</v>
      </c>
      <c r="T42" s="777">
        <f t="shared" si="2"/>
        <v>8</v>
      </c>
      <c r="U42" s="777">
        <f t="shared" si="3"/>
        <v>2.5499999999999998</v>
      </c>
      <c r="V42" s="781">
        <f t="shared" si="4"/>
        <v>1.4678899082568806</v>
      </c>
      <c r="W42" s="767">
        <v>3</v>
      </c>
    </row>
    <row r="43" spans="1:23" ht="14.4" customHeight="1" x14ac:dyDescent="0.3">
      <c r="A43" s="829" t="s">
        <v>3143</v>
      </c>
      <c r="B43" s="822">
        <v>1</v>
      </c>
      <c r="C43" s="824">
        <v>0.88</v>
      </c>
      <c r="D43" s="783">
        <v>23</v>
      </c>
      <c r="E43" s="825"/>
      <c r="F43" s="826"/>
      <c r="G43" s="776"/>
      <c r="H43" s="817"/>
      <c r="I43" s="816"/>
      <c r="J43" s="773"/>
      <c r="K43" s="818">
        <v>0.81</v>
      </c>
      <c r="L43" s="817">
        <v>3</v>
      </c>
      <c r="M43" s="817">
        <v>23</v>
      </c>
      <c r="N43" s="819">
        <v>7.59</v>
      </c>
      <c r="O43" s="817" t="s">
        <v>3067</v>
      </c>
      <c r="P43" s="820" t="s">
        <v>3144</v>
      </c>
      <c r="Q43" s="821">
        <f t="shared" si="0"/>
        <v>-1</v>
      </c>
      <c r="R43" s="821">
        <f t="shared" si="0"/>
        <v>-0.88</v>
      </c>
      <c r="S43" s="822" t="str">
        <f t="shared" si="1"/>
        <v/>
      </c>
      <c r="T43" s="822" t="str">
        <f t="shared" si="2"/>
        <v/>
      </c>
      <c r="U43" s="822" t="str">
        <f t="shared" si="3"/>
        <v/>
      </c>
      <c r="V43" s="823" t="str">
        <f t="shared" si="4"/>
        <v/>
      </c>
      <c r="W43" s="775"/>
    </row>
    <row r="44" spans="1:23" ht="14.4" customHeight="1" x14ac:dyDescent="0.3">
      <c r="A44" s="829" t="s">
        <v>3145</v>
      </c>
      <c r="B44" s="822"/>
      <c r="C44" s="824"/>
      <c r="D44" s="783"/>
      <c r="E44" s="825">
        <v>2</v>
      </c>
      <c r="F44" s="826">
        <v>2.4700000000000002</v>
      </c>
      <c r="G44" s="776">
        <v>25.5</v>
      </c>
      <c r="H44" s="817"/>
      <c r="I44" s="816"/>
      <c r="J44" s="773"/>
      <c r="K44" s="818">
        <v>1.0900000000000001</v>
      </c>
      <c r="L44" s="817">
        <v>3</v>
      </c>
      <c r="M44" s="817">
        <v>27</v>
      </c>
      <c r="N44" s="819">
        <v>8.9499999999999993</v>
      </c>
      <c r="O44" s="817" t="s">
        <v>3067</v>
      </c>
      <c r="P44" s="820" t="s">
        <v>3146</v>
      </c>
      <c r="Q44" s="821">
        <f t="shared" si="0"/>
        <v>0</v>
      </c>
      <c r="R44" s="821">
        <f t="shared" si="0"/>
        <v>0</v>
      </c>
      <c r="S44" s="822" t="str">
        <f t="shared" si="1"/>
        <v/>
      </c>
      <c r="T44" s="822" t="str">
        <f t="shared" si="2"/>
        <v/>
      </c>
      <c r="U44" s="822" t="str">
        <f t="shared" si="3"/>
        <v/>
      </c>
      <c r="V44" s="823" t="str">
        <f t="shared" si="4"/>
        <v/>
      </c>
      <c r="W44" s="775"/>
    </row>
    <row r="45" spans="1:23" ht="14.4" customHeight="1" x14ac:dyDescent="0.3">
      <c r="A45" s="828" t="s">
        <v>3147</v>
      </c>
      <c r="B45" s="777"/>
      <c r="C45" s="778"/>
      <c r="D45" s="779"/>
      <c r="E45" s="782"/>
      <c r="F45" s="762"/>
      <c r="G45" s="763"/>
      <c r="H45" s="758">
        <v>1</v>
      </c>
      <c r="I45" s="759">
        <v>31.64</v>
      </c>
      <c r="J45" s="768">
        <v>25</v>
      </c>
      <c r="K45" s="764">
        <v>31.46</v>
      </c>
      <c r="L45" s="761">
        <v>2</v>
      </c>
      <c r="M45" s="761">
        <v>22</v>
      </c>
      <c r="N45" s="765">
        <v>7.49</v>
      </c>
      <c r="O45" s="761" t="s">
        <v>2907</v>
      </c>
      <c r="P45" s="780" t="s">
        <v>3148</v>
      </c>
      <c r="Q45" s="766">
        <f t="shared" si="0"/>
        <v>1</v>
      </c>
      <c r="R45" s="766">
        <f t="shared" si="0"/>
        <v>31.64</v>
      </c>
      <c r="S45" s="777">
        <f t="shared" si="1"/>
        <v>7.49</v>
      </c>
      <c r="T45" s="777">
        <f t="shared" si="2"/>
        <v>25</v>
      </c>
      <c r="U45" s="777">
        <f t="shared" si="3"/>
        <v>17.509999999999998</v>
      </c>
      <c r="V45" s="781">
        <f t="shared" si="4"/>
        <v>3.3377837116154874</v>
      </c>
      <c r="W45" s="767">
        <v>18</v>
      </c>
    </row>
    <row r="46" spans="1:23" ht="14.4" customHeight="1" x14ac:dyDescent="0.3">
      <c r="A46" s="828" t="s">
        <v>3149</v>
      </c>
      <c r="B46" s="777"/>
      <c r="C46" s="778"/>
      <c r="D46" s="779"/>
      <c r="E46" s="758">
        <v>2</v>
      </c>
      <c r="F46" s="759">
        <v>18.989999999999998</v>
      </c>
      <c r="G46" s="760">
        <v>25</v>
      </c>
      <c r="H46" s="761"/>
      <c r="I46" s="762"/>
      <c r="J46" s="763"/>
      <c r="K46" s="764">
        <v>6.24</v>
      </c>
      <c r="L46" s="761">
        <v>2</v>
      </c>
      <c r="M46" s="761">
        <v>14</v>
      </c>
      <c r="N46" s="765">
        <v>4.54</v>
      </c>
      <c r="O46" s="761" t="s">
        <v>3067</v>
      </c>
      <c r="P46" s="780" t="s">
        <v>3150</v>
      </c>
      <c r="Q46" s="766">
        <f t="shared" si="0"/>
        <v>0</v>
      </c>
      <c r="R46" s="766">
        <f t="shared" si="0"/>
        <v>0</v>
      </c>
      <c r="S46" s="777" t="str">
        <f t="shared" si="1"/>
        <v/>
      </c>
      <c r="T46" s="777" t="str">
        <f t="shared" si="2"/>
        <v/>
      </c>
      <c r="U46" s="777" t="str">
        <f t="shared" si="3"/>
        <v/>
      </c>
      <c r="V46" s="781" t="str">
        <f t="shared" si="4"/>
        <v/>
      </c>
      <c r="W46" s="767"/>
    </row>
    <row r="47" spans="1:23" ht="14.4" customHeight="1" x14ac:dyDescent="0.3">
      <c r="A47" s="829" t="s">
        <v>3151</v>
      </c>
      <c r="B47" s="822">
        <v>1</v>
      </c>
      <c r="C47" s="824">
        <v>14.58</v>
      </c>
      <c r="D47" s="783">
        <v>41</v>
      </c>
      <c r="E47" s="825"/>
      <c r="F47" s="826"/>
      <c r="G47" s="776"/>
      <c r="H47" s="817"/>
      <c r="I47" s="816"/>
      <c r="J47" s="773"/>
      <c r="K47" s="818">
        <v>8.69</v>
      </c>
      <c r="L47" s="817">
        <v>3</v>
      </c>
      <c r="M47" s="817">
        <v>23</v>
      </c>
      <c r="N47" s="819">
        <v>7.75</v>
      </c>
      <c r="O47" s="817" t="s">
        <v>3067</v>
      </c>
      <c r="P47" s="820" t="s">
        <v>3152</v>
      </c>
      <c r="Q47" s="821">
        <f t="shared" si="0"/>
        <v>-1</v>
      </c>
      <c r="R47" s="821">
        <f t="shared" si="0"/>
        <v>-14.58</v>
      </c>
      <c r="S47" s="822" t="str">
        <f t="shared" si="1"/>
        <v/>
      </c>
      <c r="T47" s="822" t="str">
        <f t="shared" si="2"/>
        <v/>
      </c>
      <c r="U47" s="822" t="str">
        <f t="shared" si="3"/>
        <v/>
      </c>
      <c r="V47" s="823" t="str">
        <f t="shared" si="4"/>
        <v/>
      </c>
      <c r="W47" s="775"/>
    </row>
    <row r="48" spans="1:23" ht="14.4" customHeight="1" x14ac:dyDescent="0.3">
      <c r="A48" s="828" t="s">
        <v>3153</v>
      </c>
      <c r="B48" s="777"/>
      <c r="C48" s="778"/>
      <c r="D48" s="779"/>
      <c r="E48" s="782"/>
      <c r="F48" s="762"/>
      <c r="G48" s="763"/>
      <c r="H48" s="758">
        <v>1</v>
      </c>
      <c r="I48" s="759">
        <v>5.86</v>
      </c>
      <c r="J48" s="768">
        <v>37</v>
      </c>
      <c r="K48" s="764">
        <v>4.3099999999999996</v>
      </c>
      <c r="L48" s="761">
        <v>2</v>
      </c>
      <c r="M48" s="761">
        <v>15</v>
      </c>
      <c r="N48" s="765">
        <v>5.05</v>
      </c>
      <c r="O48" s="761" t="s">
        <v>2907</v>
      </c>
      <c r="P48" s="780" t="s">
        <v>3154</v>
      </c>
      <c r="Q48" s="766">
        <f t="shared" si="0"/>
        <v>1</v>
      </c>
      <c r="R48" s="766">
        <f t="shared" si="0"/>
        <v>5.86</v>
      </c>
      <c r="S48" s="777">
        <f t="shared" si="1"/>
        <v>5.05</v>
      </c>
      <c r="T48" s="777">
        <f t="shared" si="2"/>
        <v>37</v>
      </c>
      <c r="U48" s="777">
        <f t="shared" si="3"/>
        <v>31.95</v>
      </c>
      <c r="V48" s="781">
        <f t="shared" si="4"/>
        <v>7.326732673267327</v>
      </c>
      <c r="W48" s="767">
        <v>32</v>
      </c>
    </row>
    <row r="49" spans="1:23" ht="14.4" customHeight="1" x14ac:dyDescent="0.3">
      <c r="A49" s="828" t="s">
        <v>3155</v>
      </c>
      <c r="B49" s="777"/>
      <c r="C49" s="778"/>
      <c r="D49" s="779"/>
      <c r="E49" s="782"/>
      <c r="F49" s="762"/>
      <c r="G49" s="763"/>
      <c r="H49" s="758">
        <v>1</v>
      </c>
      <c r="I49" s="759">
        <v>3.57</v>
      </c>
      <c r="J49" s="768">
        <v>27</v>
      </c>
      <c r="K49" s="764">
        <v>3.57</v>
      </c>
      <c r="L49" s="761">
        <v>4</v>
      </c>
      <c r="M49" s="761">
        <v>32</v>
      </c>
      <c r="N49" s="765">
        <v>10.57</v>
      </c>
      <c r="O49" s="761" t="s">
        <v>3067</v>
      </c>
      <c r="P49" s="780" t="s">
        <v>3156</v>
      </c>
      <c r="Q49" s="766">
        <f t="shared" si="0"/>
        <v>1</v>
      </c>
      <c r="R49" s="766">
        <f t="shared" si="0"/>
        <v>3.57</v>
      </c>
      <c r="S49" s="777">
        <f t="shared" si="1"/>
        <v>10.57</v>
      </c>
      <c r="T49" s="777">
        <f t="shared" si="2"/>
        <v>27</v>
      </c>
      <c r="U49" s="777">
        <f t="shared" si="3"/>
        <v>16.43</v>
      </c>
      <c r="V49" s="781">
        <f t="shared" si="4"/>
        <v>2.5543992431409648</v>
      </c>
      <c r="W49" s="767">
        <v>16</v>
      </c>
    </row>
    <row r="50" spans="1:23" ht="14.4" customHeight="1" x14ac:dyDescent="0.3">
      <c r="A50" s="828" t="s">
        <v>3157</v>
      </c>
      <c r="B50" s="777"/>
      <c r="C50" s="778"/>
      <c r="D50" s="779"/>
      <c r="E50" s="758">
        <v>1</v>
      </c>
      <c r="F50" s="759">
        <v>1.59</v>
      </c>
      <c r="G50" s="760">
        <v>13</v>
      </c>
      <c r="H50" s="761"/>
      <c r="I50" s="762"/>
      <c r="J50" s="763"/>
      <c r="K50" s="764">
        <v>1.59</v>
      </c>
      <c r="L50" s="761">
        <v>2</v>
      </c>
      <c r="M50" s="761">
        <v>17</v>
      </c>
      <c r="N50" s="765">
        <v>5.72</v>
      </c>
      <c r="O50" s="761" t="s">
        <v>3067</v>
      </c>
      <c r="P50" s="780" t="s">
        <v>3158</v>
      </c>
      <c r="Q50" s="766">
        <f t="shared" si="0"/>
        <v>0</v>
      </c>
      <c r="R50" s="766">
        <f t="shared" si="0"/>
        <v>0</v>
      </c>
      <c r="S50" s="777" t="str">
        <f t="shared" si="1"/>
        <v/>
      </c>
      <c r="T50" s="777" t="str">
        <f t="shared" si="2"/>
        <v/>
      </c>
      <c r="U50" s="777" t="str">
        <f t="shared" si="3"/>
        <v/>
      </c>
      <c r="V50" s="781" t="str">
        <f t="shared" si="4"/>
        <v/>
      </c>
      <c r="W50" s="767"/>
    </row>
    <row r="51" spans="1:23" ht="14.4" customHeight="1" x14ac:dyDescent="0.3">
      <c r="A51" s="828" t="s">
        <v>3159</v>
      </c>
      <c r="B51" s="777">
        <v>3</v>
      </c>
      <c r="C51" s="778">
        <v>2.25</v>
      </c>
      <c r="D51" s="779">
        <v>26</v>
      </c>
      <c r="E51" s="782">
        <v>1</v>
      </c>
      <c r="F51" s="762">
        <v>0.76</v>
      </c>
      <c r="G51" s="763">
        <v>24</v>
      </c>
      <c r="H51" s="758">
        <v>3</v>
      </c>
      <c r="I51" s="759">
        <v>2.76</v>
      </c>
      <c r="J51" s="768">
        <v>27</v>
      </c>
      <c r="K51" s="764">
        <v>0.68</v>
      </c>
      <c r="L51" s="761">
        <v>3</v>
      </c>
      <c r="M51" s="761">
        <v>27</v>
      </c>
      <c r="N51" s="765">
        <v>9.1199999999999992</v>
      </c>
      <c r="O51" s="761" t="s">
        <v>3067</v>
      </c>
      <c r="P51" s="780" t="s">
        <v>3160</v>
      </c>
      <c r="Q51" s="766">
        <f t="shared" si="0"/>
        <v>0</v>
      </c>
      <c r="R51" s="766">
        <f t="shared" si="0"/>
        <v>0.50999999999999979</v>
      </c>
      <c r="S51" s="777">
        <f t="shared" si="1"/>
        <v>27.36</v>
      </c>
      <c r="T51" s="777">
        <f t="shared" si="2"/>
        <v>81</v>
      </c>
      <c r="U51" s="777">
        <f t="shared" si="3"/>
        <v>53.64</v>
      </c>
      <c r="V51" s="781">
        <f t="shared" si="4"/>
        <v>2.9605263157894739</v>
      </c>
      <c r="W51" s="767">
        <v>54</v>
      </c>
    </row>
    <row r="52" spans="1:23" ht="14.4" customHeight="1" x14ac:dyDescent="0.3">
      <c r="A52" s="829" t="s">
        <v>3161</v>
      </c>
      <c r="B52" s="822">
        <v>4</v>
      </c>
      <c r="C52" s="824">
        <v>3.43</v>
      </c>
      <c r="D52" s="783">
        <v>27</v>
      </c>
      <c r="E52" s="815">
        <v>2</v>
      </c>
      <c r="F52" s="816">
        <v>1.75</v>
      </c>
      <c r="G52" s="773">
        <v>23.5</v>
      </c>
      <c r="H52" s="825">
        <v>3</v>
      </c>
      <c r="I52" s="826">
        <v>2.35</v>
      </c>
      <c r="J52" s="774">
        <v>24.7</v>
      </c>
      <c r="K52" s="818">
        <v>0.78</v>
      </c>
      <c r="L52" s="817">
        <v>3</v>
      </c>
      <c r="M52" s="817">
        <v>31</v>
      </c>
      <c r="N52" s="819">
        <v>10.24</v>
      </c>
      <c r="O52" s="817" t="s">
        <v>3067</v>
      </c>
      <c r="P52" s="820" t="s">
        <v>3162</v>
      </c>
      <c r="Q52" s="821">
        <f t="shared" si="0"/>
        <v>-1</v>
      </c>
      <c r="R52" s="821">
        <f t="shared" si="0"/>
        <v>-1.08</v>
      </c>
      <c r="S52" s="822">
        <f t="shared" si="1"/>
        <v>30.72</v>
      </c>
      <c r="T52" s="822">
        <f t="shared" si="2"/>
        <v>74.099999999999994</v>
      </c>
      <c r="U52" s="822">
        <f t="shared" si="3"/>
        <v>43.379999999999995</v>
      </c>
      <c r="V52" s="823">
        <f t="shared" si="4"/>
        <v>2.412109375</v>
      </c>
      <c r="W52" s="775">
        <v>43</v>
      </c>
    </row>
    <row r="53" spans="1:23" ht="14.4" customHeight="1" x14ac:dyDescent="0.3">
      <c r="A53" s="829" t="s">
        <v>3163</v>
      </c>
      <c r="B53" s="822">
        <v>3</v>
      </c>
      <c r="C53" s="824">
        <v>3.35</v>
      </c>
      <c r="D53" s="783">
        <v>27.7</v>
      </c>
      <c r="E53" s="815">
        <v>3</v>
      </c>
      <c r="F53" s="816">
        <v>4.41</v>
      </c>
      <c r="G53" s="773">
        <v>40.299999999999997</v>
      </c>
      <c r="H53" s="825">
        <v>4</v>
      </c>
      <c r="I53" s="826">
        <v>4.7300000000000004</v>
      </c>
      <c r="J53" s="774">
        <v>25.8</v>
      </c>
      <c r="K53" s="818">
        <v>1.08</v>
      </c>
      <c r="L53" s="817">
        <v>4</v>
      </c>
      <c r="M53" s="817">
        <v>36</v>
      </c>
      <c r="N53" s="819">
        <v>12.11</v>
      </c>
      <c r="O53" s="817" t="s">
        <v>3067</v>
      </c>
      <c r="P53" s="820" t="s">
        <v>3164</v>
      </c>
      <c r="Q53" s="821">
        <f t="shared" si="0"/>
        <v>1</v>
      </c>
      <c r="R53" s="821">
        <f t="shared" si="0"/>
        <v>1.3800000000000003</v>
      </c>
      <c r="S53" s="822">
        <f t="shared" si="1"/>
        <v>48.44</v>
      </c>
      <c r="T53" s="822">
        <f t="shared" si="2"/>
        <v>103.2</v>
      </c>
      <c r="U53" s="822">
        <f t="shared" si="3"/>
        <v>54.760000000000005</v>
      </c>
      <c r="V53" s="823">
        <f t="shared" si="4"/>
        <v>2.1304706853839805</v>
      </c>
      <c r="W53" s="775">
        <v>55</v>
      </c>
    </row>
    <row r="54" spans="1:23" ht="14.4" customHeight="1" x14ac:dyDescent="0.3">
      <c r="A54" s="828" t="s">
        <v>3165</v>
      </c>
      <c r="B54" s="777"/>
      <c r="C54" s="778"/>
      <c r="D54" s="779"/>
      <c r="E54" s="758">
        <v>1</v>
      </c>
      <c r="F54" s="759">
        <v>0.74</v>
      </c>
      <c r="G54" s="760">
        <v>32</v>
      </c>
      <c r="H54" s="761"/>
      <c r="I54" s="762"/>
      <c r="J54" s="763"/>
      <c r="K54" s="764">
        <v>0.56000000000000005</v>
      </c>
      <c r="L54" s="761">
        <v>3</v>
      </c>
      <c r="M54" s="761">
        <v>27</v>
      </c>
      <c r="N54" s="765">
        <v>8.9600000000000009</v>
      </c>
      <c r="O54" s="761" t="s">
        <v>3067</v>
      </c>
      <c r="P54" s="780" t="s">
        <v>3166</v>
      </c>
      <c r="Q54" s="766">
        <f t="shared" si="0"/>
        <v>0</v>
      </c>
      <c r="R54" s="766">
        <f t="shared" si="0"/>
        <v>0</v>
      </c>
      <c r="S54" s="777" t="str">
        <f t="shared" si="1"/>
        <v/>
      </c>
      <c r="T54" s="777" t="str">
        <f t="shared" si="2"/>
        <v/>
      </c>
      <c r="U54" s="777" t="str">
        <f t="shared" si="3"/>
        <v/>
      </c>
      <c r="V54" s="781" t="str">
        <f t="shared" si="4"/>
        <v/>
      </c>
      <c r="W54" s="767"/>
    </row>
    <row r="55" spans="1:23" ht="14.4" customHeight="1" x14ac:dyDescent="0.3">
      <c r="A55" s="829" t="s">
        <v>3167</v>
      </c>
      <c r="B55" s="822"/>
      <c r="C55" s="824"/>
      <c r="D55" s="783"/>
      <c r="E55" s="825">
        <v>1</v>
      </c>
      <c r="F55" s="826">
        <v>0.8</v>
      </c>
      <c r="G55" s="776">
        <v>31</v>
      </c>
      <c r="H55" s="817"/>
      <c r="I55" s="816"/>
      <c r="J55" s="773"/>
      <c r="K55" s="818">
        <v>0.68</v>
      </c>
      <c r="L55" s="817">
        <v>3</v>
      </c>
      <c r="M55" s="817">
        <v>28</v>
      </c>
      <c r="N55" s="819">
        <v>9.49</v>
      </c>
      <c r="O55" s="817" t="s">
        <v>3067</v>
      </c>
      <c r="P55" s="820" t="s">
        <v>3168</v>
      </c>
      <c r="Q55" s="821">
        <f t="shared" si="0"/>
        <v>0</v>
      </c>
      <c r="R55" s="821">
        <f t="shared" si="0"/>
        <v>0</v>
      </c>
      <c r="S55" s="822" t="str">
        <f t="shared" si="1"/>
        <v/>
      </c>
      <c r="T55" s="822" t="str">
        <f t="shared" si="2"/>
        <v/>
      </c>
      <c r="U55" s="822" t="str">
        <f t="shared" si="3"/>
        <v/>
      </c>
      <c r="V55" s="823" t="str">
        <f t="shared" si="4"/>
        <v/>
      </c>
      <c r="W55" s="775"/>
    </row>
    <row r="56" spans="1:23" ht="14.4" customHeight="1" x14ac:dyDescent="0.3">
      <c r="A56" s="828" t="s">
        <v>3169</v>
      </c>
      <c r="B56" s="769">
        <v>1</v>
      </c>
      <c r="C56" s="770">
        <v>1.1200000000000001</v>
      </c>
      <c r="D56" s="771">
        <v>34</v>
      </c>
      <c r="E56" s="782">
        <v>1</v>
      </c>
      <c r="F56" s="762">
        <v>0.51</v>
      </c>
      <c r="G56" s="763">
        <v>16</v>
      </c>
      <c r="H56" s="761"/>
      <c r="I56" s="762"/>
      <c r="J56" s="763"/>
      <c r="K56" s="764">
        <v>0.51</v>
      </c>
      <c r="L56" s="761">
        <v>2</v>
      </c>
      <c r="M56" s="761">
        <v>20</v>
      </c>
      <c r="N56" s="765">
        <v>6.7</v>
      </c>
      <c r="O56" s="761" t="s">
        <v>3067</v>
      </c>
      <c r="P56" s="780" t="s">
        <v>3170</v>
      </c>
      <c r="Q56" s="766">
        <f t="shared" si="0"/>
        <v>-1</v>
      </c>
      <c r="R56" s="766">
        <f t="shared" si="0"/>
        <v>-1.1200000000000001</v>
      </c>
      <c r="S56" s="777" t="str">
        <f t="shared" si="1"/>
        <v/>
      </c>
      <c r="T56" s="777" t="str">
        <f t="shared" si="2"/>
        <v/>
      </c>
      <c r="U56" s="777" t="str">
        <f t="shared" si="3"/>
        <v/>
      </c>
      <c r="V56" s="781" t="str">
        <f t="shared" si="4"/>
        <v/>
      </c>
      <c r="W56" s="767"/>
    </row>
    <row r="57" spans="1:23" ht="14.4" customHeight="1" x14ac:dyDescent="0.3">
      <c r="A57" s="829" t="s">
        <v>3171</v>
      </c>
      <c r="B57" s="813">
        <v>1</v>
      </c>
      <c r="C57" s="814">
        <v>0.65</v>
      </c>
      <c r="D57" s="772">
        <v>15</v>
      </c>
      <c r="E57" s="815"/>
      <c r="F57" s="816"/>
      <c r="G57" s="773"/>
      <c r="H57" s="817">
        <v>1</v>
      </c>
      <c r="I57" s="816">
        <v>0.65</v>
      </c>
      <c r="J57" s="774">
        <v>18</v>
      </c>
      <c r="K57" s="818">
        <v>0.65</v>
      </c>
      <c r="L57" s="817">
        <v>3</v>
      </c>
      <c r="M57" s="817">
        <v>28</v>
      </c>
      <c r="N57" s="819">
        <v>9.18</v>
      </c>
      <c r="O57" s="817" t="s">
        <v>3067</v>
      </c>
      <c r="P57" s="820" t="s">
        <v>3172</v>
      </c>
      <c r="Q57" s="821">
        <f t="shared" si="0"/>
        <v>0</v>
      </c>
      <c r="R57" s="821">
        <f t="shared" si="0"/>
        <v>0</v>
      </c>
      <c r="S57" s="822">
        <f t="shared" si="1"/>
        <v>9.18</v>
      </c>
      <c r="T57" s="822">
        <f t="shared" si="2"/>
        <v>18</v>
      </c>
      <c r="U57" s="822">
        <f t="shared" si="3"/>
        <v>8.82</v>
      </c>
      <c r="V57" s="823">
        <f t="shared" si="4"/>
        <v>1.9607843137254903</v>
      </c>
      <c r="W57" s="775">
        <v>9</v>
      </c>
    </row>
    <row r="58" spans="1:23" ht="14.4" customHeight="1" x14ac:dyDescent="0.3">
      <c r="A58" s="828" t="s">
        <v>3173</v>
      </c>
      <c r="B58" s="777">
        <v>1</v>
      </c>
      <c r="C58" s="778">
        <v>1.27</v>
      </c>
      <c r="D58" s="779">
        <v>39</v>
      </c>
      <c r="E58" s="782"/>
      <c r="F58" s="762"/>
      <c r="G58" s="763"/>
      <c r="H58" s="758">
        <v>1</v>
      </c>
      <c r="I58" s="759">
        <v>1.49</v>
      </c>
      <c r="J58" s="768">
        <v>44</v>
      </c>
      <c r="K58" s="764">
        <v>0.57999999999999996</v>
      </c>
      <c r="L58" s="761">
        <v>3</v>
      </c>
      <c r="M58" s="761">
        <v>23</v>
      </c>
      <c r="N58" s="765">
        <v>7.73</v>
      </c>
      <c r="O58" s="761" t="s">
        <v>3067</v>
      </c>
      <c r="P58" s="780" t="s">
        <v>3174</v>
      </c>
      <c r="Q58" s="766">
        <f t="shared" si="0"/>
        <v>0</v>
      </c>
      <c r="R58" s="766">
        <f t="shared" si="0"/>
        <v>0.21999999999999997</v>
      </c>
      <c r="S58" s="777">
        <f t="shared" si="1"/>
        <v>7.73</v>
      </c>
      <c r="T58" s="777">
        <f t="shared" si="2"/>
        <v>44</v>
      </c>
      <c r="U58" s="777">
        <f t="shared" si="3"/>
        <v>36.269999999999996</v>
      </c>
      <c r="V58" s="781">
        <f t="shared" si="4"/>
        <v>5.6921086675291068</v>
      </c>
      <c r="W58" s="767">
        <v>36</v>
      </c>
    </row>
    <row r="59" spans="1:23" ht="14.4" customHeight="1" x14ac:dyDescent="0.3">
      <c r="A59" s="829" t="s">
        <v>3175</v>
      </c>
      <c r="B59" s="822"/>
      <c r="C59" s="824"/>
      <c r="D59" s="783"/>
      <c r="E59" s="815"/>
      <c r="F59" s="816"/>
      <c r="G59" s="773"/>
      <c r="H59" s="825">
        <v>1</v>
      </c>
      <c r="I59" s="826">
        <v>0.87</v>
      </c>
      <c r="J59" s="774">
        <v>19</v>
      </c>
      <c r="K59" s="818">
        <v>0.8</v>
      </c>
      <c r="L59" s="817">
        <v>3</v>
      </c>
      <c r="M59" s="817">
        <v>28</v>
      </c>
      <c r="N59" s="819">
        <v>9.44</v>
      </c>
      <c r="O59" s="817" t="s">
        <v>3067</v>
      </c>
      <c r="P59" s="820" t="s">
        <v>3176</v>
      </c>
      <c r="Q59" s="821">
        <f t="shared" si="0"/>
        <v>1</v>
      </c>
      <c r="R59" s="821">
        <f t="shared" si="0"/>
        <v>0.87</v>
      </c>
      <c r="S59" s="822">
        <f t="shared" si="1"/>
        <v>9.44</v>
      </c>
      <c r="T59" s="822">
        <f t="shared" si="2"/>
        <v>19</v>
      </c>
      <c r="U59" s="822">
        <f t="shared" si="3"/>
        <v>9.56</v>
      </c>
      <c r="V59" s="823">
        <f t="shared" si="4"/>
        <v>2.0127118644067798</v>
      </c>
      <c r="W59" s="775">
        <v>10</v>
      </c>
    </row>
    <row r="60" spans="1:23" ht="14.4" customHeight="1" x14ac:dyDescent="0.3">
      <c r="A60" s="828" t="s">
        <v>3177</v>
      </c>
      <c r="B60" s="777"/>
      <c r="C60" s="778"/>
      <c r="D60" s="779"/>
      <c r="E60" s="758">
        <v>1</v>
      </c>
      <c r="F60" s="759">
        <v>0.36</v>
      </c>
      <c r="G60" s="760">
        <v>11</v>
      </c>
      <c r="H60" s="761"/>
      <c r="I60" s="762"/>
      <c r="J60" s="763"/>
      <c r="K60" s="764">
        <v>0.36</v>
      </c>
      <c r="L60" s="761">
        <v>2</v>
      </c>
      <c r="M60" s="761">
        <v>15</v>
      </c>
      <c r="N60" s="765">
        <v>5.1100000000000003</v>
      </c>
      <c r="O60" s="761" t="s">
        <v>3067</v>
      </c>
      <c r="P60" s="780" t="s">
        <v>3178</v>
      </c>
      <c r="Q60" s="766">
        <f t="shared" si="0"/>
        <v>0</v>
      </c>
      <c r="R60" s="766">
        <f t="shared" si="0"/>
        <v>0</v>
      </c>
      <c r="S60" s="777" t="str">
        <f t="shared" si="1"/>
        <v/>
      </c>
      <c r="T60" s="777" t="str">
        <f t="shared" si="2"/>
        <v/>
      </c>
      <c r="U60" s="777" t="str">
        <f t="shared" si="3"/>
        <v/>
      </c>
      <c r="V60" s="781" t="str">
        <f t="shared" si="4"/>
        <v/>
      </c>
      <c r="W60" s="767"/>
    </row>
    <row r="61" spans="1:23" ht="14.4" customHeight="1" x14ac:dyDescent="0.3">
      <c r="A61" s="828" t="s">
        <v>3179</v>
      </c>
      <c r="B61" s="777"/>
      <c r="C61" s="778"/>
      <c r="D61" s="779"/>
      <c r="E61" s="758">
        <v>1</v>
      </c>
      <c r="F61" s="759">
        <v>0.79</v>
      </c>
      <c r="G61" s="760">
        <v>19</v>
      </c>
      <c r="H61" s="761"/>
      <c r="I61" s="762"/>
      <c r="J61" s="763"/>
      <c r="K61" s="764">
        <v>0.43</v>
      </c>
      <c r="L61" s="761">
        <v>1</v>
      </c>
      <c r="M61" s="761">
        <v>13</v>
      </c>
      <c r="N61" s="765">
        <v>4.3499999999999996</v>
      </c>
      <c r="O61" s="761" t="s">
        <v>3067</v>
      </c>
      <c r="P61" s="780" t="s">
        <v>3180</v>
      </c>
      <c r="Q61" s="766">
        <f t="shared" si="0"/>
        <v>0</v>
      </c>
      <c r="R61" s="766">
        <f t="shared" si="0"/>
        <v>0</v>
      </c>
      <c r="S61" s="777" t="str">
        <f t="shared" si="1"/>
        <v/>
      </c>
      <c r="T61" s="777" t="str">
        <f t="shared" si="2"/>
        <v/>
      </c>
      <c r="U61" s="777" t="str">
        <f t="shared" si="3"/>
        <v/>
      </c>
      <c r="V61" s="781" t="str">
        <f t="shared" si="4"/>
        <v/>
      </c>
      <c r="W61" s="767"/>
    </row>
    <row r="62" spans="1:23" ht="14.4" customHeight="1" x14ac:dyDescent="0.3">
      <c r="A62" s="829" t="s">
        <v>3181</v>
      </c>
      <c r="B62" s="822"/>
      <c r="C62" s="824"/>
      <c r="D62" s="783"/>
      <c r="E62" s="825">
        <v>2</v>
      </c>
      <c r="F62" s="826">
        <v>1.81</v>
      </c>
      <c r="G62" s="776">
        <v>25</v>
      </c>
      <c r="H62" s="817"/>
      <c r="I62" s="816"/>
      <c r="J62" s="773"/>
      <c r="K62" s="818">
        <v>0.62</v>
      </c>
      <c r="L62" s="817">
        <v>2</v>
      </c>
      <c r="M62" s="817">
        <v>20</v>
      </c>
      <c r="N62" s="819">
        <v>6.8</v>
      </c>
      <c r="O62" s="817" t="s">
        <v>3067</v>
      </c>
      <c r="P62" s="820" t="s">
        <v>3182</v>
      </c>
      <c r="Q62" s="821">
        <f t="shared" si="0"/>
        <v>0</v>
      </c>
      <c r="R62" s="821">
        <f t="shared" si="0"/>
        <v>0</v>
      </c>
      <c r="S62" s="822" t="str">
        <f t="shared" si="1"/>
        <v/>
      </c>
      <c r="T62" s="822" t="str">
        <f t="shared" si="2"/>
        <v/>
      </c>
      <c r="U62" s="822" t="str">
        <f t="shared" si="3"/>
        <v/>
      </c>
      <c r="V62" s="823" t="str">
        <f t="shared" si="4"/>
        <v/>
      </c>
      <c r="W62" s="775"/>
    </row>
    <row r="63" spans="1:23" ht="14.4" customHeight="1" x14ac:dyDescent="0.3">
      <c r="A63" s="829" t="s">
        <v>3183</v>
      </c>
      <c r="B63" s="822">
        <v>1</v>
      </c>
      <c r="C63" s="824">
        <v>1.41</v>
      </c>
      <c r="D63" s="783">
        <v>36</v>
      </c>
      <c r="E63" s="825">
        <v>1</v>
      </c>
      <c r="F63" s="826">
        <v>1.18</v>
      </c>
      <c r="G63" s="776">
        <v>31</v>
      </c>
      <c r="H63" s="817"/>
      <c r="I63" s="816"/>
      <c r="J63" s="773"/>
      <c r="K63" s="818">
        <v>0.84</v>
      </c>
      <c r="L63" s="817">
        <v>3</v>
      </c>
      <c r="M63" s="817">
        <v>26</v>
      </c>
      <c r="N63" s="819">
        <v>8.6199999999999992</v>
      </c>
      <c r="O63" s="817" t="s">
        <v>3067</v>
      </c>
      <c r="P63" s="820" t="s">
        <v>3184</v>
      </c>
      <c r="Q63" s="821">
        <f t="shared" si="0"/>
        <v>-1</v>
      </c>
      <c r="R63" s="821">
        <f t="shared" si="0"/>
        <v>-1.41</v>
      </c>
      <c r="S63" s="822" t="str">
        <f t="shared" si="1"/>
        <v/>
      </c>
      <c r="T63" s="822" t="str">
        <f t="shared" si="2"/>
        <v/>
      </c>
      <c r="U63" s="822" t="str">
        <f t="shared" si="3"/>
        <v/>
      </c>
      <c r="V63" s="823" t="str">
        <f t="shared" si="4"/>
        <v/>
      </c>
      <c r="W63" s="775"/>
    </row>
    <row r="64" spans="1:23" ht="14.4" customHeight="1" x14ac:dyDescent="0.3">
      <c r="A64" s="828" t="s">
        <v>3185</v>
      </c>
      <c r="B64" s="777"/>
      <c r="C64" s="778"/>
      <c r="D64" s="779"/>
      <c r="E64" s="758">
        <v>1</v>
      </c>
      <c r="F64" s="759">
        <v>0.72</v>
      </c>
      <c r="G64" s="760">
        <v>19</v>
      </c>
      <c r="H64" s="761"/>
      <c r="I64" s="762"/>
      <c r="J64" s="763"/>
      <c r="K64" s="764">
        <v>0.36</v>
      </c>
      <c r="L64" s="761">
        <v>1</v>
      </c>
      <c r="M64" s="761">
        <v>12</v>
      </c>
      <c r="N64" s="765">
        <v>4.1500000000000004</v>
      </c>
      <c r="O64" s="761" t="s">
        <v>3067</v>
      </c>
      <c r="P64" s="780" t="s">
        <v>3186</v>
      </c>
      <c r="Q64" s="766">
        <f t="shared" si="0"/>
        <v>0</v>
      </c>
      <c r="R64" s="766">
        <f t="shared" si="0"/>
        <v>0</v>
      </c>
      <c r="S64" s="777" t="str">
        <f t="shared" si="1"/>
        <v/>
      </c>
      <c r="T64" s="777" t="str">
        <f t="shared" si="2"/>
        <v/>
      </c>
      <c r="U64" s="777" t="str">
        <f t="shared" si="3"/>
        <v/>
      </c>
      <c r="V64" s="781" t="str">
        <f t="shared" si="4"/>
        <v/>
      </c>
      <c r="W64" s="767"/>
    </row>
    <row r="65" spans="1:23" ht="14.4" customHeight="1" x14ac:dyDescent="0.3">
      <c r="A65" s="828" t="s">
        <v>3187</v>
      </c>
      <c r="B65" s="777"/>
      <c r="C65" s="778"/>
      <c r="D65" s="779"/>
      <c r="E65" s="782"/>
      <c r="F65" s="762"/>
      <c r="G65" s="763"/>
      <c r="H65" s="758">
        <v>1</v>
      </c>
      <c r="I65" s="759">
        <v>1.0900000000000001</v>
      </c>
      <c r="J65" s="768">
        <v>26</v>
      </c>
      <c r="K65" s="764">
        <v>0.39</v>
      </c>
      <c r="L65" s="761">
        <v>1</v>
      </c>
      <c r="M65" s="761">
        <v>13</v>
      </c>
      <c r="N65" s="765">
        <v>4.26</v>
      </c>
      <c r="O65" s="761" t="s">
        <v>3067</v>
      </c>
      <c r="P65" s="780" t="s">
        <v>3188</v>
      </c>
      <c r="Q65" s="766">
        <f t="shared" si="0"/>
        <v>1</v>
      </c>
      <c r="R65" s="766">
        <f t="shared" si="0"/>
        <v>1.0900000000000001</v>
      </c>
      <c r="S65" s="777">
        <f t="shared" si="1"/>
        <v>4.26</v>
      </c>
      <c r="T65" s="777">
        <f t="shared" si="2"/>
        <v>26</v>
      </c>
      <c r="U65" s="777">
        <f t="shared" si="3"/>
        <v>21.740000000000002</v>
      </c>
      <c r="V65" s="781">
        <f t="shared" si="4"/>
        <v>6.103286384976526</v>
      </c>
      <c r="W65" s="767">
        <v>22</v>
      </c>
    </row>
    <row r="66" spans="1:23" ht="14.4" customHeight="1" x14ac:dyDescent="0.3">
      <c r="A66" s="829" t="s">
        <v>3189</v>
      </c>
      <c r="B66" s="822"/>
      <c r="C66" s="824"/>
      <c r="D66" s="783"/>
      <c r="E66" s="815"/>
      <c r="F66" s="816"/>
      <c r="G66" s="773"/>
      <c r="H66" s="825">
        <v>1</v>
      </c>
      <c r="I66" s="826">
        <v>0.64</v>
      </c>
      <c r="J66" s="774">
        <v>19</v>
      </c>
      <c r="K66" s="818">
        <v>0.64</v>
      </c>
      <c r="L66" s="817">
        <v>3</v>
      </c>
      <c r="M66" s="817">
        <v>24</v>
      </c>
      <c r="N66" s="819">
        <v>7.84</v>
      </c>
      <c r="O66" s="817" t="s">
        <v>3067</v>
      </c>
      <c r="P66" s="820" t="s">
        <v>3190</v>
      </c>
      <c r="Q66" s="821">
        <f t="shared" si="0"/>
        <v>1</v>
      </c>
      <c r="R66" s="821">
        <f t="shared" si="0"/>
        <v>0.64</v>
      </c>
      <c r="S66" s="822">
        <f t="shared" si="1"/>
        <v>7.84</v>
      </c>
      <c r="T66" s="822">
        <f t="shared" si="2"/>
        <v>19</v>
      </c>
      <c r="U66" s="822">
        <f t="shared" si="3"/>
        <v>11.16</v>
      </c>
      <c r="V66" s="823">
        <f t="shared" si="4"/>
        <v>2.4234693877551021</v>
      </c>
      <c r="W66" s="775">
        <v>11</v>
      </c>
    </row>
    <row r="67" spans="1:23" ht="14.4" customHeight="1" x14ac:dyDescent="0.3">
      <c r="A67" s="828" t="s">
        <v>3191</v>
      </c>
      <c r="B67" s="769">
        <v>1</v>
      </c>
      <c r="C67" s="770">
        <v>0.8</v>
      </c>
      <c r="D67" s="771">
        <v>16</v>
      </c>
      <c r="E67" s="782"/>
      <c r="F67" s="762"/>
      <c r="G67" s="763"/>
      <c r="H67" s="761"/>
      <c r="I67" s="762"/>
      <c r="J67" s="763"/>
      <c r="K67" s="764">
        <v>0.76</v>
      </c>
      <c r="L67" s="761">
        <v>3</v>
      </c>
      <c r="M67" s="761">
        <v>27</v>
      </c>
      <c r="N67" s="765">
        <v>8.85</v>
      </c>
      <c r="O67" s="761" t="s">
        <v>3067</v>
      </c>
      <c r="P67" s="780" t="s">
        <v>3192</v>
      </c>
      <c r="Q67" s="766">
        <f t="shared" si="0"/>
        <v>-1</v>
      </c>
      <c r="R67" s="766">
        <f t="shared" si="0"/>
        <v>-0.8</v>
      </c>
      <c r="S67" s="777" t="str">
        <f t="shared" si="1"/>
        <v/>
      </c>
      <c r="T67" s="777" t="str">
        <f t="shared" si="2"/>
        <v/>
      </c>
      <c r="U67" s="777" t="str">
        <f t="shared" si="3"/>
        <v/>
      </c>
      <c r="V67" s="781" t="str">
        <f t="shared" si="4"/>
        <v/>
      </c>
      <c r="W67" s="767"/>
    </row>
    <row r="68" spans="1:23" ht="14.4" customHeight="1" x14ac:dyDescent="0.3">
      <c r="A68" s="828" t="s">
        <v>3193</v>
      </c>
      <c r="B68" s="769">
        <v>1</v>
      </c>
      <c r="C68" s="770">
        <v>7.72</v>
      </c>
      <c r="D68" s="771">
        <v>29</v>
      </c>
      <c r="E68" s="782"/>
      <c r="F68" s="762"/>
      <c r="G68" s="763"/>
      <c r="H68" s="761"/>
      <c r="I68" s="762"/>
      <c r="J68" s="763"/>
      <c r="K68" s="764">
        <v>4.79</v>
      </c>
      <c r="L68" s="761">
        <v>2</v>
      </c>
      <c r="M68" s="761">
        <v>15</v>
      </c>
      <c r="N68" s="765">
        <v>5.01</v>
      </c>
      <c r="O68" s="761" t="s">
        <v>3067</v>
      </c>
      <c r="P68" s="780" t="s">
        <v>3194</v>
      </c>
      <c r="Q68" s="766">
        <f t="shared" si="0"/>
        <v>-1</v>
      </c>
      <c r="R68" s="766">
        <f t="shared" si="0"/>
        <v>-7.72</v>
      </c>
      <c r="S68" s="777" t="str">
        <f t="shared" si="1"/>
        <v/>
      </c>
      <c r="T68" s="777" t="str">
        <f t="shared" si="2"/>
        <v/>
      </c>
      <c r="U68" s="777" t="str">
        <f t="shared" si="3"/>
        <v/>
      </c>
      <c r="V68" s="781" t="str">
        <f t="shared" si="4"/>
        <v/>
      </c>
      <c r="W68" s="767"/>
    </row>
    <row r="69" spans="1:23" ht="14.4" customHeight="1" x14ac:dyDescent="0.3">
      <c r="A69" s="829" t="s">
        <v>3195</v>
      </c>
      <c r="B69" s="813">
        <v>1</v>
      </c>
      <c r="C69" s="814">
        <v>13.79</v>
      </c>
      <c r="D69" s="772">
        <v>67</v>
      </c>
      <c r="E69" s="815"/>
      <c r="F69" s="816"/>
      <c r="G69" s="773"/>
      <c r="H69" s="817"/>
      <c r="I69" s="816"/>
      <c r="J69" s="773"/>
      <c r="K69" s="818">
        <v>5.28</v>
      </c>
      <c r="L69" s="817">
        <v>2</v>
      </c>
      <c r="M69" s="817">
        <v>20</v>
      </c>
      <c r="N69" s="819">
        <v>6.7</v>
      </c>
      <c r="O69" s="817" t="s">
        <v>3067</v>
      </c>
      <c r="P69" s="820" t="s">
        <v>3196</v>
      </c>
      <c r="Q69" s="821">
        <f t="shared" si="0"/>
        <v>-1</v>
      </c>
      <c r="R69" s="821">
        <f t="shared" si="0"/>
        <v>-13.79</v>
      </c>
      <c r="S69" s="822" t="str">
        <f t="shared" si="1"/>
        <v/>
      </c>
      <c r="T69" s="822" t="str">
        <f t="shared" si="2"/>
        <v/>
      </c>
      <c r="U69" s="822" t="str">
        <f t="shared" si="3"/>
        <v/>
      </c>
      <c r="V69" s="823" t="str">
        <f t="shared" si="4"/>
        <v/>
      </c>
      <c r="W69" s="775"/>
    </row>
    <row r="70" spans="1:23" ht="14.4" customHeight="1" x14ac:dyDescent="0.3">
      <c r="A70" s="828" t="s">
        <v>3197</v>
      </c>
      <c r="B70" s="777"/>
      <c r="C70" s="778"/>
      <c r="D70" s="779"/>
      <c r="E70" s="782"/>
      <c r="F70" s="762"/>
      <c r="G70" s="763"/>
      <c r="H70" s="758">
        <v>1</v>
      </c>
      <c r="I70" s="759">
        <v>7.94</v>
      </c>
      <c r="J70" s="768">
        <v>65</v>
      </c>
      <c r="K70" s="764">
        <v>7.36</v>
      </c>
      <c r="L70" s="761">
        <v>7</v>
      </c>
      <c r="M70" s="761">
        <v>62</v>
      </c>
      <c r="N70" s="765">
        <v>20.73</v>
      </c>
      <c r="O70" s="761" t="s">
        <v>3067</v>
      </c>
      <c r="P70" s="780" t="s">
        <v>3198</v>
      </c>
      <c r="Q70" s="766">
        <f t="shared" ref="Q70:R133" si="5">H70-B70</f>
        <v>1</v>
      </c>
      <c r="R70" s="766">
        <f t="shared" si="5"/>
        <v>7.94</v>
      </c>
      <c r="S70" s="777">
        <f t="shared" ref="S70:S133" si="6">IF(H70=0,"",H70*N70)</f>
        <v>20.73</v>
      </c>
      <c r="T70" s="777">
        <f t="shared" ref="T70:T133" si="7">IF(H70=0,"",H70*J70)</f>
        <v>65</v>
      </c>
      <c r="U70" s="777">
        <f t="shared" ref="U70:U133" si="8">IF(H70=0,"",T70-S70)</f>
        <v>44.269999999999996</v>
      </c>
      <c r="V70" s="781">
        <f t="shared" ref="V70:V133" si="9">IF(H70=0,"",T70/S70)</f>
        <v>3.135552339604438</v>
      </c>
      <c r="W70" s="767">
        <v>44</v>
      </c>
    </row>
    <row r="71" spans="1:23" ht="14.4" customHeight="1" x14ac:dyDescent="0.3">
      <c r="A71" s="828" t="s">
        <v>3199</v>
      </c>
      <c r="B71" s="769">
        <v>1</v>
      </c>
      <c r="C71" s="770">
        <v>1.21</v>
      </c>
      <c r="D71" s="771">
        <v>23</v>
      </c>
      <c r="E71" s="782"/>
      <c r="F71" s="762"/>
      <c r="G71" s="763"/>
      <c r="H71" s="761"/>
      <c r="I71" s="762"/>
      <c r="J71" s="763"/>
      <c r="K71" s="764">
        <v>1.21</v>
      </c>
      <c r="L71" s="761">
        <v>3</v>
      </c>
      <c r="M71" s="761">
        <v>26</v>
      </c>
      <c r="N71" s="765">
        <v>8.57</v>
      </c>
      <c r="O71" s="761" t="s">
        <v>3067</v>
      </c>
      <c r="P71" s="780" t="s">
        <v>3200</v>
      </c>
      <c r="Q71" s="766">
        <f t="shared" si="5"/>
        <v>-1</v>
      </c>
      <c r="R71" s="766">
        <f t="shared" si="5"/>
        <v>-1.21</v>
      </c>
      <c r="S71" s="777" t="str">
        <f t="shared" si="6"/>
        <v/>
      </c>
      <c r="T71" s="777" t="str">
        <f t="shared" si="7"/>
        <v/>
      </c>
      <c r="U71" s="777" t="str">
        <f t="shared" si="8"/>
        <v/>
      </c>
      <c r="V71" s="781" t="str">
        <f t="shared" si="9"/>
        <v/>
      </c>
      <c r="W71" s="767"/>
    </row>
    <row r="72" spans="1:23" ht="14.4" customHeight="1" x14ac:dyDescent="0.3">
      <c r="A72" s="828" t="s">
        <v>3201</v>
      </c>
      <c r="B72" s="777"/>
      <c r="C72" s="778"/>
      <c r="D72" s="779"/>
      <c r="E72" s="782"/>
      <c r="F72" s="762"/>
      <c r="G72" s="763"/>
      <c r="H72" s="758">
        <v>1</v>
      </c>
      <c r="I72" s="759">
        <v>1.29</v>
      </c>
      <c r="J72" s="768">
        <v>31</v>
      </c>
      <c r="K72" s="764">
        <v>0.75</v>
      </c>
      <c r="L72" s="761">
        <v>2</v>
      </c>
      <c r="M72" s="761">
        <v>22</v>
      </c>
      <c r="N72" s="765">
        <v>7.44</v>
      </c>
      <c r="O72" s="761" t="s">
        <v>3067</v>
      </c>
      <c r="P72" s="780" t="s">
        <v>3202</v>
      </c>
      <c r="Q72" s="766">
        <f t="shared" si="5"/>
        <v>1</v>
      </c>
      <c r="R72" s="766">
        <f t="shared" si="5"/>
        <v>1.29</v>
      </c>
      <c r="S72" s="777">
        <f t="shared" si="6"/>
        <v>7.44</v>
      </c>
      <c r="T72" s="777">
        <f t="shared" si="7"/>
        <v>31</v>
      </c>
      <c r="U72" s="777">
        <f t="shared" si="8"/>
        <v>23.56</v>
      </c>
      <c r="V72" s="781">
        <f t="shared" si="9"/>
        <v>4.1666666666666661</v>
      </c>
      <c r="W72" s="767">
        <v>24</v>
      </c>
    </row>
    <row r="73" spans="1:23" ht="14.4" customHeight="1" x14ac:dyDescent="0.3">
      <c r="A73" s="829" t="s">
        <v>3203</v>
      </c>
      <c r="B73" s="822"/>
      <c r="C73" s="824"/>
      <c r="D73" s="783"/>
      <c r="E73" s="815">
        <v>1</v>
      </c>
      <c r="F73" s="816">
        <v>1.81</v>
      </c>
      <c r="G73" s="773">
        <v>34</v>
      </c>
      <c r="H73" s="825"/>
      <c r="I73" s="826"/>
      <c r="J73" s="776"/>
      <c r="K73" s="818">
        <v>0.87</v>
      </c>
      <c r="L73" s="817">
        <v>2</v>
      </c>
      <c r="M73" s="817">
        <v>22</v>
      </c>
      <c r="N73" s="819">
        <v>7.35</v>
      </c>
      <c r="O73" s="817" t="s">
        <v>3067</v>
      </c>
      <c r="P73" s="820" t="s">
        <v>3204</v>
      </c>
      <c r="Q73" s="821">
        <f t="shared" si="5"/>
        <v>0</v>
      </c>
      <c r="R73" s="821">
        <f t="shared" si="5"/>
        <v>0</v>
      </c>
      <c r="S73" s="822" t="str">
        <f t="shared" si="6"/>
        <v/>
      </c>
      <c r="T73" s="822" t="str">
        <f t="shared" si="7"/>
        <v/>
      </c>
      <c r="U73" s="822" t="str">
        <f t="shared" si="8"/>
        <v/>
      </c>
      <c r="V73" s="823" t="str">
        <f t="shared" si="9"/>
        <v/>
      </c>
      <c r="W73" s="775"/>
    </row>
    <row r="74" spans="1:23" ht="14.4" customHeight="1" x14ac:dyDescent="0.3">
      <c r="A74" s="828" t="s">
        <v>3205</v>
      </c>
      <c r="B74" s="777"/>
      <c r="C74" s="778"/>
      <c r="D74" s="779"/>
      <c r="E74" s="782"/>
      <c r="F74" s="762"/>
      <c r="G74" s="763"/>
      <c r="H74" s="758">
        <v>1</v>
      </c>
      <c r="I74" s="759">
        <v>3.09</v>
      </c>
      <c r="J74" s="768">
        <v>68</v>
      </c>
      <c r="K74" s="764">
        <v>1.06</v>
      </c>
      <c r="L74" s="761">
        <v>4</v>
      </c>
      <c r="M74" s="761">
        <v>32</v>
      </c>
      <c r="N74" s="765">
        <v>10.73</v>
      </c>
      <c r="O74" s="761" t="s">
        <v>3067</v>
      </c>
      <c r="P74" s="780" t="s">
        <v>3206</v>
      </c>
      <c r="Q74" s="766">
        <f t="shared" si="5"/>
        <v>1</v>
      </c>
      <c r="R74" s="766">
        <f t="shared" si="5"/>
        <v>3.09</v>
      </c>
      <c r="S74" s="777">
        <f t="shared" si="6"/>
        <v>10.73</v>
      </c>
      <c r="T74" s="777">
        <f t="shared" si="7"/>
        <v>68</v>
      </c>
      <c r="U74" s="777">
        <f t="shared" si="8"/>
        <v>57.269999999999996</v>
      </c>
      <c r="V74" s="781">
        <f t="shared" si="9"/>
        <v>6.3373718546132336</v>
      </c>
      <c r="W74" s="767">
        <v>57</v>
      </c>
    </row>
    <row r="75" spans="1:23" ht="14.4" customHeight="1" x14ac:dyDescent="0.3">
      <c r="A75" s="829" t="s">
        <v>3207</v>
      </c>
      <c r="B75" s="822">
        <v>1</v>
      </c>
      <c r="C75" s="824">
        <v>3.69</v>
      </c>
      <c r="D75" s="783">
        <v>66</v>
      </c>
      <c r="E75" s="815"/>
      <c r="F75" s="816"/>
      <c r="G75" s="773"/>
      <c r="H75" s="825"/>
      <c r="I75" s="826"/>
      <c r="J75" s="776"/>
      <c r="K75" s="818">
        <v>1.86</v>
      </c>
      <c r="L75" s="817">
        <v>5</v>
      </c>
      <c r="M75" s="817">
        <v>41</v>
      </c>
      <c r="N75" s="819">
        <v>13.5</v>
      </c>
      <c r="O75" s="817" t="s">
        <v>3067</v>
      </c>
      <c r="P75" s="820" t="s">
        <v>3208</v>
      </c>
      <c r="Q75" s="821">
        <f t="shared" si="5"/>
        <v>-1</v>
      </c>
      <c r="R75" s="821">
        <f t="shared" si="5"/>
        <v>-3.69</v>
      </c>
      <c r="S75" s="822" t="str">
        <f t="shared" si="6"/>
        <v/>
      </c>
      <c r="T75" s="822" t="str">
        <f t="shared" si="7"/>
        <v/>
      </c>
      <c r="U75" s="822" t="str">
        <f t="shared" si="8"/>
        <v/>
      </c>
      <c r="V75" s="823" t="str">
        <f t="shared" si="9"/>
        <v/>
      </c>
      <c r="W75" s="775"/>
    </row>
    <row r="76" spans="1:23" ht="14.4" customHeight="1" x14ac:dyDescent="0.3">
      <c r="A76" s="828" t="s">
        <v>3209</v>
      </c>
      <c r="B76" s="777">
        <v>1</v>
      </c>
      <c r="C76" s="778">
        <v>2.63</v>
      </c>
      <c r="D76" s="779">
        <v>46</v>
      </c>
      <c r="E76" s="758"/>
      <c r="F76" s="759"/>
      <c r="G76" s="760"/>
      <c r="H76" s="761"/>
      <c r="I76" s="762"/>
      <c r="J76" s="763"/>
      <c r="K76" s="764">
        <v>0.42</v>
      </c>
      <c r="L76" s="761">
        <v>1</v>
      </c>
      <c r="M76" s="761">
        <v>12</v>
      </c>
      <c r="N76" s="765">
        <v>4</v>
      </c>
      <c r="O76" s="761" t="s">
        <v>3067</v>
      </c>
      <c r="P76" s="780" t="s">
        <v>3210</v>
      </c>
      <c r="Q76" s="766">
        <f t="shared" si="5"/>
        <v>-1</v>
      </c>
      <c r="R76" s="766">
        <f t="shared" si="5"/>
        <v>-2.63</v>
      </c>
      <c r="S76" s="777" t="str">
        <f t="shared" si="6"/>
        <v/>
      </c>
      <c r="T76" s="777" t="str">
        <f t="shared" si="7"/>
        <v/>
      </c>
      <c r="U76" s="777" t="str">
        <f t="shared" si="8"/>
        <v/>
      </c>
      <c r="V76" s="781" t="str">
        <f t="shared" si="9"/>
        <v/>
      </c>
      <c r="W76" s="767"/>
    </row>
    <row r="77" spans="1:23" ht="14.4" customHeight="1" x14ac:dyDescent="0.3">
      <c r="A77" s="829" t="s">
        <v>3211</v>
      </c>
      <c r="B77" s="822"/>
      <c r="C77" s="824"/>
      <c r="D77" s="783"/>
      <c r="E77" s="825">
        <v>1</v>
      </c>
      <c r="F77" s="826">
        <v>1.84</v>
      </c>
      <c r="G77" s="776">
        <v>35</v>
      </c>
      <c r="H77" s="817"/>
      <c r="I77" s="816"/>
      <c r="J77" s="773"/>
      <c r="K77" s="818">
        <v>0.56999999999999995</v>
      </c>
      <c r="L77" s="817">
        <v>2</v>
      </c>
      <c r="M77" s="817">
        <v>16</v>
      </c>
      <c r="N77" s="819">
        <v>5.36</v>
      </c>
      <c r="O77" s="817" t="s">
        <v>3067</v>
      </c>
      <c r="P77" s="820" t="s">
        <v>3212</v>
      </c>
      <c r="Q77" s="821">
        <f t="shared" si="5"/>
        <v>0</v>
      </c>
      <c r="R77" s="821">
        <f t="shared" si="5"/>
        <v>0</v>
      </c>
      <c r="S77" s="822" t="str">
        <f t="shared" si="6"/>
        <v/>
      </c>
      <c r="T77" s="822" t="str">
        <f t="shared" si="7"/>
        <v/>
      </c>
      <c r="U77" s="822" t="str">
        <f t="shared" si="8"/>
        <v/>
      </c>
      <c r="V77" s="823" t="str">
        <f t="shared" si="9"/>
        <v/>
      </c>
      <c r="W77" s="775"/>
    </row>
    <row r="78" spans="1:23" ht="14.4" customHeight="1" x14ac:dyDescent="0.3">
      <c r="A78" s="828" t="s">
        <v>3213</v>
      </c>
      <c r="B78" s="777"/>
      <c r="C78" s="778"/>
      <c r="D78" s="779"/>
      <c r="E78" s="782"/>
      <c r="F78" s="762"/>
      <c r="G78" s="763"/>
      <c r="H78" s="758">
        <v>1</v>
      </c>
      <c r="I78" s="759">
        <v>1.1000000000000001</v>
      </c>
      <c r="J78" s="768">
        <v>27</v>
      </c>
      <c r="K78" s="764">
        <v>0.34</v>
      </c>
      <c r="L78" s="761">
        <v>1</v>
      </c>
      <c r="M78" s="761">
        <v>12</v>
      </c>
      <c r="N78" s="765">
        <v>3.97</v>
      </c>
      <c r="O78" s="761" t="s">
        <v>3067</v>
      </c>
      <c r="P78" s="780" t="s">
        <v>3214</v>
      </c>
      <c r="Q78" s="766">
        <f t="shared" si="5"/>
        <v>1</v>
      </c>
      <c r="R78" s="766">
        <f t="shared" si="5"/>
        <v>1.1000000000000001</v>
      </c>
      <c r="S78" s="777">
        <f t="shared" si="6"/>
        <v>3.97</v>
      </c>
      <c r="T78" s="777">
        <f t="shared" si="7"/>
        <v>27</v>
      </c>
      <c r="U78" s="777">
        <f t="shared" si="8"/>
        <v>23.03</v>
      </c>
      <c r="V78" s="781">
        <f t="shared" si="9"/>
        <v>6.8010075566750627</v>
      </c>
      <c r="W78" s="767">
        <v>23</v>
      </c>
    </row>
    <row r="79" spans="1:23" ht="14.4" customHeight="1" x14ac:dyDescent="0.3">
      <c r="A79" s="829" t="s">
        <v>3215</v>
      </c>
      <c r="B79" s="822">
        <v>1</v>
      </c>
      <c r="C79" s="824">
        <v>0.49</v>
      </c>
      <c r="D79" s="783">
        <v>15</v>
      </c>
      <c r="E79" s="815">
        <v>1</v>
      </c>
      <c r="F79" s="816">
        <v>1.06</v>
      </c>
      <c r="G79" s="773">
        <v>29</v>
      </c>
      <c r="H79" s="825">
        <v>1</v>
      </c>
      <c r="I79" s="826">
        <v>0.93</v>
      </c>
      <c r="J79" s="774">
        <v>25</v>
      </c>
      <c r="K79" s="818">
        <v>0.49</v>
      </c>
      <c r="L79" s="817">
        <v>2</v>
      </c>
      <c r="M79" s="817">
        <v>18</v>
      </c>
      <c r="N79" s="819">
        <v>5.88</v>
      </c>
      <c r="O79" s="817" t="s">
        <v>3067</v>
      </c>
      <c r="P79" s="820" t="s">
        <v>3216</v>
      </c>
      <c r="Q79" s="821">
        <f t="shared" si="5"/>
        <v>0</v>
      </c>
      <c r="R79" s="821">
        <f t="shared" si="5"/>
        <v>0.44000000000000006</v>
      </c>
      <c r="S79" s="822">
        <f t="shared" si="6"/>
        <v>5.88</v>
      </c>
      <c r="T79" s="822">
        <f t="shared" si="7"/>
        <v>25</v>
      </c>
      <c r="U79" s="822">
        <f t="shared" si="8"/>
        <v>19.12</v>
      </c>
      <c r="V79" s="823">
        <f t="shared" si="9"/>
        <v>4.2517006802721093</v>
      </c>
      <c r="W79" s="775">
        <v>19</v>
      </c>
    </row>
    <row r="80" spans="1:23" ht="14.4" customHeight="1" x14ac:dyDescent="0.3">
      <c r="A80" s="829" t="s">
        <v>3217</v>
      </c>
      <c r="B80" s="822"/>
      <c r="C80" s="824"/>
      <c r="D80" s="783"/>
      <c r="E80" s="815">
        <v>1</v>
      </c>
      <c r="F80" s="816">
        <v>0.72</v>
      </c>
      <c r="G80" s="773">
        <v>15</v>
      </c>
      <c r="H80" s="825"/>
      <c r="I80" s="826"/>
      <c r="J80" s="776"/>
      <c r="K80" s="818">
        <v>0.72</v>
      </c>
      <c r="L80" s="817">
        <v>3</v>
      </c>
      <c r="M80" s="817">
        <v>23</v>
      </c>
      <c r="N80" s="819">
        <v>7.7</v>
      </c>
      <c r="O80" s="817" t="s">
        <v>3067</v>
      </c>
      <c r="P80" s="820" t="s">
        <v>3218</v>
      </c>
      <c r="Q80" s="821">
        <f t="shared" si="5"/>
        <v>0</v>
      </c>
      <c r="R80" s="821">
        <f t="shared" si="5"/>
        <v>0</v>
      </c>
      <c r="S80" s="822" t="str">
        <f t="shared" si="6"/>
        <v/>
      </c>
      <c r="T80" s="822" t="str">
        <f t="shared" si="7"/>
        <v/>
      </c>
      <c r="U80" s="822" t="str">
        <f t="shared" si="8"/>
        <v/>
      </c>
      <c r="V80" s="823" t="str">
        <f t="shared" si="9"/>
        <v/>
      </c>
      <c r="W80" s="775"/>
    </row>
    <row r="81" spans="1:23" ht="14.4" customHeight="1" x14ac:dyDescent="0.3">
      <c r="A81" s="828" t="s">
        <v>3219</v>
      </c>
      <c r="B81" s="769">
        <v>1</v>
      </c>
      <c r="C81" s="770">
        <v>6.48</v>
      </c>
      <c r="D81" s="771">
        <v>47</v>
      </c>
      <c r="E81" s="782"/>
      <c r="F81" s="762"/>
      <c r="G81" s="763"/>
      <c r="H81" s="761"/>
      <c r="I81" s="762"/>
      <c r="J81" s="763"/>
      <c r="K81" s="764">
        <v>6.48</v>
      </c>
      <c r="L81" s="761">
        <v>7</v>
      </c>
      <c r="M81" s="761">
        <v>65</v>
      </c>
      <c r="N81" s="765">
        <v>21.67</v>
      </c>
      <c r="O81" s="761" t="s">
        <v>3067</v>
      </c>
      <c r="P81" s="780" t="s">
        <v>3220</v>
      </c>
      <c r="Q81" s="766">
        <f t="shared" si="5"/>
        <v>-1</v>
      </c>
      <c r="R81" s="766">
        <f t="shared" si="5"/>
        <v>-6.48</v>
      </c>
      <c r="S81" s="777" t="str">
        <f t="shared" si="6"/>
        <v/>
      </c>
      <c r="T81" s="777" t="str">
        <f t="shared" si="7"/>
        <v/>
      </c>
      <c r="U81" s="777" t="str">
        <f t="shared" si="8"/>
        <v/>
      </c>
      <c r="V81" s="781" t="str">
        <f t="shared" si="9"/>
        <v/>
      </c>
      <c r="W81" s="767"/>
    </row>
    <row r="82" spans="1:23" ht="14.4" customHeight="1" x14ac:dyDescent="0.3">
      <c r="A82" s="828" t="s">
        <v>3221</v>
      </c>
      <c r="B82" s="777"/>
      <c r="C82" s="778"/>
      <c r="D82" s="779"/>
      <c r="E82" s="758">
        <v>1</v>
      </c>
      <c r="F82" s="759">
        <v>0.77</v>
      </c>
      <c r="G82" s="760">
        <v>19</v>
      </c>
      <c r="H82" s="761"/>
      <c r="I82" s="762"/>
      <c r="J82" s="763"/>
      <c r="K82" s="764">
        <v>0.77</v>
      </c>
      <c r="L82" s="761">
        <v>3</v>
      </c>
      <c r="M82" s="761">
        <v>25</v>
      </c>
      <c r="N82" s="765">
        <v>8.18</v>
      </c>
      <c r="O82" s="761" t="s">
        <v>3067</v>
      </c>
      <c r="P82" s="780" t="s">
        <v>3222</v>
      </c>
      <c r="Q82" s="766">
        <f t="shared" si="5"/>
        <v>0</v>
      </c>
      <c r="R82" s="766">
        <f t="shared" si="5"/>
        <v>0</v>
      </c>
      <c r="S82" s="777" t="str">
        <f t="shared" si="6"/>
        <v/>
      </c>
      <c r="T82" s="777" t="str">
        <f t="shared" si="7"/>
        <v/>
      </c>
      <c r="U82" s="777" t="str">
        <f t="shared" si="8"/>
        <v/>
      </c>
      <c r="V82" s="781" t="str">
        <f t="shared" si="9"/>
        <v/>
      </c>
      <c r="W82" s="767"/>
    </row>
    <row r="83" spans="1:23" ht="14.4" customHeight="1" x14ac:dyDescent="0.3">
      <c r="A83" s="829" t="s">
        <v>3223</v>
      </c>
      <c r="B83" s="822"/>
      <c r="C83" s="824"/>
      <c r="D83" s="783"/>
      <c r="E83" s="825">
        <v>1</v>
      </c>
      <c r="F83" s="826">
        <v>1</v>
      </c>
      <c r="G83" s="776">
        <v>20</v>
      </c>
      <c r="H83" s="817"/>
      <c r="I83" s="816"/>
      <c r="J83" s="773"/>
      <c r="K83" s="818">
        <v>1</v>
      </c>
      <c r="L83" s="817">
        <v>3</v>
      </c>
      <c r="M83" s="817">
        <v>29</v>
      </c>
      <c r="N83" s="819">
        <v>9.6999999999999993</v>
      </c>
      <c r="O83" s="817" t="s">
        <v>3067</v>
      </c>
      <c r="P83" s="820" t="s">
        <v>3224</v>
      </c>
      <c r="Q83" s="821">
        <f t="shared" si="5"/>
        <v>0</v>
      </c>
      <c r="R83" s="821">
        <f t="shared" si="5"/>
        <v>0</v>
      </c>
      <c r="S83" s="822" t="str">
        <f t="shared" si="6"/>
        <v/>
      </c>
      <c r="T83" s="822" t="str">
        <f t="shared" si="7"/>
        <v/>
      </c>
      <c r="U83" s="822" t="str">
        <f t="shared" si="8"/>
        <v/>
      </c>
      <c r="V83" s="823" t="str">
        <f t="shared" si="9"/>
        <v/>
      </c>
      <c r="W83" s="775"/>
    </row>
    <row r="84" spans="1:23" ht="14.4" customHeight="1" x14ac:dyDescent="0.3">
      <c r="A84" s="829" t="s">
        <v>3225</v>
      </c>
      <c r="B84" s="822">
        <v>1</v>
      </c>
      <c r="C84" s="824">
        <v>2.61</v>
      </c>
      <c r="D84" s="783">
        <v>48</v>
      </c>
      <c r="E84" s="825"/>
      <c r="F84" s="826"/>
      <c r="G84" s="776"/>
      <c r="H84" s="817"/>
      <c r="I84" s="816"/>
      <c r="J84" s="773"/>
      <c r="K84" s="818">
        <v>2.11</v>
      </c>
      <c r="L84" s="817">
        <v>5</v>
      </c>
      <c r="M84" s="817">
        <v>42</v>
      </c>
      <c r="N84" s="819">
        <v>13.91</v>
      </c>
      <c r="O84" s="817" t="s">
        <v>3067</v>
      </c>
      <c r="P84" s="820" t="s">
        <v>3226</v>
      </c>
      <c r="Q84" s="821">
        <f t="shared" si="5"/>
        <v>-1</v>
      </c>
      <c r="R84" s="821">
        <f t="shared" si="5"/>
        <v>-2.61</v>
      </c>
      <c r="S84" s="822" t="str">
        <f t="shared" si="6"/>
        <v/>
      </c>
      <c r="T84" s="822" t="str">
        <f t="shared" si="7"/>
        <v/>
      </c>
      <c r="U84" s="822" t="str">
        <f t="shared" si="8"/>
        <v/>
      </c>
      <c r="V84" s="823" t="str">
        <f t="shared" si="9"/>
        <v/>
      </c>
      <c r="W84" s="775"/>
    </row>
    <row r="85" spans="1:23" ht="14.4" customHeight="1" x14ac:dyDescent="0.3">
      <c r="A85" s="828" t="s">
        <v>3227</v>
      </c>
      <c r="B85" s="777"/>
      <c r="C85" s="778"/>
      <c r="D85" s="779"/>
      <c r="E85" s="782"/>
      <c r="F85" s="762"/>
      <c r="G85" s="763"/>
      <c r="H85" s="758">
        <v>2</v>
      </c>
      <c r="I85" s="759">
        <v>3.19</v>
      </c>
      <c r="J85" s="768">
        <v>23.5</v>
      </c>
      <c r="K85" s="764">
        <v>1.35</v>
      </c>
      <c r="L85" s="761">
        <v>4</v>
      </c>
      <c r="M85" s="761">
        <v>34</v>
      </c>
      <c r="N85" s="765">
        <v>11.34</v>
      </c>
      <c r="O85" s="761" t="s">
        <v>3067</v>
      </c>
      <c r="P85" s="780" t="s">
        <v>3228</v>
      </c>
      <c r="Q85" s="766">
        <f t="shared" si="5"/>
        <v>2</v>
      </c>
      <c r="R85" s="766">
        <f t="shared" si="5"/>
        <v>3.19</v>
      </c>
      <c r="S85" s="777">
        <f t="shared" si="6"/>
        <v>22.68</v>
      </c>
      <c r="T85" s="777">
        <f t="shared" si="7"/>
        <v>47</v>
      </c>
      <c r="U85" s="777">
        <f t="shared" si="8"/>
        <v>24.32</v>
      </c>
      <c r="V85" s="781">
        <f t="shared" si="9"/>
        <v>2.0723104056437389</v>
      </c>
      <c r="W85" s="767">
        <v>24</v>
      </c>
    </row>
    <row r="86" spans="1:23" ht="14.4" customHeight="1" x14ac:dyDescent="0.3">
      <c r="A86" s="828" t="s">
        <v>3229</v>
      </c>
      <c r="B86" s="769">
        <v>3</v>
      </c>
      <c r="C86" s="770">
        <v>2.91</v>
      </c>
      <c r="D86" s="771">
        <v>24.3</v>
      </c>
      <c r="E86" s="782"/>
      <c r="F86" s="762"/>
      <c r="G86" s="763"/>
      <c r="H86" s="761">
        <v>1</v>
      </c>
      <c r="I86" s="762">
        <v>0.68</v>
      </c>
      <c r="J86" s="768">
        <v>21</v>
      </c>
      <c r="K86" s="764">
        <v>0.68</v>
      </c>
      <c r="L86" s="761">
        <v>3</v>
      </c>
      <c r="M86" s="761">
        <v>24</v>
      </c>
      <c r="N86" s="765">
        <v>7.9</v>
      </c>
      <c r="O86" s="761" t="s">
        <v>3067</v>
      </c>
      <c r="P86" s="780" t="s">
        <v>3230</v>
      </c>
      <c r="Q86" s="766">
        <f t="shared" si="5"/>
        <v>-2</v>
      </c>
      <c r="R86" s="766">
        <f t="shared" si="5"/>
        <v>-2.23</v>
      </c>
      <c r="S86" s="777">
        <f t="shared" si="6"/>
        <v>7.9</v>
      </c>
      <c r="T86" s="777">
        <f t="shared" si="7"/>
        <v>21</v>
      </c>
      <c r="U86" s="777">
        <f t="shared" si="8"/>
        <v>13.1</v>
      </c>
      <c r="V86" s="781">
        <f t="shared" si="9"/>
        <v>2.6582278481012658</v>
      </c>
      <c r="W86" s="767">
        <v>13</v>
      </c>
    </row>
    <row r="87" spans="1:23" ht="14.4" customHeight="1" x14ac:dyDescent="0.3">
      <c r="A87" s="829" t="s">
        <v>3231</v>
      </c>
      <c r="B87" s="813">
        <v>1</v>
      </c>
      <c r="C87" s="814">
        <v>1.2</v>
      </c>
      <c r="D87" s="772">
        <v>23</v>
      </c>
      <c r="E87" s="815">
        <v>1</v>
      </c>
      <c r="F87" s="816">
        <v>1.35</v>
      </c>
      <c r="G87" s="773">
        <v>38</v>
      </c>
      <c r="H87" s="817">
        <v>1</v>
      </c>
      <c r="I87" s="816">
        <v>2.0699999999999998</v>
      </c>
      <c r="J87" s="774">
        <v>52</v>
      </c>
      <c r="K87" s="818">
        <v>1.04</v>
      </c>
      <c r="L87" s="817">
        <v>4</v>
      </c>
      <c r="M87" s="817">
        <v>32</v>
      </c>
      <c r="N87" s="819">
        <v>10.56</v>
      </c>
      <c r="O87" s="817" t="s">
        <v>3067</v>
      </c>
      <c r="P87" s="820" t="s">
        <v>3232</v>
      </c>
      <c r="Q87" s="821">
        <f t="shared" si="5"/>
        <v>0</v>
      </c>
      <c r="R87" s="821">
        <f t="shared" si="5"/>
        <v>0.86999999999999988</v>
      </c>
      <c r="S87" s="822">
        <f t="shared" si="6"/>
        <v>10.56</v>
      </c>
      <c r="T87" s="822">
        <f t="shared" si="7"/>
        <v>52</v>
      </c>
      <c r="U87" s="822">
        <f t="shared" si="8"/>
        <v>41.44</v>
      </c>
      <c r="V87" s="823">
        <f t="shared" si="9"/>
        <v>4.9242424242424239</v>
      </c>
      <c r="W87" s="775">
        <v>41</v>
      </c>
    </row>
    <row r="88" spans="1:23" ht="14.4" customHeight="1" x14ac:dyDescent="0.3">
      <c r="A88" s="828" t="s">
        <v>3233</v>
      </c>
      <c r="B88" s="777">
        <v>1</v>
      </c>
      <c r="C88" s="778">
        <v>8.15</v>
      </c>
      <c r="D88" s="779">
        <v>27</v>
      </c>
      <c r="E88" s="782"/>
      <c r="F88" s="762"/>
      <c r="G88" s="763"/>
      <c r="H88" s="758">
        <v>1</v>
      </c>
      <c r="I88" s="759">
        <v>8.15</v>
      </c>
      <c r="J88" s="768">
        <v>26</v>
      </c>
      <c r="K88" s="764">
        <v>8.15</v>
      </c>
      <c r="L88" s="761">
        <v>3</v>
      </c>
      <c r="M88" s="761">
        <v>28</v>
      </c>
      <c r="N88" s="765">
        <v>9.4</v>
      </c>
      <c r="O88" s="761" t="s">
        <v>3067</v>
      </c>
      <c r="P88" s="780" t="s">
        <v>3234</v>
      </c>
      <c r="Q88" s="766">
        <f t="shared" si="5"/>
        <v>0</v>
      </c>
      <c r="R88" s="766">
        <f t="shared" si="5"/>
        <v>0</v>
      </c>
      <c r="S88" s="777">
        <f t="shared" si="6"/>
        <v>9.4</v>
      </c>
      <c r="T88" s="777">
        <f t="shared" si="7"/>
        <v>26</v>
      </c>
      <c r="U88" s="777">
        <f t="shared" si="8"/>
        <v>16.600000000000001</v>
      </c>
      <c r="V88" s="781">
        <f t="shared" si="9"/>
        <v>2.7659574468085104</v>
      </c>
      <c r="W88" s="767">
        <v>17</v>
      </c>
    </row>
    <row r="89" spans="1:23" ht="14.4" customHeight="1" x14ac:dyDescent="0.3">
      <c r="A89" s="829" t="s">
        <v>3235</v>
      </c>
      <c r="B89" s="822"/>
      <c r="C89" s="824"/>
      <c r="D89" s="783"/>
      <c r="E89" s="815"/>
      <c r="F89" s="816"/>
      <c r="G89" s="773"/>
      <c r="H89" s="825">
        <v>1</v>
      </c>
      <c r="I89" s="826">
        <v>8.0500000000000007</v>
      </c>
      <c r="J89" s="774">
        <v>29</v>
      </c>
      <c r="K89" s="818">
        <v>8.92</v>
      </c>
      <c r="L89" s="817">
        <v>3</v>
      </c>
      <c r="M89" s="817">
        <v>31</v>
      </c>
      <c r="N89" s="819">
        <v>10.27</v>
      </c>
      <c r="O89" s="817" t="s">
        <v>3067</v>
      </c>
      <c r="P89" s="820" t="s">
        <v>3236</v>
      </c>
      <c r="Q89" s="821">
        <f t="shared" si="5"/>
        <v>1</v>
      </c>
      <c r="R89" s="821">
        <f t="shared" si="5"/>
        <v>8.0500000000000007</v>
      </c>
      <c r="S89" s="822">
        <f t="shared" si="6"/>
        <v>10.27</v>
      </c>
      <c r="T89" s="822">
        <f t="shared" si="7"/>
        <v>29</v>
      </c>
      <c r="U89" s="822">
        <f t="shared" si="8"/>
        <v>18.73</v>
      </c>
      <c r="V89" s="823">
        <f t="shared" si="9"/>
        <v>2.8237585199610518</v>
      </c>
      <c r="W89" s="775">
        <v>19</v>
      </c>
    </row>
    <row r="90" spans="1:23" ht="14.4" customHeight="1" x14ac:dyDescent="0.3">
      <c r="A90" s="828" t="s">
        <v>3237</v>
      </c>
      <c r="B90" s="777">
        <v>5</v>
      </c>
      <c r="C90" s="778">
        <v>20.69</v>
      </c>
      <c r="D90" s="779">
        <v>24.4</v>
      </c>
      <c r="E90" s="782">
        <v>1</v>
      </c>
      <c r="F90" s="762">
        <v>4.1399999999999997</v>
      </c>
      <c r="G90" s="763">
        <v>32</v>
      </c>
      <c r="H90" s="758">
        <v>3</v>
      </c>
      <c r="I90" s="759">
        <v>12.41</v>
      </c>
      <c r="J90" s="768">
        <v>27.7</v>
      </c>
      <c r="K90" s="764">
        <v>4.1399999999999997</v>
      </c>
      <c r="L90" s="761">
        <v>4</v>
      </c>
      <c r="M90" s="761">
        <v>37</v>
      </c>
      <c r="N90" s="765">
        <v>12.46</v>
      </c>
      <c r="O90" s="761" t="s">
        <v>3067</v>
      </c>
      <c r="P90" s="780" t="s">
        <v>3238</v>
      </c>
      <c r="Q90" s="766">
        <f t="shared" si="5"/>
        <v>-2</v>
      </c>
      <c r="R90" s="766">
        <f t="shared" si="5"/>
        <v>-8.2800000000000011</v>
      </c>
      <c r="S90" s="777">
        <f t="shared" si="6"/>
        <v>37.380000000000003</v>
      </c>
      <c r="T90" s="777">
        <f t="shared" si="7"/>
        <v>83.1</v>
      </c>
      <c r="U90" s="777">
        <f t="shared" si="8"/>
        <v>45.719999999999992</v>
      </c>
      <c r="V90" s="781">
        <f t="shared" si="9"/>
        <v>2.223113964686998</v>
      </c>
      <c r="W90" s="767">
        <v>46</v>
      </c>
    </row>
    <row r="91" spans="1:23" ht="14.4" customHeight="1" x14ac:dyDescent="0.3">
      <c r="A91" s="829" t="s">
        <v>3239</v>
      </c>
      <c r="B91" s="822">
        <v>1</v>
      </c>
      <c r="C91" s="824">
        <v>4.25</v>
      </c>
      <c r="D91" s="783">
        <v>29</v>
      </c>
      <c r="E91" s="815">
        <v>1</v>
      </c>
      <c r="F91" s="816">
        <v>4.25</v>
      </c>
      <c r="G91" s="773">
        <v>27</v>
      </c>
      <c r="H91" s="825">
        <v>2</v>
      </c>
      <c r="I91" s="826">
        <v>8.51</v>
      </c>
      <c r="J91" s="774">
        <v>26.5</v>
      </c>
      <c r="K91" s="818">
        <v>4.25</v>
      </c>
      <c r="L91" s="817">
        <v>5</v>
      </c>
      <c r="M91" s="817">
        <v>42</v>
      </c>
      <c r="N91" s="819">
        <v>13.88</v>
      </c>
      <c r="O91" s="817" t="s">
        <v>3067</v>
      </c>
      <c r="P91" s="820" t="s">
        <v>3240</v>
      </c>
      <c r="Q91" s="821">
        <f t="shared" si="5"/>
        <v>1</v>
      </c>
      <c r="R91" s="821">
        <f t="shared" si="5"/>
        <v>4.26</v>
      </c>
      <c r="S91" s="822">
        <f t="shared" si="6"/>
        <v>27.76</v>
      </c>
      <c r="T91" s="822">
        <f t="shared" si="7"/>
        <v>53</v>
      </c>
      <c r="U91" s="822">
        <f t="shared" si="8"/>
        <v>25.24</v>
      </c>
      <c r="V91" s="823">
        <f t="shared" si="9"/>
        <v>1.9092219020172909</v>
      </c>
      <c r="W91" s="775">
        <v>25</v>
      </c>
    </row>
    <row r="92" spans="1:23" ht="14.4" customHeight="1" x14ac:dyDescent="0.3">
      <c r="A92" s="829" t="s">
        <v>3241</v>
      </c>
      <c r="B92" s="822"/>
      <c r="C92" s="824"/>
      <c r="D92" s="783"/>
      <c r="E92" s="815"/>
      <c r="F92" s="816"/>
      <c r="G92" s="773"/>
      <c r="H92" s="825">
        <v>1</v>
      </c>
      <c r="I92" s="826">
        <v>4.84</v>
      </c>
      <c r="J92" s="774">
        <v>23</v>
      </c>
      <c r="K92" s="818">
        <v>4.84</v>
      </c>
      <c r="L92" s="817">
        <v>6</v>
      </c>
      <c r="M92" s="817">
        <v>50</v>
      </c>
      <c r="N92" s="819">
        <v>16.55</v>
      </c>
      <c r="O92" s="817" t="s">
        <v>3067</v>
      </c>
      <c r="P92" s="820" t="s">
        <v>3242</v>
      </c>
      <c r="Q92" s="821">
        <f t="shared" si="5"/>
        <v>1</v>
      </c>
      <c r="R92" s="821">
        <f t="shared" si="5"/>
        <v>4.84</v>
      </c>
      <c r="S92" s="822">
        <f t="shared" si="6"/>
        <v>16.55</v>
      </c>
      <c r="T92" s="822">
        <f t="shared" si="7"/>
        <v>23</v>
      </c>
      <c r="U92" s="822">
        <f t="shared" si="8"/>
        <v>6.4499999999999993</v>
      </c>
      <c r="V92" s="823">
        <f t="shared" si="9"/>
        <v>1.3897280966767371</v>
      </c>
      <c r="W92" s="775">
        <v>6</v>
      </c>
    </row>
    <row r="93" spans="1:23" ht="14.4" customHeight="1" x14ac:dyDescent="0.3">
      <c r="A93" s="828" t="s">
        <v>3243</v>
      </c>
      <c r="B93" s="769">
        <v>7</v>
      </c>
      <c r="C93" s="770">
        <v>21.8</v>
      </c>
      <c r="D93" s="771">
        <v>30.6</v>
      </c>
      <c r="E93" s="782">
        <v>4</v>
      </c>
      <c r="F93" s="762">
        <v>12.04</v>
      </c>
      <c r="G93" s="763">
        <v>22</v>
      </c>
      <c r="H93" s="761">
        <v>4</v>
      </c>
      <c r="I93" s="762">
        <v>12.14</v>
      </c>
      <c r="J93" s="768">
        <v>27.8</v>
      </c>
      <c r="K93" s="764">
        <v>3.01</v>
      </c>
      <c r="L93" s="761">
        <v>4</v>
      </c>
      <c r="M93" s="761">
        <v>36</v>
      </c>
      <c r="N93" s="765">
        <v>11.97</v>
      </c>
      <c r="O93" s="761" t="s">
        <v>3067</v>
      </c>
      <c r="P93" s="780" t="s">
        <v>3244</v>
      </c>
      <c r="Q93" s="766">
        <f t="shared" si="5"/>
        <v>-3</v>
      </c>
      <c r="R93" s="766">
        <f t="shared" si="5"/>
        <v>-9.66</v>
      </c>
      <c r="S93" s="777">
        <f t="shared" si="6"/>
        <v>47.88</v>
      </c>
      <c r="T93" s="777">
        <f t="shared" si="7"/>
        <v>111.2</v>
      </c>
      <c r="U93" s="777">
        <f t="shared" si="8"/>
        <v>63.32</v>
      </c>
      <c r="V93" s="781">
        <f t="shared" si="9"/>
        <v>2.3224728487886384</v>
      </c>
      <c r="W93" s="767">
        <v>63</v>
      </c>
    </row>
    <row r="94" spans="1:23" ht="14.4" customHeight="1" x14ac:dyDescent="0.3">
      <c r="A94" s="829" t="s">
        <v>3245</v>
      </c>
      <c r="B94" s="813">
        <v>5</v>
      </c>
      <c r="C94" s="814">
        <v>17.43</v>
      </c>
      <c r="D94" s="772">
        <v>27.2</v>
      </c>
      <c r="E94" s="815">
        <v>6</v>
      </c>
      <c r="F94" s="816">
        <v>21.05</v>
      </c>
      <c r="G94" s="773">
        <v>24.3</v>
      </c>
      <c r="H94" s="817">
        <v>5</v>
      </c>
      <c r="I94" s="816">
        <v>17.46</v>
      </c>
      <c r="J94" s="774">
        <v>23.4</v>
      </c>
      <c r="K94" s="818">
        <v>3.49</v>
      </c>
      <c r="L94" s="817">
        <v>5</v>
      </c>
      <c r="M94" s="817">
        <v>42</v>
      </c>
      <c r="N94" s="819">
        <v>13.92</v>
      </c>
      <c r="O94" s="817" t="s">
        <v>3067</v>
      </c>
      <c r="P94" s="820" t="s">
        <v>3246</v>
      </c>
      <c r="Q94" s="821">
        <f t="shared" si="5"/>
        <v>0</v>
      </c>
      <c r="R94" s="821">
        <f t="shared" si="5"/>
        <v>3.0000000000001137E-2</v>
      </c>
      <c r="S94" s="822">
        <f t="shared" si="6"/>
        <v>69.599999999999994</v>
      </c>
      <c r="T94" s="822">
        <f t="shared" si="7"/>
        <v>117</v>
      </c>
      <c r="U94" s="822">
        <f t="shared" si="8"/>
        <v>47.400000000000006</v>
      </c>
      <c r="V94" s="823">
        <f t="shared" si="9"/>
        <v>1.6810344827586208</v>
      </c>
      <c r="W94" s="775">
        <v>56</v>
      </c>
    </row>
    <row r="95" spans="1:23" ht="14.4" customHeight="1" x14ac:dyDescent="0.3">
      <c r="A95" s="829" t="s">
        <v>3247</v>
      </c>
      <c r="B95" s="813"/>
      <c r="C95" s="814"/>
      <c r="D95" s="772"/>
      <c r="E95" s="815"/>
      <c r="F95" s="816"/>
      <c r="G95" s="773"/>
      <c r="H95" s="817">
        <v>2</v>
      </c>
      <c r="I95" s="816">
        <v>8.93</v>
      </c>
      <c r="J95" s="774">
        <v>31</v>
      </c>
      <c r="K95" s="818">
        <v>4.46</v>
      </c>
      <c r="L95" s="817">
        <v>6</v>
      </c>
      <c r="M95" s="817">
        <v>52</v>
      </c>
      <c r="N95" s="819">
        <v>17.190000000000001</v>
      </c>
      <c r="O95" s="817" t="s">
        <v>3067</v>
      </c>
      <c r="P95" s="820" t="s">
        <v>3248</v>
      </c>
      <c r="Q95" s="821">
        <f t="shared" si="5"/>
        <v>2</v>
      </c>
      <c r="R95" s="821">
        <f t="shared" si="5"/>
        <v>8.93</v>
      </c>
      <c r="S95" s="822">
        <f t="shared" si="6"/>
        <v>34.380000000000003</v>
      </c>
      <c r="T95" s="822">
        <f t="shared" si="7"/>
        <v>62</v>
      </c>
      <c r="U95" s="822">
        <f t="shared" si="8"/>
        <v>27.619999999999997</v>
      </c>
      <c r="V95" s="823">
        <f t="shared" si="9"/>
        <v>1.8033740546829551</v>
      </c>
      <c r="W95" s="775">
        <v>28</v>
      </c>
    </row>
    <row r="96" spans="1:23" ht="14.4" customHeight="1" x14ac:dyDescent="0.3">
      <c r="A96" s="828" t="s">
        <v>3249</v>
      </c>
      <c r="B96" s="777"/>
      <c r="C96" s="778"/>
      <c r="D96" s="779"/>
      <c r="E96" s="782"/>
      <c r="F96" s="762"/>
      <c r="G96" s="763"/>
      <c r="H96" s="758">
        <v>2</v>
      </c>
      <c r="I96" s="759">
        <v>7.27</v>
      </c>
      <c r="J96" s="768">
        <v>22.5</v>
      </c>
      <c r="K96" s="764">
        <v>3.63</v>
      </c>
      <c r="L96" s="761">
        <v>3</v>
      </c>
      <c r="M96" s="761">
        <v>29</v>
      </c>
      <c r="N96" s="765">
        <v>9.76</v>
      </c>
      <c r="O96" s="761" t="s">
        <v>3067</v>
      </c>
      <c r="P96" s="780" t="s">
        <v>3250</v>
      </c>
      <c r="Q96" s="766">
        <f t="shared" si="5"/>
        <v>2</v>
      </c>
      <c r="R96" s="766">
        <f t="shared" si="5"/>
        <v>7.27</v>
      </c>
      <c r="S96" s="777">
        <f t="shared" si="6"/>
        <v>19.52</v>
      </c>
      <c r="T96" s="777">
        <f t="shared" si="7"/>
        <v>45</v>
      </c>
      <c r="U96" s="777">
        <f t="shared" si="8"/>
        <v>25.48</v>
      </c>
      <c r="V96" s="781">
        <f t="shared" si="9"/>
        <v>2.305327868852459</v>
      </c>
      <c r="W96" s="767">
        <v>25</v>
      </c>
    </row>
    <row r="97" spans="1:23" ht="14.4" customHeight="1" x14ac:dyDescent="0.3">
      <c r="A97" s="828" t="s">
        <v>3251</v>
      </c>
      <c r="B97" s="777"/>
      <c r="C97" s="778"/>
      <c r="D97" s="779"/>
      <c r="E97" s="758">
        <v>3</v>
      </c>
      <c r="F97" s="759">
        <v>7.51</v>
      </c>
      <c r="G97" s="760">
        <v>27</v>
      </c>
      <c r="H97" s="761"/>
      <c r="I97" s="762"/>
      <c r="J97" s="763"/>
      <c r="K97" s="764">
        <v>1.46</v>
      </c>
      <c r="L97" s="761">
        <v>2</v>
      </c>
      <c r="M97" s="761">
        <v>18</v>
      </c>
      <c r="N97" s="765">
        <v>5.99</v>
      </c>
      <c r="O97" s="761" t="s">
        <v>3067</v>
      </c>
      <c r="P97" s="780" t="s">
        <v>3252</v>
      </c>
      <c r="Q97" s="766">
        <f t="shared" si="5"/>
        <v>0</v>
      </c>
      <c r="R97" s="766">
        <f t="shared" si="5"/>
        <v>0</v>
      </c>
      <c r="S97" s="777" t="str">
        <f t="shared" si="6"/>
        <v/>
      </c>
      <c r="T97" s="777" t="str">
        <f t="shared" si="7"/>
        <v/>
      </c>
      <c r="U97" s="777" t="str">
        <f t="shared" si="8"/>
        <v/>
      </c>
      <c r="V97" s="781" t="str">
        <f t="shared" si="9"/>
        <v/>
      </c>
      <c r="W97" s="767"/>
    </row>
    <row r="98" spans="1:23" ht="14.4" customHeight="1" x14ac:dyDescent="0.3">
      <c r="A98" s="828" t="s">
        <v>3253</v>
      </c>
      <c r="B98" s="777">
        <v>1</v>
      </c>
      <c r="C98" s="778">
        <v>2.61</v>
      </c>
      <c r="D98" s="779">
        <v>27</v>
      </c>
      <c r="E98" s="782"/>
      <c r="F98" s="762"/>
      <c r="G98" s="763"/>
      <c r="H98" s="758"/>
      <c r="I98" s="759"/>
      <c r="J98" s="760"/>
      <c r="K98" s="764">
        <v>1.1200000000000001</v>
      </c>
      <c r="L98" s="761">
        <v>2</v>
      </c>
      <c r="M98" s="761">
        <v>14</v>
      </c>
      <c r="N98" s="765">
        <v>4.75</v>
      </c>
      <c r="O98" s="761" t="s">
        <v>3067</v>
      </c>
      <c r="P98" s="780" t="s">
        <v>3254</v>
      </c>
      <c r="Q98" s="766">
        <f t="shared" si="5"/>
        <v>-1</v>
      </c>
      <c r="R98" s="766">
        <f t="shared" si="5"/>
        <v>-2.61</v>
      </c>
      <c r="S98" s="777" t="str">
        <f t="shared" si="6"/>
        <v/>
      </c>
      <c r="T98" s="777" t="str">
        <f t="shared" si="7"/>
        <v/>
      </c>
      <c r="U98" s="777" t="str">
        <f t="shared" si="8"/>
        <v/>
      </c>
      <c r="V98" s="781" t="str">
        <f t="shared" si="9"/>
        <v/>
      </c>
      <c r="W98" s="767"/>
    </row>
    <row r="99" spans="1:23" ht="14.4" customHeight="1" x14ac:dyDescent="0.3">
      <c r="A99" s="829" t="s">
        <v>3255</v>
      </c>
      <c r="B99" s="822"/>
      <c r="C99" s="824"/>
      <c r="D99" s="783"/>
      <c r="E99" s="815"/>
      <c r="F99" s="816"/>
      <c r="G99" s="773"/>
      <c r="H99" s="825">
        <v>1</v>
      </c>
      <c r="I99" s="826">
        <v>2.78</v>
      </c>
      <c r="J99" s="774">
        <v>31</v>
      </c>
      <c r="K99" s="818">
        <v>1.57</v>
      </c>
      <c r="L99" s="817">
        <v>2</v>
      </c>
      <c r="M99" s="817">
        <v>20</v>
      </c>
      <c r="N99" s="819">
        <v>6.79</v>
      </c>
      <c r="O99" s="817" t="s">
        <v>3067</v>
      </c>
      <c r="P99" s="820" t="s">
        <v>3256</v>
      </c>
      <c r="Q99" s="821">
        <f t="shared" si="5"/>
        <v>1</v>
      </c>
      <c r="R99" s="821">
        <f t="shared" si="5"/>
        <v>2.78</v>
      </c>
      <c r="S99" s="822">
        <f t="shared" si="6"/>
        <v>6.79</v>
      </c>
      <c r="T99" s="822">
        <f t="shared" si="7"/>
        <v>31</v>
      </c>
      <c r="U99" s="822">
        <f t="shared" si="8"/>
        <v>24.21</v>
      </c>
      <c r="V99" s="823">
        <f t="shared" si="9"/>
        <v>4.5655375552282766</v>
      </c>
      <c r="W99" s="775">
        <v>24</v>
      </c>
    </row>
    <row r="100" spans="1:23" ht="14.4" customHeight="1" x14ac:dyDescent="0.3">
      <c r="A100" s="828" t="s">
        <v>3257</v>
      </c>
      <c r="B100" s="777">
        <v>3</v>
      </c>
      <c r="C100" s="778">
        <v>2.48</v>
      </c>
      <c r="D100" s="779">
        <v>26.3</v>
      </c>
      <c r="E100" s="758">
        <v>4</v>
      </c>
      <c r="F100" s="759">
        <v>3.78</v>
      </c>
      <c r="G100" s="760">
        <v>30</v>
      </c>
      <c r="H100" s="761">
        <v>1</v>
      </c>
      <c r="I100" s="762">
        <v>1.31</v>
      </c>
      <c r="J100" s="768">
        <v>38</v>
      </c>
      <c r="K100" s="764">
        <v>0.65</v>
      </c>
      <c r="L100" s="761">
        <v>3</v>
      </c>
      <c r="M100" s="761">
        <v>24</v>
      </c>
      <c r="N100" s="765">
        <v>8.1</v>
      </c>
      <c r="O100" s="761" t="s">
        <v>3067</v>
      </c>
      <c r="P100" s="780" t="s">
        <v>3258</v>
      </c>
      <c r="Q100" s="766">
        <f t="shared" si="5"/>
        <v>-2</v>
      </c>
      <c r="R100" s="766">
        <f t="shared" si="5"/>
        <v>-1.17</v>
      </c>
      <c r="S100" s="777">
        <f t="shared" si="6"/>
        <v>8.1</v>
      </c>
      <c r="T100" s="777">
        <f t="shared" si="7"/>
        <v>38</v>
      </c>
      <c r="U100" s="777">
        <f t="shared" si="8"/>
        <v>29.9</v>
      </c>
      <c r="V100" s="781">
        <f t="shared" si="9"/>
        <v>4.6913580246913584</v>
      </c>
      <c r="W100" s="767">
        <v>30</v>
      </c>
    </row>
    <row r="101" spans="1:23" ht="14.4" customHeight="1" x14ac:dyDescent="0.3">
      <c r="A101" s="829" t="s">
        <v>3259</v>
      </c>
      <c r="B101" s="822"/>
      <c r="C101" s="824"/>
      <c r="D101" s="783"/>
      <c r="E101" s="825"/>
      <c r="F101" s="826"/>
      <c r="G101" s="776"/>
      <c r="H101" s="817">
        <v>2</v>
      </c>
      <c r="I101" s="816">
        <v>2.66</v>
      </c>
      <c r="J101" s="774">
        <v>40</v>
      </c>
      <c r="K101" s="818">
        <v>0.76</v>
      </c>
      <c r="L101" s="817">
        <v>3</v>
      </c>
      <c r="M101" s="817">
        <v>28</v>
      </c>
      <c r="N101" s="819">
        <v>9.27</v>
      </c>
      <c r="O101" s="817" t="s">
        <v>3067</v>
      </c>
      <c r="P101" s="820" t="s">
        <v>3260</v>
      </c>
      <c r="Q101" s="821">
        <f t="shared" si="5"/>
        <v>2</v>
      </c>
      <c r="R101" s="821">
        <f t="shared" si="5"/>
        <v>2.66</v>
      </c>
      <c r="S101" s="822">
        <f t="shared" si="6"/>
        <v>18.54</v>
      </c>
      <c r="T101" s="822">
        <f t="shared" si="7"/>
        <v>80</v>
      </c>
      <c r="U101" s="822">
        <f t="shared" si="8"/>
        <v>61.46</v>
      </c>
      <c r="V101" s="823">
        <f t="shared" si="9"/>
        <v>4.3149946062567421</v>
      </c>
      <c r="W101" s="775">
        <v>61</v>
      </c>
    </row>
    <row r="102" spans="1:23" ht="14.4" customHeight="1" x14ac:dyDescent="0.3">
      <c r="A102" s="829" t="s">
        <v>3261</v>
      </c>
      <c r="B102" s="822">
        <v>1</v>
      </c>
      <c r="C102" s="824">
        <v>1.21</v>
      </c>
      <c r="D102" s="783">
        <v>28</v>
      </c>
      <c r="E102" s="825">
        <v>1</v>
      </c>
      <c r="F102" s="826">
        <v>1.74</v>
      </c>
      <c r="G102" s="776">
        <v>49</v>
      </c>
      <c r="H102" s="817"/>
      <c r="I102" s="816"/>
      <c r="J102" s="773"/>
      <c r="K102" s="818">
        <v>1.21</v>
      </c>
      <c r="L102" s="817">
        <v>4</v>
      </c>
      <c r="M102" s="817">
        <v>39</v>
      </c>
      <c r="N102" s="819">
        <v>12.99</v>
      </c>
      <c r="O102" s="817" t="s">
        <v>3067</v>
      </c>
      <c r="P102" s="820" t="s">
        <v>3262</v>
      </c>
      <c r="Q102" s="821">
        <f t="shared" si="5"/>
        <v>-1</v>
      </c>
      <c r="R102" s="821">
        <f t="shared" si="5"/>
        <v>-1.21</v>
      </c>
      <c r="S102" s="822" t="str">
        <f t="shared" si="6"/>
        <v/>
      </c>
      <c r="T102" s="822" t="str">
        <f t="shared" si="7"/>
        <v/>
      </c>
      <c r="U102" s="822" t="str">
        <f t="shared" si="8"/>
        <v/>
      </c>
      <c r="V102" s="823" t="str">
        <f t="shared" si="9"/>
        <v/>
      </c>
      <c r="W102" s="775"/>
    </row>
    <row r="103" spans="1:23" ht="14.4" customHeight="1" x14ac:dyDescent="0.3">
      <c r="A103" s="828" t="s">
        <v>3263</v>
      </c>
      <c r="B103" s="777"/>
      <c r="C103" s="778"/>
      <c r="D103" s="779"/>
      <c r="E103" s="758">
        <v>2</v>
      </c>
      <c r="F103" s="759">
        <v>2.04</v>
      </c>
      <c r="G103" s="760">
        <v>25.5</v>
      </c>
      <c r="H103" s="761">
        <v>1</v>
      </c>
      <c r="I103" s="762">
        <v>0.8</v>
      </c>
      <c r="J103" s="768">
        <v>21</v>
      </c>
      <c r="K103" s="764">
        <v>0.8</v>
      </c>
      <c r="L103" s="761">
        <v>3</v>
      </c>
      <c r="M103" s="761">
        <v>26</v>
      </c>
      <c r="N103" s="765">
        <v>8.74</v>
      </c>
      <c r="O103" s="761" t="s">
        <v>3067</v>
      </c>
      <c r="P103" s="780" t="s">
        <v>3264</v>
      </c>
      <c r="Q103" s="766">
        <f t="shared" si="5"/>
        <v>1</v>
      </c>
      <c r="R103" s="766">
        <f t="shared" si="5"/>
        <v>0.8</v>
      </c>
      <c r="S103" s="777">
        <f t="shared" si="6"/>
        <v>8.74</v>
      </c>
      <c r="T103" s="777">
        <f t="shared" si="7"/>
        <v>21</v>
      </c>
      <c r="U103" s="777">
        <f t="shared" si="8"/>
        <v>12.26</v>
      </c>
      <c r="V103" s="781">
        <f t="shared" si="9"/>
        <v>2.402745995423341</v>
      </c>
      <c r="W103" s="767">
        <v>12</v>
      </c>
    </row>
    <row r="104" spans="1:23" ht="14.4" customHeight="1" x14ac:dyDescent="0.3">
      <c r="A104" s="829" t="s">
        <v>3265</v>
      </c>
      <c r="B104" s="822">
        <v>1</v>
      </c>
      <c r="C104" s="824">
        <v>0.98</v>
      </c>
      <c r="D104" s="783">
        <v>24</v>
      </c>
      <c r="E104" s="825">
        <v>3</v>
      </c>
      <c r="F104" s="826">
        <v>3.08</v>
      </c>
      <c r="G104" s="776">
        <v>23.3</v>
      </c>
      <c r="H104" s="817"/>
      <c r="I104" s="816"/>
      <c r="J104" s="773"/>
      <c r="K104" s="818">
        <v>0.98</v>
      </c>
      <c r="L104" s="817">
        <v>3</v>
      </c>
      <c r="M104" s="817">
        <v>31</v>
      </c>
      <c r="N104" s="819">
        <v>10.34</v>
      </c>
      <c r="O104" s="817" t="s">
        <v>3067</v>
      </c>
      <c r="P104" s="820" t="s">
        <v>3266</v>
      </c>
      <c r="Q104" s="821">
        <f t="shared" si="5"/>
        <v>-1</v>
      </c>
      <c r="R104" s="821">
        <f t="shared" si="5"/>
        <v>-0.98</v>
      </c>
      <c r="S104" s="822" t="str">
        <f t="shared" si="6"/>
        <v/>
      </c>
      <c r="T104" s="822" t="str">
        <f t="shared" si="7"/>
        <v/>
      </c>
      <c r="U104" s="822" t="str">
        <f t="shared" si="8"/>
        <v/>
      </c>
      <c r="V104" s="823" t="str">
        <f t="shared" si="9"/>
        <v/>
      </c>
      <c r="W104" s="775"/>
    </row>
    <row r="105" spans="1:23" ht="14.4" customHeight="1" x14ac:dyDescent="0.3">
      <c r="A105" s="828" t="s">
        <v>3267</v>
      </c>
      <c r="B105" s="777"/>
      <c r="C105" s="778"/>
      <c r="D105" s="779"/>
      <c r="E105" s="782">
        <v>1</v>
      </c>
      <c r="F105" s="762">
        <v>1.62</v>
      </c>
      <c r="G105" s="763">
        <v>27</v>
      </c>
      <c r="H105" s="758">
        <v>1</v>
      </c>
      <c r="I105" s="759">
        <v>2.11</v>
      </c>
      <c r="J105" s="768">
        <v>29</v>
      </c>
      <c r="K105" s="764">
        <v>0.46</v>
      </c>
      <c r="L105" s="761">
        <v>1</v>
      </c>
      <c r="M105" s="761">
        <v>11</v>
      </c>
      <c r="N105" s="765">
        <v>3.69</v>
      </c>
      <c r="O105" s="761" t="s">
        <v>3067</v>
      </c>
      <c r="P105" s="780" t="s">
        <v>3268</v>
      </c>
      <c r="Q105" s="766">
        <f t="shared" si="5"/>
        <v>1</v>
      </c>
      <c r="R105" s="766">
        <f t="shared" si="5"/>
        <v>2.11</v>
      </c>
      <c r="S105" s="777">
        <f t="shared" si="6"/>
        <v>3.69</v>
      </c>
      <c r="T105" s="777">
        <f t="shared" si="7"/>
        <v>29</v>
      </c>
      <c r="U105" s="777">
        <f t="shared" si="8"/>
        <v>25.31</v>
      </c>
      <c r="V105" s="781">
        <f t="shared" si="9"/>
        <v>7.8590785907859075</v>
      </c>
      <c r="W105" s="767">
        <v>25</v>
      </c>
    </row>
    <row r="106" spans="1:23" ht="14.4" customHeight="1" x14ac:dyDescent="0.3">
      <c r="A106" s="829" t="s">
        <v>3269</v>
      </c>
      <c r="B106" s="822">
        <v>1</v>
      </c>
      <c r="C106" s="824">
        <v>3.19</v>
      </c>
      <c r="D106" s="783">
        <v>58</v>
      </c>
      <c r="E106" s="815"/>
      <c r="F106" s="816"/>
      <c r="G106" s="773"/>
      <c r="H106" s="825">
        <v>1</v>
      </c>
      <c r="I106" s="826">
        <v>1.18</v>
      </c>
      <c r="J106" s="774">
        <v>27</v>
      </c>
      <c r="K106" s="818">
        <v>0.79</v>
      </c>
      <c r="L106" s="817">
        <v>2</v>
      </c>
      <c r="M106" s="817">
        <v>21</v>
      </c>
      <c r="N106" s="819">
        <v>7.09</v>
      </c>
      <c r="O106" s="817" t="s">
        <v>3067</v>
      </c>
      <c r="P106" s="820" t="s">
        <v>3270</v>
      </c>
      <c r="Q106" s="821">
        <f t="shared" si="5"/>
        <v>0</v>
      </c>
      <c r="R106" s="821">
        <f t="shared" si="5"/>
        <v>-2.0099999999999998</v>
      </c>
      <c r="S106" s="822">
        <f t="shared" si="6"/>
        <v>7.09</v>
      </c>
      <c r="T106" s="822">
        <f t="shared" si="7"/>
        <v>27</v>
      </c>
      <c r="U106" s="822">
        <f t="shared" si="8"/>
        <v>19.91</v>
      </c>
      <c r="V106" s="823">
        <f t="shared" si="9"/>
        <v>3.8081805359661498</v>
      </c>
      <c r="W106" s="775">
        <v>20</v>
      </c>
    </row>
    <row r="107" spans="1:23" ht="14.4" customHeight="1" x14ac:dyDescent="0.3">
      <c r="A107" s="828" t="s">
        <v>3271</v>
      </c>
      <c r="B107" s="769">
        <v>4</v>
      </c>
      <c r="C107" s="770">
        <v>2.92</v>
      </c>
      <c r="D107" s="771">
        <v>24.3</v>
      </c>
      <c r="E107" s="782">
        <v>2</v>
      </c>
      <c r="F107" s="762">
        <v>0.99</v>
      </c>
      <c r="G107" s="763">
        <v>16</v>
      </c>
      <c r="H107" s="761">
        <v>3</v>
      </c>
      <c r="I107" s="762">
        <v>1.95</v>
      </c>
      <c r="J107" s="768">
        <v>23.3</v>
      </c>
      <c r="K107" s="764">
        <v>0.49</v>
      </c>
      <c r="L107" s="761">
        <v>2</v>
      </c>
      <c r="M107" s="761">
        <v>21</v>
      </c>
      <c r="N107" s="765">
        <v>7.12</v>
      </c>
      <c r="O107" s="761" t="s">
        <v>3067</v>
      </c>
      <c r="P107" s="780" t="s">
        <v>3272</v>
      </c>
      <c r="Q107" s="766">
        <f t="shared" si="5"/>
        <v>-1</v>
      </c>
      <c r="R107" s="766">
        <f t="shared" si="5"/>
        <v>-0.97</v>
      </c>
      <c r="S107" s="777">
        <f t="shared" si="6"/>
        <v>21.36</v>
      </c>
      <c r="T107" s="777">
        <f t="shared" si="7"/>
        <v>69.900000000000006</v>
      </c>
      <c r="U107" s="777">
        <f t="shared" si="8"/>
        <v>48.540000000000006</v>
      </c>
      <c r="V107" s="781">
        <f t="shared" si="9"/>
        <v>3.27247191011236</v>
      </c>
      <c r="W107" s="767">
        <v>49</v>
      </c>
    </row>
    <row r="108" spans="1:23" ht="14.4" customHeight="1" x14ac:dyDescent="0.3">
      <c r="A108" s="829" t="s">
        <v>3273</v>
      </c>
      <c r="B108" s="813">
        <v>3</v>
      </c>
      <c r="C108" s="814">
        <v>2.0099999999999998</v>
      </c>
      <c r="D108" s="772">
        <v>21</v>
      </c>
      <c r="E108" s="815">
        <v>1</v>
      </c>
      <c r="F108" s="816">
        <v>0.56999999999999995</v>
      </c>
      <c r="G108" s="773">
        <v>15</v>
      </c>
      <c r="H108" s="817">
        <v>2</v>
      </c>
      <c r="I108" s="816">
        <v>1.28</v>
      </c>
      <c r="J108" s="774">
        <v>26.5</v>
      </c>
      <c r="K108" s="818">
        <v>0.56999999999999995</v>
      </c>
      <c r="L108" s="817">
        <v>3</v>
      </c>
      <c r="M108" s="817">
        <v>25</v>
      </c>
      <c r="N108" s="819">
        <v>8.18</v>
      </c>
      <c r="O108" s="817" t="s">
        <v>3067</v>
      </c>
      <c r="P108" s="820" t="s">
        <v>3274</v>
      </c>
      <c r="Q108" s="821">
        <f t="shared" si="5"/>
        <v>-1</v>
      </c>
      <c r="R108" s="821">
        <f t="shared" si="5"/>
        <v>-0.72999999999999976</v>
      </c>
      <c r="S108" s="822">
        <f t="shared" si="6"/>
        <v>16.36</v>
      </c>
      <c r="T108" s="822">
        <f t="shared" si="7"/>
        <v>53</v>
      </c>
      <c r="U108" s="822">
        <f t="shared" si="8"/>
        <v>36.64</v>
      </c>
      <c r="V108" s="823">
        <f t="shared" si="9"/>
        <v>3.2396088019559905</v>
      </c>
      <c r="W108" s="775">
        <v>37</v>
      </c>
    </row>
    <row r="109" spans="1:23" ht="14.4" customHeight="1" x14ac:dyDescent="0.3">
      <c r="A109" s="829" t="s">
        <v>3275</v>
      </c>
      <c r="B109" s="813">
        <v>1</v>
      </c>
      <c r="C109" s="814">
        <v>0.65</v>
      </c>
      <c r="D109" s="772">
        <v>16</v>
      </c>
      <c r="E109" s="815">
        <v>1</v>
      </c>
      <c r="F109" s="816">
        <v>3.38</v>
      </c>
      <c r="G109" s="773">
        <v>39</v>
      </c>
      <c r="H109" s="817">
        <v>1</v>
      </c>
      <c r="I109" s="816">
        <v>0.66</v>
      </c>
      <c r="J109" s="774">
        <v>23</v>
      </c>
      <c r="K109" s="818">
        <v>0.65</v>
      </c>
      <c r="L109" s="817">
        <v>3</v>
      </c>
      <c r="M109" s="817">
        <v>27</v>
      </c>
      <c r="N109" s="819">
        <v>9.1199999999999992</v>
      </c>
      <c r="O109" s="817" t="s">
        <v>3067</v>
      </c>
      <c r="P109" s="820" t="s">
        <v>3276</v>
      </c>
      <c r="Q109" s="821">
        <f t="shared" si="5"/>
        <v>0</v>
      </c>
      <c r="R109" s="821">
        <f t="shared" si="5"/>
        <v>1.0000000000000009E-2</v>
      </c>
      <c r="S109" s="822">
        <f t="shared" si="6"/>
        <v>9.1199999999999992</v>
      </c>
      <c r="T109" s="822">
        <f t="shared" si="7"/>
        <v>23</v>
      </c>
      <c r="U109" s="822">
        <f t="shared" si="8"/>
        <v>13.88</v>
      </c>
      <c r="V109" s="823">
        <f t="shared" si="9"/>
        <v>2.5219298245614037</v>
      </c>
      <c r="W109" s="775">
        <v>14</v>
      </c>
    </row>
    <row r="110" spans="1:23" ht="14.4" customHeight="1" x14ac:dyDescent="0.3">
      <c r="A110" s="828" t="s">
        <v>3277</v>
      </c>
      <c r="B110" s="777"/>
      <c r="C110" s="778"/>
      <c r="D110" s="779"/>
      <c r="E110" s="758">
        <v>1</v>
      </c>
      <c r="F110" s="759">
        <v>0.51</v>
      </c>
      <c r="G110" s="760">
        <v>13</v>
      </c>
      <c r="H110" s="761"/>
      <c r="I110" s="762"/>
      <c r="J110" s="763"/>
      <c r="K110" s="764">
        <v>0.51</v>
      </c>
      <c r="L110" s="761">
        <v>2</v>
      </c>
      <c r="M110" s="761">
        <v>22</v>
      </c>
      <c r="N110" s="765">
        <v>7.19</v>
      </c>
      <c r="O110" s="761" t="s">
        <v>3067</v>
      </c>
      <c r="P110" s="780" t="s">
        <v>3278</v>
      </c>
      <c r="Q110" s="766">
        <f t="shared" si="5"/>
        <v>0</v>
      </c>
      <c r="R110" s="766">
        <f t="shared" si="5"/>
        <v>0</v>
      </c>
      <c r="S110" s="777" t="str">
        <f t="shared" si="6"/>
        <v/>
      </c>
      <c r="T110" s="777" t="str">
        <f t="shared" si="7"/>
        <v/>
      </c>
      <c r="U110" s="777" t="str">
        <f t="shared" si="8"/>
        <v/>
      </c>
      <c r="V110" s="781" t="str">
        <f t="shared" si="9"/>
        <v/>
      </c>
      <c r="W110" s="767"/>
    </row>
    <row r="111" spans="1:23" ht="14.4" customHeight="1" x14ac:dyDescent="0.3">
      <c r="A111" s="829" t="s">
        <v>3279</v>
      </c>
      <c r="B111" s="822">
        <v>1</v>
      </c>
      <c r="C111" s="824">
        <v>0.71</v>
      </c>
      <c r="D111" s="783">
        <v>28</v>
      </c>
      <c r="E111" s="825">
        <v>1</v>
      </c>
      <c r="F111" s="826">
        <v>0.75</v>
      </c>
      <c r="G111" s="776">
        <v>29</v>
      </c>
      <c r="H111" s="817">
        <v>1</v>
      </c>
      <c r="I111" s="816">
        <v>0.59</v>
      </c>
      <c r="J111" s="774">
        <v>10</v>
      </c>
      <c r="K111" s="818">
        <v>0.59</v>
      </c>
      <c r="L111" s="817">
        <v>3</v>
      </c>
      <c r="M111" s="817">
        <v>25</v>
      </c>
      <c r="N111" s="819">
        <v>8.4700000000000006</v>
      </c>
      <c r="O111" s="817" t="s">
        <v>3067</v>
      </c>
      <c r="P111" s="820" t="s">
        <v>3280</v>
      </c>
      <c r="Q111" s="821">
        <f t="shared" si="5"/>
        <v>0</v>
      </c>
      <c r="R111" s="821">
        <f t="shared" si="5"/>
        <v>-0.12</v>
      </c>
      <c r="S111" s="822">
        <f t="shared" si="6"/>
        <v>8.4700000000000006</v>
      </c>
      <c r="T111" s="822">
        <f t="shared" si="7"/>
        <v>10</v>
      </c>
      <c r="U111" s="822">
        <f t="shared" si="8"/>
        <v>1.5299999999999994</v>
      </c>
      <c r="V111" s="823">
        <f t="shared" si="9"/>
        <v>1.1806375442739079</v>
      </c>
      <c r="W111" s="775">
        <v>2</v>
      </c>
    </row>
    <row r="112" spans="1:23" ht="14.4" customHeight="1" x14ac:dyDescent="0.3">
      <c r="A112" s="828" t="s">
        <v>3281</v>
      </c>
      <c r="B112" s="769">
        <v>1</v>
      </c>
      <c r="C112" s="770">
        <v>1</v>
      </c>
      <c r="D112" s="771">
        <v>25</v>
      </c>
      <c r="E112" s="782"/>
      <c r="F112" s="762"/>
      <c r="G112" s="763"/>
      <c r="H112" s="761"/>
      <c r="I112" s="762"/>
      <c r="J112" s="763"/>
      <c r="K112" s="764">
        <v>1</v>
      </c>
      <c r="L112" s="761">
        <v>3</v>
      </c>
      <c r="M112" s="761">
        <v>29</v>
      </c>
      <c r="N112" s="765">
        <v>9.76</v>
      </c>
      <c r="O112" s="761" t="s">
        <v>3067</v>
      </c>
      <c r="P112" s="780" t="s">
        <v>3282</v>
      </c>
      <c r="Q112" s="766">
        <f t="shared" si="5"/>
        <v>-1</v>
      </c>
      <c r="R112" s="766">
        <f t="shared" si="5"/>
        <v>-1</v>
      </c>
      <c r="S112" s="777" t="str">
        <f t="shared" si="6"/>
        <v/>
      </c>
      <c r="T112" s="777" t="str">
        <f t="shared" si="7"/>
        <v/>
      </c>
      <c r="U112" s="777" t="str">
        <f t="shared" si="8"/>
        <v/>
      </c>
      <c r="V112" s="781" t="str">
        <f t="shared" si="9"/>
        <v/>
      </c>
      <c r="W112" s="767"/>
    </row>
    <row r="113" spans="1:23" ht="14.4" customHeight="1" x14ac:dyDescent="0.3">
      <c r="A113" s="828" t="s">
        <v>3283</v>
      </c>
      <c r="B113" s="769">
        <v>1</v>
      </c>
      <c r="C113" s="770">
        <v>1.46</v>
      </c>
      <c r="D113" s="771">
        <v>18</v>
      </c>
      <c r="E113" s="782"/>
      <c r="F113" s="762"/>
      <c r="G113" s="763"/>
      <c r="H113" s="761"/>
      <c r="I113" s="762"/>
      <c r="J113" s="763"/>
      <c r="K113" s="764">
        <v>1.45</v>
      </c>
      <c r="L113" s="761">
        <v>4</v>
      </c>
      <c r="M113" s="761">
        <v>32</v>
      </c>
      <c r="N113" s="765">
        <v>10.76</v>
      </c>
      <c r="O113" s="761" t="s">
        <v>3067</v>
      </c>
      <c r="P113" s="780" t="s">
        <v>3284</v>
      </c>
      <c r="Q113" s="766">
        <f t="shared" si="5"/>
        <v>-1</v>
      </c>
      <c r="R113" s="766">
        <f t="shared" si="5"/>
        <v>-1.46</v>
      </c>
      <c r="S113" s="777" t="str">
        <f t="shared" si="6"/>
        <v/>
      </c>
      <c r="T113" s="777" t="str">
        <f t="shared" si="7"/>
        <v/>
      </c>
      <c r="U113" s="777" t="str">
        <f t="shared" si="8"/>
        <v/>
      </c>
      <c r="V113" s="781" t="str">
        <f t="shared" si="9"/>
        <v/>
      </c>
      <c r="W113" s="767"/>
    </row>
    <row r="114" spans="1:23" ht="14.4" customHeight="1" x14ac:dyDescent="0.3">
      <c r="A114" s="828" t="s">
        <v>3285</v>
      </c>
      <c r="B114" s="777"/>
      <c r="C114" s="778"/>
      <c r="D114" s="779"/>
      <c r="E114" s="758">
        <v>1</v>
      </c>
      <c r="F114" s="759">
        <v>1.03</v>
      </c>
      <c r="G114" s="760">
        <v>29</v>
      </c>
      <c r="H114" s="761"/>
      <c r="I114" s="762"/>
      <c r="J114" s="763"/>
      <c r="K114" s="764">
        <v>1.03</v>
      </c>
      <c r="L114" s="761">
        <v>4</v>
      </c>
      <c r="M114" s="761">
        <v>32</v>
      </c>
      <c r="N114" s="765">
        <v>10.81</v>
      </c>
      <c r="O114" s="761" t="s">
        <v>3067</v>
      </c>
      <c r="P114" s="780" t="s">
        <v>3286</v>
      </c>
      <c r="Q114" s="766">
        <f t="shared" si="5"/>
        <v>0</v>
      </c>
      <c r="R114" s="766">
        <f t="shared" si="5"/>
        <v>0</v>
      </c>
      <c r="S114" s="777" t="str">
        <f t="shared" si="6"/>
        <v/>
      </c>
      <c r="T114" s="777" t="str">
        <f t="shared" si="7"/>
        <v/>
      </c>
      <c r="U114" s="777" t="str">
        <f t="shared" si="8"/>
        <v/>
      </c>
      <c r="V114" s="781" t="str">
        <f t="shared" si="9"/>
        <v/>
      </c>
      <c r="W114" s="767"/>
    </row>
    <row r="115" spans="1:23" ht="14.4" customHeight="1" x14ac:dyDescent="0.3">
      <c r="A115" s="829" t="s">
        <v>3287</v>
      </c>
      <c r="B115" s="822"/>
      <c r="C115" s="824"/>
      <c r="D115" s="783"/>
      <c r="E115" s="825">
        <v>1</v>
      </c>
      <c r="F115" s="826">
        <v>1.36</v>
      </c>
      <c r="G115" s="776">
        <v>24</v>
      </c>
      <c r="H115" s="817"/>
      <c r="I115" s="816"/>
      <c r="J115" s="773"/>
      <c r="K115" s="818">
        <v>1.29</v>
      </c>
      <c r="L115" s="817">
        <v>4</v>
      </c>
      <c r="M115" s="817">
        <v>37</v>
      </c>
      <c r="N115" s="819">
        <v>12.41</v>
      </c>
      <c r="O115" s="817" t="s">
        <v>3067</v>
      </c>
      <c r="P115" s="820" t="s">
        <v>3288</v>
      </c>
      <c r="Q115" s="821">
        <f t="shared" si="5"/>
        <v>0</v>
      </c>
      <c r="R115" s="821">
        <f t="shared" si="5"/>
        <v>0</v>
      </c>
      <c r="S115" s="822" t="str">
        <f t="shared" si="6"/>
        <v/>
      </c>
      <c r="T115" s="822" t="str">
        <f t="shared" si="7"/>
        <v/>
      </c>
      <c r="U115" s="822" t="str">
        <f t="shared" si="8"/>
        <v/>
      </c>
      <c r="V115" s="823" t="str">
        <f t="shared" si="9"/>
        <v/>
      </c>
      <c r="W115" s="775"/>
    </row>
    <row r="116" spans="1:23" ht="14.4" customHeight="1" x14ac:dyDescent="0.3">
      <c r="A116" s="828" t="s">
        <v>3289</v>
      </c>
      <c r="B116" s="769">
        <v>1</v>
      </c>
      <c r="C116" s="770">
        <v>0.74</v>
      </c>
      <c r="D116" s="771">
        <v>23</v>
      </c>
      <c r="E116" s="782"/>
      <c r="F116" s="762"/>
      <c r="G116" s="763"/>
      <c r="H116" s="761"/>
      <c r="I116" s="762"/>
      <c r="J116" s="763"/>
      <c r="K116" s="764">
        <v>0.59</v>
      </c>
      <c r="L116" s="761">
        <v>2</v>
      </c>
      <c r="M116" s="761">
        <v>20</v>
      </c>
      <c r="N116" s="765">
        <v>6.74</v>
      </c>
      <c r="O116" s="761" t="s">
        <v>3067</v>
      </c>
      <c r="P116" s="780" t="s">
        <v>3290</v>
      </c>
      <c r="Q116" s="766">
        <f t="shared" si="5"/>
        <v>-1</v>
      </c>
      <c r="R116" s="766">
        <f t="shared" si="5"/>
        <v>-0.74</v>
      </c>
      <c r="S116" s="777" t="str">
        <f t="shared" si="6"/>
        <v/>
      </c>
      <c r="T116" s="777" t="str">
        <f t="shared" si="7"/>
        <v/>
      </c>
      <c r="U116" s="777" t="str">
        <f t="shared" si="8"/>
        <v/>
      </c>
      <c r="V116" s="781" t="str">
        <f t="shared" si="9"/>
        <v/>
      </c>
      <c r="W116" s="767"/>
    </row>
    <row r="117" spans="1:23" ht="14.4" customHeight="1" x14ac:dyDescent="0.3">
      <c r="A117" s="828" t="s">
        <v>3291</v>
      </c>
      <c r="B117" s="769">
        <v>3</v>
      </c>
      <c r="C117" s="770">
        <v>3.26</v>
      </c>
      <c r="D117" s="771">
        <v>31.3</v>
      </c>
      <c r="E117" s="782"/>
      <c r="F117" s="762"/>
      <c r="G117" s="763"/>
      <c r="H117" s="761"/>
      <c r="I117" s="762"/>
      <c r="J117" s="763"/>
      <c r="K117" s="764">
        <v>0.56000000000000005</v>
      </c>
      <c r="L117" s="761">
        <v>3</v>
      </c>
      <c r="M117" s="761">
        <v>24</v>
      </c>
      <c r="N117" s="765">
        <v>8.1300000000000008</v>
      </c>
      <c r="O117" s="761" t="s">
        <v>3067</v>
      </c>
      <c r="P117" s="780" t="s">
        <v>3292</v>
      </c>
      <c r="Q117" s="766">
        <f t="shared" si="5"/>
        <v>-3</v>
      </c>
      <c r="R117" s="766">
        <f t="shared" si="5"/>
        <v>-3.26</v>
      </c>
      <c r="S117" s="777" t="str">
        <f t="shared" si="6"/>
        <v/>
      </c>
      <c r="T117" s="777" t="str">
        <f t="shared" si="7"/>
        <v/>
      </c>
      <c r="U117" s="777" t="str">
        <f t="shared" si="8"/>
        <v/>
      </c>
      <c r="V117" s="781" t="str">
        <f t="shared" si="9"/>
        <v/>
      </c>
      <c r="W117" s="767"/>
    </row>
    <row r="118" spans="1:23" ht="14.4" customHeight="1" x14ac:dyDescent="0.3">
      <c r="A118" s="829" t="s">
        <v>3293</v>
      </c>
      <c r="B118" s="813">
        <v>1</v>
      </c>
      <c r="C118" s="814">
        <v>0.86</v>
      </c>
      <c r="D118" s="772">
        <v>30</v>
      </c>
      <c r="E118" s="815">
        <v>1</v>
      </c>
      <c r="F118" s="816">
        <v>1.24</v>
      </c>
      <c r="G118" s="773">
        <v>34</v>
      </c>
      <c r="H118" s="817"/>
      <c r="I118" s="816"/>
      <c r="J118" s="773"/>
      <c r="K118" s="818">
        <v>0.81</v>
      </c>
      <c r="L118" s="817">
        <v>3</v>
      </c>
      <c r="M118" s="817">
        <v>29</v>
      </c>
      <c r="N118" s="819">
        <v>9.81</v>
      </c>
      <c r="O118" s="817" t="s">
        <v>3067</v>
      </c>
      <c r="P118" s="820" t="s">
        <v>3294</v>
      </c>
      <c r="Q118" s="821">
        <f t="shared" si="5"/>
        <v>-1</v>
      </c>
      <c r="R118" s="821">
        <f t="shared" si="5"/>
        <v>-0.86</v>
      </c>
      <c r="S118" s="822" t="str">
        <f t="shared" si="6"/>
        <v/>
      </c>
      <c r="T118" s="822" t="str">
        <f t="shared" si="7"/>
        <v/>
      </c>
      <c r="U118" s="822" t="str">
        <f t="shared" si="8"/>
        <v/>
      </c>
      <c r="V118" s="823" t="str">
        <f t="shared" si="9"/>
        <v/>
      </c>
      <c r="W118" s="775"/>
    </row>
    <row r="119" spans="1:23" ht="14.4" customHeight="1" x14ac:dyDescent="0.3">
      <c r="A119" s="828" t="s">
        <v>3295</v>
      </c>
      <c r="B119" s="777"/>
      <c r="C119" s="778"/>
      <c r="D119" s="779"/>
      <c r="E119" s="758">
        <v>1</v>
      </c>
      <c r="F119" s="759">
        <v>0.65</v>
      </c>
      <c r="G119" s="760">
        <v>17</v>
      </c>
      <c r="H119" s="761"/>
      <c r="I119" s="762"/>
      <c r="J119" s="763"/>
      <c r="K119" s="764">
        <v>0.59</v>
      </c>
      <c r="L119" s="761">
        <v>2</v>
      </c>
      <c r="M119" s="761">
        <v>16</v>
      </c>
      <c r="N119" s="765">
        <v>5.47</v>
      </c>
      <c r="O119" s="761" t="s">
        <v>3067</v>
      </c>
      <c r="P119" s="780" t="s">
        <v>3296</v>
      </c>
      <c r="Q119" s="766">
        <f t="shared" si="5"/>
        <v>0</v>
      </c>
      <c r="R119" s="766">
        <f t="shared" si="5"/>
        <v>0</v>
      </c>
      <c r="S119" s="777" t="str">
        <f t="shared" si="6"/>
        <v/>
      </c>
      <c r="T119" s="777" t="str">
        <f t="shared" si="7"/>
        <v/>
      </c>
      <c r="U119" s="777" t="str">
        <f t="shared" si="8"/>
        <v/>
      </c>
      <c r="V119" s="781" t="str">
        <f t="shared" si="9"/>
        <v/>
      </c>
      <c r="W119" s="767"/>
    </row>
    <row r="120" spans="1:23" ht="14.4" customHeight="1" x14ac:dyDescent="0.3">
      <c r="A120" s="829" t="s">
        <v>3297</v>
      </c>
      <c r="B120" s="822"/>
      <c r="C120" s="824"/>
      <c r="D120" s="783"/>
      <c r="E120" s="825">
        <v>5</v>
      </c>
      <c r="F120" s="826">
        <v>5.71</v>
      </c>
      <c r="G120" s="776">
        <v>22</v>
      </c>
      <c r="H120" s="817"/>
      <c r="I120" s="816"/>
      <c r="J120" s="773"/>
      <c r="K120" s="818">
        <v>0.68</v>
      </c>
      <c r="L120" s="817">
        <v>2</v>
      </c>
      <c r="M120" s="817">
        <v>17</v>
      </c>
      <c r="N120" s="819">
        <v>5.75</v>
      </c>
      <c r="O120" s="817" t="s">
        <v>3067</v>
      </c>
      <c r="P120" s="820" t="s">
        <v>3298</v>
      </c>
      <c r="Q120" s="821">
        <f t="shared" si="5"/>
        <v>0</v>
      </c>
      <c r="R120" s="821">
        <f t="shared" si="5"/>
        <v>0</v>
      </c>
      <c r="S120" s="822" t="str">
        <f t="shared" si="6"/>
        <v/>
      </c>
      <c r="T120" s="822" t="str">
        <f t="shared" si="7"/>
        <v/>
      </c>
      <c r="U120" s="822" t="str">
        <f t="shared" si="8"/>
        <v/>
      </c>
      <c r="V120" s="823" t="str">
        <f t="shared" si="9"/>
        <v/>
      </c>
      <c r="W120" s="775"/>
    </row>
    <row r="121" spans="1:23" ht="14.4" customHeight="1" x14ac:dyDescent="0.3">
      <c r="A121" s="828" t="s">
        <v>3299</v>
      </c>
      <c r="B121" s="777"/>
      <c r="C121" s="778"/>
      <c r="D121" s="779"/>
      <c r="E121" s="782"/>
      <c r="F121" s="762"/>
      <c r="G121" s="763"/>
      <c r="H121" s="758">
        <v>1</v>
      </c>
      <c r="I121" s="759">
        <v>1.43</v>
      </c>
      <c r="J121" s="768">
        <v>29</v>
      </c>
      <c r="K121" s="764">
        <v>0.82</v>
      </c>
      <c r="L121" s="761">
        <v>2</v>
      </c>
      <c r="M121" s="761">
        <v>20</v>
      </c>
      <c r="N121" s="765">
        <v>6.66</v>
      </c>
      <c r="O121" s="761" t="s">
        <v>3067</v>
      </c>
      <c r="P121" s="780" t="s">
        <v>3300</v>
      </c>
      <c r="Q121" s="766">
        <f t="shared" si="5"/>
        <v>1</v>
      </c>
      <c r="R121" s="766">
        <f t="shared" si="5"/>
        <v>1.43</v>
      </c>
      <c r="S121" s="777">
        <f t="shared" si="6"/>
        <v>6.66</v>
      </c>
      <c r="T121" s="777">
        <f t="shared" si="7"/>
        <v>29</v>
      </c>
      <c r="U121" s="777">
        <f t="shared" si="8"/>
        <v>22.34</v>
      </c>
      <c r="V121" s="781">
        <f t="shared" si="9"/>
        <v>4.3543543543543546</v>
      </c>
      <c r="W121" s="767">
        <v>22</v>
      </c>
    </row>
    <row r="122" spans="1:23" ht="14.4" customHeight="1" x14ac:dyDescent="0.3">
      <c r="A122" s="829" t="s">
        <v>3301</v>
      </c>
      <c r="B122" s="822">
        <v>1</v>
      </c>
      <c r="C122" s="824">
        <v>1.36</v>
      </c>
      <c r="D122" s="783">
        <v>28</v>
      </c>
      <c r="E122" s="815"/>
      <c r="F122" s="816"/>
      <c r="G122" s="773"/>
      <c r="H122" s="825"/>
      <c r="I122" s="826"/>
      <c r="J122" s="776"/>
      <c r="K122" s="818">
        <v>0.82</v>
      </c>
      <c r="L122" s="817">
        <v>2</v>
      </c>
      <c r="M122" s="817">
        <v>20</v>
      </c>
      <c r="N122" s="819">
        <v>6.66</v>
      </c>
      <c r="O122" s="817" t="s">
        <v>3067</v>
      </c>
      <c r="P122" s="820" t="s">
        <v>3302</v>
      </c>
      <c r="Q122" s="821">
        <f t="shared" si="5"/>
        <v>-1</v>
      </c>
      <c r="R122" s="821">
        <f t="shared" si="5"/>
        <v>-1.36</v>
      </c>
      <c r="S122" s="822" t="str">
        <f t="shared" si="6"/>
        <v/>
      </c>
      <c r="T122" s="822" t="str">
        <f t="shared" si="7"/>
        <v/>
      </c>
      <c r="U122" s="822" t="str">
        <f t="shared" si="8"/>
        <v/>
      </c>
      <c r="V122" s="823" t="str">
        <f t="shared" si="9"/>
        <v/>
      </c>
      <c r="W122" s="775"/>
    </row>
    <row r="123" spans="1:23" ht="14.4" customHeight="1" x14ac:dyDescent="0.3">
      <c r="A123" s="828" t="s">
        <v>3303</v>
      </c>
      <c r="B123" s="777"/>
      <c r="C123" s="778"/>
      <c r="D123" s="779"/>
      <c r="E123" s="758">
        <v>1</v>
      </c>
      <c r="F123" s="759">
        <v>1.67</v>
      </c>
      <c r="G123" s="760">
        <v>19</v>
      </c>
      <c r="H123" s="761"/>
      <c r="I123" s="762"/>
      <c r="J123" s="763"/>
      <c r="K123" s="764">
        <v>1.67</v>
      </c>
      <c r="L123" s="761">
        <v>3</v>
      </c>
      <c r="M123" s="761">
        <v>25</v>
      </c>
      <c r="N123" s="765">
        <v>8.23</v>
      </c>
      <c r="O123" s="761" t="s">
        <v>3067</v>
      </c>
      <c r="P123" s="780" t="s">
        <v>3304</v>
      </c>
      <c r="Q123" s="766">
        <f t="shared" si="5"/>
        <v>0</v>
      </c>
      <c r="R123" s="766">
        <f t="shared" si="5"/>
        <v>0</v>
      </c>
      <c r="S123" s="777" t="str">
        <f t="shared" si="6"/>
        <v/>
      </c>
      <c r="T123" s="777" t="str">
        <f t="shared" si="7"/>
        <v/>
      </c>
      <c r="U123" s="777" t="str">
        <f t="shared" si="8"/>
        <v/>
      </c>
      <c r="V123" s="781" t="str">
        <f t="shared" si="9"/>
        <v/>
      </c>
      <c r="W123" s="767"/>
    </row>
    <row r="124" spans="1:23" ht="14.4" customHeight="1" x14ac:dyDescent="0.3">
      <c r="A124" s="829" t="s">
        <v>3305</v>
      </c>
      <c r="B124" s="822">
        <v>1</v>
      </c>
      <c r="C124" s="824">
        <v>4.09</v>
      </c>
      <c r="D124" s="783">
        <v>49</v>
      </c>
      <c r="E124" s="825"/>
      <c r="F124" s="826"/>
      <c r="G124" s="776"/>
      <c r="H124" s="817"/>
      <c r="I124" s="816"/>
      <c r="J124" s="773"/>
      <c r="K124" s="818">
        <v>3.71</v>
      </c>
      <c r="L124" s="817">
        <v>5</v>
      </c>
      <c r="M124" s="817">
        <v>46</v>
      </c>
      <c r="N124" s="819">
        <v>15.49</v>
      </c>
      <c r="O124" s="817" t="s">
        <v>3067</v>
      </c>
      <c r="P124" s="820" t="s">
        <v>3306</v>
      </c>
      <c r="Q124" s="821">
        <f t="shared" si="5"/>
        <v>-1</v>
      </c>
      <c r="R124" s="821">
        <f t="shared" si="5"/>
        <v>-4.09</v>
      </c>
      <c r="S124" s="822" t="str">
        <f t="shared" si="6"/>
        <v/>
      </c>
      <c r="T124" s="822" t="str">
        <f t="shared" si="7"/>
        <v/>
      </c>
      <c r="U124" s="822" t="str">
        <f t="shared" si="8"/>
        <v/>
      </c>
      <c r="V124" s="823" t="str">
        <f t="shared" si="9"/>
        <v/>
      </c>
      <c r="W124" s="775"/>
    </row>
    <row r="125" spans="1:23" ht="14.4" customHeight="1" x14ac:dyDescent="0.3">
      <c r="A125" s="828" t="s">
        <v>3307</v>
      </c>
      <c r="B125" s="777"/>
      <c r="C125" s="778"/>
      <c r="D125" s="779"/>
      <c r="E125" s="758">
        <v>1</v>
      </c>
      <c r="F125" s="759">
        <v>1.55</v>
      </c>
      <c r="G125" s="760">
        <v>22</v>
      </c>
      <c r="H125" s="761"/>
      <c r="I125" s="762"/>
      <c r="J125" s="763"/>
      <c r="K125" s="764">
        <v>0.75</v>
      </c>
      <c r="L125" s="761">
        <v>1</v>
      </c>
      <c r="M125" s="761">
        <v>13</v>
      </c>
      <c r="N125" s="765">
        <v>4.4400000000000004</v>
      </c>
      <c r="O125" s="761" t="s">
        <v>3067</v>
      </c>
      <c r="P125" s="780" t="s">
        <v>3308</v>
      </c>
      <c r="Q125" s="766">
        <f t="shared" si="5"/>
        <v>0</v>
      </c>
      <c r="R125" s="766">
        <f t="shared" si="5"/>
        <v>0</v>
      </c>
      <c r="S125" s="777" t="str">
        <f t="shared" si="6"/>
        <v/>
      </c>
      <c r="T125" s="777" t="str">
        <f t="shared" si="7"/>
        <v/>
      </c>
      <c r="U125" s="777" t="str">
        <f t="shared" si="8"/>
        <v/>
      </c>
      <c r="V125" s="781" t="str">
        <f t="shared" si="9"/>
        <v/>
      </c>
      <c r="W125" s="767"/>
    </row>
    <row r="126" spans="1:23" ht="14.4" customHeight="1" x14ac:dyDescent="0.3">
      <c r="A126" s="828" t="s">
        <v>3309</v>
      </c>
      <c r="B126" s="777"/>
      <c r="C126" s="778"/>
      <c r="D126" s="779"/>
      <c r="E126" s="758">
        <v>1</v>
      </c>
      <c r="F126" s="759">
        <v>0.91</v>
      </c>
      <c r="G126" s="760">
        <v>22</v>
      </c>
      <c r="H126" s="761"/>
      <c r="I126" s="762"/>
      <c r="J126" s="763"/>
      <c r="K126" s="764">
        <v>0.56000000000000005</v>
      </c>
      <c r="L126" s="761">
        <v>2</v>
      </c>
      <c r="M126" s="761">
        <v>16</v>
      </c>
      <c r="N126" s="765">
        <v>5.49</v>
      </c>
      <c r="O126" s="761" t="s">
        <v>3067</v>
      </c>
      <c r="P126" s="780" t="s">
        <v>3310</v>
      </c>
      <c r="Q126" s="766">
        <f t="shared" si="5"/>
        <v>0</v>
      </c>
      <c r="R126" s="766">
        <f t="shared" si="5"/>
        <v>0</v>
      </c>
      <c r="S126" s="777" t="str">
        <f t="shared" si="6"/>
        <v/>
      </c>
      <c r="T126" s="777" t="str">
        <f t="shared" si="7"/>
        <v/>
      </c>
      <c r="U126" s="777" t="str">
        <f t="shared" si="8"/>
        <v/>
      </c>
      <c r="V126" s="781" t="str">
        <f t="shared" si="9"/>
        <v/>
      </c>
      <c r="W126" s="767"/>
    </row>
    <row r="127" spans="1:23" ht="14.4" customHeight="1" x14ac:dyDescent="0.3">
      <c r="A127" s="829" t="s">
        <v>3311</v>
      </c>
      <c r="B127" s="822">
        <v>3</v>
      </c>
      <c r="C127" s="824">
        <v>4.18</v>
      </c>
      <c r="D127" s="783">
        <v>33.299999999999997</v>
      </c>
      <c r="E127" s="825">
        <v>2</v>
      </c>
      <c r="F127" s="826">
        <v>2.37</v>
      </c>
      <c r="G127" s="776">
        <v>29.5</v>
      </c>
      <c r="H127" s="817">
        <v>1</v>
      </c>
      <c r="I127" s="816">
        <v>0.87</v>
      </c>
      <c r="J127" s="774">
        <v>16</v>
      </c>
      <c r="K127" s="818">
        <v>0.81</v>
      </c>
      <c r="L127" s="817">
        <v>3</v>
      </c>
      <c r="M127" s="817">
        <v>23</v>
      </c>
      <c r="N127" s="819">
        <v>7.79</v>
      </c>
      <c r="O127" s="817" t="s">
        <v>3067</v>
      </c>
      <c r="P127" s="820" t="s">
        <v>3312</v>
      </c>
      <c r="Q127" s="821">
        <f t="shared" si="5"/>
        <v>-2</v>
      </c>
      <c r="R127" s="821">
        <f t="shared" si="5"/>
        <v>-3.3099999999999996</v>
      </c>
      <c r="S127" s="822">
        <f t="shared" si="6"/>
        <v>7.79</v>
      </c>
      <c r="T127" s="822">
        <f t="shared" si="7"/>
        <v>16</v>
      </c>
      <c r="U127" s="822">
        <f t="shared" si="8"/>
        <v>8.2100000000000009</v>
      </c>
      <c r="V127" s="823">
        <f t="shared" si="9"/>
        <v>2.0539152759948651</v>
      </c>
      <c r="W127" s="775">
        <v>8</v>
      </c>
    </row>
    <row r="128" spans="1:23" ht="14.4" customHeight="1" x14ac:dyDescent="0.3">
      <c r="A128" s="829" t="s">
        <v>3313</v>
      </c>
      <c r="B128" s="822">
        <v>1</v>
      </c>
      <c r="C128" s="824">
        <v>1.21</v>
      </c>
      <c r="D128" s="783">
        <v>15</v>
      </c>
      <c r="E128" s="825">
        <v>1</v>
      </c>
      <c r="F128" s="826">
        <v>2.06</v>
      </c>
      <c r="G128" s="776">
        <v>40</v>
      </c>
      <c r="H128" s="817"/>
      <c r="I128" s="816"/>
      <c r="J128" s="773"/>
      <c r="K128" s="818">
        <v>1.21</v>
      </c>
      <c r="L128" s="817">
        <v>3</v>
      </c>
      <c r="M128" s="817">
        <v>31</v>
      </c>
      <c r="N128" s="819">
        <v>10.39</v>
      </c>
      <c r="O128" s="817" t="s">
        <v>3067</v>
      </c>
      <c r="P128" s="820" t="s">
        <v>3314</v>
      </c>
      <c r="Q128" s="821">
        <f t="shared" si="5"/>
        <v>-1</v>
      </c>
      <c r="R128" s="821">
        <f t="shared" si="5"/>
        <v>-1.21</v>
      </c>
      <c r="S128" s="822" t="str">
        <f t="shared" si="6"/>
        <v/>
      </c>
      <c r="T128" s="822" t="str">
        <f t="shared" si="7"/>
        <v/>
      </c>
      <c r="U128" s="822" t="str">
        <f t="shared" si="8"/>
        <v/>
      </c>
      <c r="V128" s="823" t="str">
        <f t="shared" si="9"/>
        <v/>
      </c>
      <c r="W128" s="775"/>
    </row>
    <row r="129" spans="1:23" ht="14.4" customHeight="1" x14ac:dyDescent="0.3">
      <c r="A129" s="828" t="s">
        <v>3315</v>
      </c>
      <c r="B129" s="777">
        <v>1</v>
      </c>
      <c r="C129" s="778">
        <v>1.37</v>
      </c>
      <c r="D129" s="779">
        <v>33</v>
      </c>
      <c r="E129" s="782"/>
      <c r="F129" s="762"/>
      <c r="G129" s="763"/>
      <c r="H129" s="758">
        <v>3</v>
      </c>
      <c r="I129" s="759">
        <v>3.07</v>
      </c>
      <c r="J129" s="768">
        <v>26.7</v>
      </c>
      <c r="K129" s="764">
        <v>0.63</v>
      </c>
      <c r="L129" s="761">
        <v>2</v>
      </c>
      <c r="M129" s="761">
        <v>20</v>
      </c>
      <c r="N129" s="765">
        <v>6.52</v>
      </c>
      <c r="O129" s="761" t="s">
        <v>3067</v>
      </c>
      <c r="P129" s="780" t="s">
        <v>3316</v>
      </c>
      <c r="Q129" s="766">
        <f t="shared" si="5"/>
        <v>2</v>
      </c>
      <c r="R129" s="766">
        <f t="shared" si="5"/>
        <v>1.6999999999999997</v>
      </c>
      <c r="S129" s="777">
        <f t="shared" si="6"/>
        <v>19.559999999999999</v>
      </c>
      <c r="T129" s="777">
        <f t="shared" si="7"/>
        <v>80.099999999999994</v>
      </c>
      <c r="U129" s="777">
        <f t="shared" si="8"/>
        <v>60.539999999999992</v>
      </c>
      <c r="V129" s="781">
        <f t="shared" si="9"/>
        <v>4.095092024539877</v>
      </c>
      <c r="W129" s="767">
        <v>60</v>
      </c>
    </row>
    <row r="130" spans="1:23" ht="14.4" customHeight="1" x14ac:dyDescent="0.3">
      <c r="A130" s="829" t="s">
        <v>3317</v>
      </c>
      <c r="B130" s="822">
        <v>2</v>
      </c>
      <c r="C130" s="824">
        <v>1.93</v>
      </c>
      <c r="D130" s="783">
        <v>24.5</v>
      </c>
      <c r="E130" s="815">
        <v>1</v>
      </c>
      <c r="F130" s="816">
        <v>0.78</v>
      </c>
      <c r="G130" s="773">
        <v>20</v>
      </c>
      <c r="H130" s="825">
        <v>3</v>
      </c>
      <c r="I130" s="826">
        <v>2.87</v>
      </c>
      <c r="J130" s="774">
        <v>26.3</v>
      </c>
      <c r="K130" s="818">
        <v>0.78</v>
      </c>
      <c r="L130" s="817">
        <v>3</v>
      </c>
      <c r="M130" s="817">
        <v>24</v>
      </c>
      <c r="N130" s="819">
        <v>8.07</v>
      </c>
      <c r="O130" s="817" t="s">
        <v>3067</v>
      </c>
      <c r="P130" s="820" t="s">
        <v>3318</v>
      </c>
      <c r="Q130" s="821">
        <f t="shared" si="5"/>
        <v>1</v>
      </c>
      <c r="R130" s="821">
        <f t="shared" si="5"/>
        <v>0.94000000000000017</v>
      </c>
      <c r="S130" s="822">
        <f t="shared" si="6"/>
        <v>24.21</v>
      </c>
      <c r="T130" s="822">
        <f t="shared" si="7"/>
        <v>78.900000000000006</v>
      </c>
      <c r="U130" s="822">
        <f t="shared" si="8"/>
        <v>54.690000000000005</v>
      </c>
      <c r="V130" s="823">
        <f t="shared" si="9"/>
        <v>3.2589838909541511</v>
      </c>
      <c r="W130" s="775">
        <v>55</v>
      </c>
    </row>
    <row r="131" spans="1:23" ht="14.4" customHeight="1" x14ac:dyDescent="0.3">
      <c r="A131" s="829" t="s">
        <v>3319</v>
      </c>
      <c r="B131" s="822">
        <v>1</v>
      </c>
      <c r="C131" s="824">
        <v>1.03</v>
      </c>
      <c r="D131" s="783">
        <v>17</v>
      </c>
      <c r="E131" s="815"/>
      <c r="F131" s="816"/>
      <c r="G131" s="773"/>
      <c r="H131" s="825">
        <v>1</v>
      </c>
      <c r="I131" s="826">
        <v>1.03</v>
      </c>
      <c r="J131" s="774">
        <v>23</v>
      </c>
      <c r="K131" s="818">
        <v>1.03</v>
      </c>
      <c r="L131" s="817">
        <v>3</v>
      </c>
      <c r="M131" s="817">
        <v>31</v>
      </c>
      <c r="N131" s="819">
        <v>10.34</v>
      </c>
      <c r="O131" s="817" t="s">
        <v>3067</v>
      </c>
      <c r="P131" s="820" t="s">
        <v>3320</v>
      </c>
      <c r="Q131" s="821">
        <f t="shared" si="5"/>
        <v>0</v>
      </c>
      <c r="R131" s="821">
        <f t="shared" si="5"/>
        <v>0</v>
      </c>
      <c r="S131" s="822">
        <f t="shared" si="6"/>
        <v>10.34</v>
      </c>
      <c r="T131" s="822">
        <f t="shared" si="7"/>
        <v>23</v>
      </c>
      <c r="U131" s="822">
        <f t="shared" si="8"/>
        <v>12.66</v>
      </c>
      <c r="V131" s="823">
        <f t="shared" si="9"/>
        <v>2.2243713733075436</v>
      </c>
      <c r="W131" s="775">
        <v>13</v>
      </c>
    </row>
    <row r="132" spans="1:23" ht="14.4" customHeight="1" x14ac:dyDescent="0.3">
      <c r="A132" s="828" t="s">
        <v>3321</v>
      </c>
      <c r="B132" s="777"/>
      <c r="C132" s="778"/>
      <c r="D132" s="779"/>
      <c r="E132" s="758">
        <v>1</v>
      </c>
      <c r="F132" s="759">
        <v>0.87</v>
      </c>
      <c r="G132" s="760">
        <v>26</v>
      </c>
      <c r="H132" s="761"/>
      <c r="I132" s="762"/>
      <c r="J132" s="763"/>
      <c r="K132" s="764">
        <v>0.78</v>
      </c>
      <c r="L132" s="761">
        <v>3</v>
      </c>
      <c r="M132" s="761">
        <v>24</v>
      </c>
      <c r="N132" s="765">
        <v>7.97</v>
      </c>
      <c r="O132" s="761" t="s">
        <v>3067</v>
      </c>
      <c r="P132" s="780" t="s">
        <v>3322</v>
      </c>
      <c r="Q132" s="766">
        <f t="shared" si="5"/>
        <v>0</v>
      </c>
      <c r="R132" s="766">
        <f t="shared" si="5"/>
        <v>0</v>
      </c>
      <c r="S132" s="777" t="str">
        <f t="shared" si="6"/>
        <v/>
      </c>
      <c r="T132" s="777" t="str">
        <f t="shared" si="7"/>
        <v/>
      </c>
      <c r="U132" s="777" t="str">
        <f t="shared" si="8"/>
        <v/>
      </c>
      <c r="V132" s="781" t="str">
        <f t="shared" si="9"/>
        <v/>
      </c>
      <c r="W132" s="767"/>
    </row>
    <row r="133" spans="1:23" ht="14.4" customHeight="1" x14ac:dyDescent="0.3">
      <c r="A133" s="829" t="s">
        <v>3323</v>
      </c>
      <c r="B133" s="822">
        <v>1</v>
      </c>
      <c r="C133" s="824">
        <v>1.39</v>
      </c>
      <c r="D133" s="783">
        <v>37</v>
      </c>
      <c r="E133" s="825"/>
      <c r="F133" s="826"/>
      <c r="G133" s="776"/>
      <c r="H133" s="817"/>
      <c r="I133" s="816"/>
      <c r="J133" s="773"/>
      <c r="K133" s="818">
        <v>1</v>
      </c>
      <c r="L133" s="817">
        <v>3</v>
      </c>
      <c r="M133" s="817">
        <v>29</v>
      </c>
      <c r="N133" s="819">
        <v>9.59</v>
      </c>
      <c r="O133" s="817" t="s">
        <v>3067</v>
      </c>
      <c r="P133" s="820" t="s">
        <v>3324</v>
      </c>
      <c r="Q133" s="821">
        <f t="shared" si="5"/>
        <v>-1</v>
      </c>
      <c r="R133" s="821">
        <f t="shared" si="5"/>
        <v>-1.39</v>
      </c>
      <c r="S133" s="822" t="str">
        <f t="shared" si="6"/>
        <v/>
      </c>
      <c r="T133" s="822" t="str">
        <f t="shared" si="7"/>
        <v/>
      </c>
      <c r="U133" s="822" t="str">
        <f t="shared" si="8"/>
        <v/>
      </c>
      <c r="V133" s="823" t="str">
        <f t="shared" si="9"/>
        <v/>
      </c>
      <c r="W133" s="775"/>
    </row>
    <row r="134" spans="1:23" ht="14.4" customHeight="1" x14ac:dyDescent="0.3">
      <c r="A134" s="828" t="s">
        <v>3325</v>
      </c>
      <c r="B134" s="769">
        <v>1</v>
      </c>
      <c r="C134" s="770">
        <v>1.47</v>
      </c>
      <c r="D134" s="771">
        <v>37</v>
      </c>
      <c r="E134" s="782"/>
      <c r="F134" s="762"/>
      <c r="G134" s="763"/>
      <c r="H134" s="761"/>
      <c r="I134" s="762"/>
      <c r="J134" s="763"/>
      <c r="K134" s="764">
        <v>0.76</v>
      </c>
      <c r="L134" s="761">
        <v>2</v>
      </c>
      <c r="M134" s="761">
        <v>22</v>
      </c>
      <c r="N134" s="765">
        <v>7.41</v>
      </c>
      <c r="O134" s="761" t="s">
        <v>3067</v>
      </c>
      <c r="P134" s="780" t="s">
        <v>3326</v>
      </c>
      <c r="Q134" s="766">
        <f t="shared" ref="Q134:R145" si="10">H134-B134</f>
        <v>-1</v>
      </c>
      <c r="R134" s="766">
        <f t="shared" si="10"/>
        <v>-1.47</v>
      </c>
      <c r="S134" s="777" t="str">
        <f t="shared" ref="S134:S145" si="11">IF(H134=0,"",H134*N134)</f>
        <v/>
      </c>
      <c r="T134" s="777" t="str">
        <f t="shared" ref="T134:T145" si="12">IF(H134=0,"",H134*J134)</f>
        <v/>
      </c>
      <c r="U134" s="777" t="str">
        <f t="shared" ref="U134:U145" si="13">IF(H134=0,"",T134-S134)</f>
        <v/>
      </c>
      <c r="V134" s="781" t="str">
        <f t="shared" ref="V134:V145" si="14">IF(H134=0,"",T134/S134)</f>
        <v/>
      </c>
      <c r="W134" s="767"/>
    </row>
    <row r="135" spans="1:23" ht="14.4" customHeight="1" x14ac:dyDescent="0.3">
      <c r="A135" s="828" t="s">
        <v>3327</v>
      </c>
      <c r="B135" s="777">
        <v>1</v>
      </c>
      <c r="C135" s="778">
        <v>2.99</v>
      </c>
      <c r="D135" s="779">
        <v>34</v>
      </c>
      <c r="E135" s="758">
        <v>2</v>
      </c>
      <c r="F135" s="759">
        <v>6.43</v>
      </c>
      <c r="G135" s="760">
        <v>37.5</v>
      </c>
      <c r="H135" s="761">
        <v>1</v>
      </c>
      <c r="I135" s="762">
        <v>3.28</v>
      </c>
      <c r="J135" s="768">
        <v>23</v>
      </c>
      <c r="K135" s="764">
        <v>2.99</v>
      </c>
      <c r="L135" s="761">
        <v>5</v>
      </c>
      <c r="M135" s="761">
        <v>42</v>
      </c>
      <c r="N135" s="765">
        <v>13.87</v>
      </c>
      <c r="O135" s="761" t="s">
        <v>3067</v>
      </c>
      <c r="P135" s="780" t="s">
        <v>3328</v>
      </c>
      <c r="Q135" s="766">
        <f t="shared" si="10"/>
        <v>0</v>
      </c>
      <c r="R135" s="766">
        <f t="shared" si="10"/>
        <v>0.28999999999999959</v>
      </c>
      <c r="S135" s="777">
        <f t="shared" si="11"/>
        <v>13.87</v>
      </c>
      <c r="T135" s="777">
        <f t="shared" si="12"/>
        <v>23</v>
      </c>
      <c r="U135" s="777">
        <f t="shared" si="13"/>
        <v>9.1300000000000008</v>
      </c>
      <c r="V135" s="781">
        <f t="shared" si="14"/>
        <v>1.6582552271088682</v>
      </c>
      <c r="W135" s="767">
        <v>9</v>
      </c>
    </row>
    <row r="136" spans="1:23" ht="14.4" customHeight="1" x14ac:dyDescent="0.3">
      <c r="A136" s="828" t="s">
        <v>3329</v>
      </c>
      <c r="B136" s="769">
        <v>1</v>
      </c>
      <c r="C136" s="770">
        <v>1.32</v>
      </c>
      <c r="D136" s="771">
        <v>20</v>
      </c>
      <c r="E136" s="782"/>
      <c r="F136" s="762"/>
      <c r="G136" s="763"/>
      <c r="H136" s="761"/>
      <c r="I136" s="762"/>
      <c r="J136" s="763"/>
      <c r="K136" s="764">
        <v>1.32</v>
      </c>
      <c r="L136" s="761">
        <v>6</v>
      </c>
      <c r="M136" s="761">
        <v>58</v>
      </c>
      <c r="N136" s="765">
        <v>19.47</v>
      </c>
      <c r="O136" s="761" t="s">
        <v>3067</v>
      </c>
      <c r="P136" s="780" t="s">
        <v>3330</v>
      </c>
      <c r="Q136" s="766">
        <f t="shared" si="10"/>
        <v>-1</v>
      </c>
      <c r="R136" s="766">
        <f t="shared" si="10"/>
        <v>-1.32</v>
      </c>
      <c r="S136" s="777" t="str">
        <f t="shared" si="11"/>
        <v/>
      </c>
      <c r="T136" s="777" t="str">
        <f t="shared" si="12"/>
        <v/>
      </c>
      <c r="U136" s="777" t="str">
        <f t="shared" si="13"/>
        <v/>
      </c>
      <c r="V136" s="781" t="str">
        <f t="shared" si="14"/>
        <v/>
      </c>
      <c r="W136" s="767"/>
    </row>
    <row r="137" spans="1:23" ht="14.4" customHeight="1" x14ac:dyDescent="0.3">
      <c r="A137" s="828" t="s">
        <v>3331</v>
      </c>
      <c r="B137" s="769">
        <v>1</v>
      </c>
      <c r="C137" s="770">
        <v>0.75</v>
      </c>
      <c r="D137" s="771">
        <v>22</v>
      </c>
      <c r="E137" s="782"/>
      <c r="F137" s="762"/>
      <c r="G137" s="763"/>
      <c r="H137" s="761"/>
      <c r="I137" s="762"/>
      <c r="J137" s="763"/>
      <c r="K137" s="764">
        <v>0.75</v>
      </c>
      <c r="L137" s="761">
        <v>3</v>
      </c>
      <c r="M137" s="761">
        <v>30</v>
      </c>
      <c r="N137" s="765">
        <v>10.07</v>
      </c>
      <c r="O137" s="761" t="s">
        <v>3067</v>
      </c>
      <c r="P137" s="780" t="s">
        <v>3332</v>
      </c>
      <c r="Q137" s="766">
        <f t="shared" si="10"/>
        <v>-1</v>
      </c>
      <c r="R137" s="766">
        <f t="shared" si="10"/>
        <v>-0.75</v>
      </c>
      <c r="S137" s="777" t="str">
        <f t="shared" si="11"/>
        <v/>
      </c>
      <c r="T137" s="777" t="str">
        <f t="shared" si="12"/>
        <v/>
      </c>
      <c r="U137" s="777" t="str">
        <f t="shared" si="13"/>
        <v/>
      </c>
      <c r="V137" s="781" t="str">
        <f t="shared" si="14"/>
        <v/>
      </c>
      <c r="W137" s="767"/>
    </row>
    <row r="138" spans="1:23" ht="14.4" customHeight="1" x14ac:dyDescent="0.3">
      <c r="A138" s="829" t="s">
        <v>3333</v>
      </c>
      <c r="B138" s="813">
        <v>1</v>
      </c>
      <c r="C138" s="814">
        <v>1.92</v>
      </c>
      <c r="D138" s="772">
        <v>29</v>
      </c>
      <c r="E138" s="815"/>
      <c r="F138" s="816"/>
      <c r="G138" s="773"/>
      <c r="H138" s="817"/>
      <c r="I138" s="816"/>
      <c r="J138" s="773"/>
      <c r="K138" s="818">
        <v>0.89</v>
      </c>
      <c r="L138" s="817">
        <v>4</v>
      </c>
      <c r="M138" s="817">
        <v>37</v>
      </c>
      <c r="N138" s="819">
        <v>12.23</v>
      </c>
      <c r="O138" s="817" t="s">
        <v>3067</v>
      </c>
      <c r="P138" s="820" t="s">
        <v>3334</v>
      </c>
      <c r="Q138" s="821">
        <f t="shared" si="10"/>
        <v>-1</v>
      </c>
      <c r="R138" s="821">
        <f t="shared" si="10"/>
        <v>-1.92</v>
      </c>
      <c r="S138" s="822" t="str">
        <f t="shared" si="11"/>
        <v/>
      </c>
      <c r="T138" s="822" t="str">
        <f t="shared" si="12"/>
        <v/>
      </c>
      <c r="U138" s="822" t="str">
        <f t="shared" si="13"/>
        <v/>
      </c>
      <c r="V138" s="823" t="str">
        <f t="shared" si="14"/>
        <v/>
      </c>
      <c r="W138" s="775"/>
    </row>
    <row r="139" spans="1:23" ht="14.4" customHeight="1" x14ac:dyDescent="0.3">
      <c r="A139" s="828" t="s">
        <v>3335</v>
      </c>
      <c r="B139" s="777"/>
      <c r="C139" s="778"/>
      <c r="D139" s="779"/>
      <c r="E139" s="758">
        <v>1</v>
      </c>
      <c r="F139" s="759">
        <v>3.01</v>
      </c>
      <c r="G139" s="760">
        <v>39</v>
      </c>
      <c r="H139" s="761"/>
      <c r="I139" s="762"/>
      <c r="J139" s="763"/>
      <c r="K139" s="764">
        <v>0.59</v>
      </c>
      <c r="L139" s="761">
        <v>1</v>
      </c>
      <c r="M139" s="761">
        <v>12</v>
      </c>
      <c r="N139" s="765">
        <v>3.92</v>
      </c>
      <c r="O139" s="761" t="s">
        <v>3067</v>
      </c>
      <c r="P139" s="780" t="s">
        <v>3336</v>
      </c>
      <c r="Q139" s="766">
        <f t="shared" si="10"/>
        <v>0</v>
      </c>
      <c r="R139" s="766">
        <f t="shared" si="10"/>
        <v>0</v>
      </c>
      <c r="S139" s="777" t="str">
        <f t="shared" si="11"/>
        <v/>
      </c>
      <c r="T139" s="777" t="str">
        <f t="shared" si="12"/>
        <v/>
      </c>
      <c r="U139" s="777" t="str">
        <f t="shared" si="13"/>
        <v/>
      </c>
      <c r="V139" s="781" t="str">
        <f t="shared" si="14"/>
        <v/>
      </c>
      <c r="W139" s="767"/>
    </row>
    <row r="140" spans="1:23" ht="14.4" customHeight="1" x14ac:dyDescent="0.3">
      <c r="A140" s="828" t="s">
        <v>3337</v>
      </c>
      <c r="B140" s="769">
        <v>1</v>
      </c>
      <c r="C140" s="770">
        <v>6.39</v>
      </c>
      <c r="D140" s="771">
        <v>25</v>
      </c>
      <c r="E140" s="782"/>
      <c r="F140" s="762"/>
      <c r="G140" s="763"/>
      <c r="H140" s="761"/>
      <c r="I140" s="762"/>
      <c r="J140" s="763"/>
      <c r="K140" s="764">
        <v>6.39</v>
      </c>
      <c r="L140" s="761">
        <v>5</v>
      </c>
      <c r="M140" s="761">
        <v>46</v>
      </c>
      <c r="N140" s="765">
        <v>15.47</v>
      </c>
      <c r="O140" s="761" t="s">
        <v>3067</v>
      </c>
      <c r="P140" s="780" t="s">
        <v>3338</v>
      </c>
      <c r="Q140" s="766">
        <f t="shared" si="10"/>
        <v>-1</v>
      </c>
      <c r="R140" s="766">
        <f t="shared" si="10"/>
        <v>-6.39</v>
      </c>
      <c r="S140" s="777" t="str">
        <f t="shared" si="11"/>
        <v/>
      </c>
      <c r="T140" s="777" t="str">
        <f t="shared" si="12"/>
        <v/>
      </c>
      <c r="U140" s="777" t="str">
        <f t="shared" si="13"/>
        <v/>
      </c>
      <c r="V140" s="781" t="str">
        <f t="shared" si="14"/>
        <v/>
      </c>
      <c r="W140" s="767"/>
    </row>
    <row r="141" spans="1:23" ht="14.4" customHeight="1" x14ac:dyDescent="0.3">
      <c r="A141" s="828" t="s">
        <v>3339</v>
      </c>
      <c r="B141" s="777"/>
      <c r="C141" s="778"/>
      <c r="D141" s="779"/>
      <c r="E141" s="782">
        <v>1</v>
      </c>
      <c r="F141" s="762">
        <v>2.4300000000000002</v>
      </c>
      <c r="G141" s="763">
        <v>28</v>
      </c>
      <c r="H141" s="758">
        <v>1</v>
      </c>
      <c r="I141" s="759">
        <v>3.07</v>
      </c>
      <c r="J141" s="768">
        <v>27</v>
      </c>
      <c r="K141" s="764">
        <v>2.4300000000000002</v>
      </c>
      <c r="L141" s="761">
        <v>5</v>
      </c>
      <c r="M141" s="761">
        <v>42</v>
      </c>
      <c r="N141" s="765">
        <v>14.05</v>
      </c>
      <c r="O141" s="761" t="s">
        <v>3067</v>
      </c>
      <c r="P141" s="780" t="s">
        <v>3340</v>
      </c>
      <c r="Q141" s="766">
        <f t="shared" si="10"/>
        <v>1</v>
      </c>
      <c r="R141" s="766">
        <f t="shared" si="10"/>
        <v>3.07</v>
      </c>
      <c r="S141" s="777">
        <f t="shared" si="11"/>
        <v>14.05</v>
      </c>
      <c r="T141" s="777">
        <f t="shared" si="12"/>
        <v>27</v>
      </c>
      <c r="U141" s="777">
        <f t="shared" si="13"/>
        <v>12.95</v>
      </c>
      <c r="V141" s="781">
        <f t="shared" si="14"/>
        <v>1.9217081850533806</v>
      </c>
      <c r="W141" s="767">
        <v>13</v>
      </c>
    </row>
    <row r="142" spans="1:23" ht="14.4" customHeight="1" x14ac:dyDescent="0.3">
      <c r="A142" s="828" t="s">
        <v>3341</v>
      </c>
      <c r="B142" s="777"/>
      <c r="C142" s="778"/>
      <c r="D142" s="779"/>
      <c r="E142" s="782"/>
      <c r="F142" s="762"/>
      <c r="G142" s="763"/>
      <c r="H142" s="758">
        <v>1</v>
      </c>
      <c r="I142" s="759">
        <v>5.21</v>
      </c>
      <c r="J142" s="768">
        <v>53</v>
      </c>
      <c r="K142" s="764">
        <v>1.36</v>
      </c>
      <c r="L142" s="761">
        <v>2</v>
      </c>
      <c r="M142" s="761">
        <v>19</v>
      </c>
      <c r="N142" s="765">
        <v>6.35</v>
      </c>
      <c r="O142" s="761" t="s">
        <v>3067</v>
      </c>
      <c r="P142" s="780" t="s">
        <v>3342</v>
      </c>
      <c r="Q142" s="766">
        <f t="shared" si="10"/>
        <v>1</v>
      </c>
      <c r="R142" s="766">
        <f t="shared" si="10"/>
        <v>5.21</v>
      </c>
      <c r="S142" s="777">
        <f t="shared" si="11"/>
        <v>6.35</v>
      </c>
      <c r="T142" s="777">
        <f t="shared" si="12"/>
        <v>53</v>
      </c>
      <c r="U142" s="777">
        <f t="shared" si="13"/>
        <v>46.65</v>
      </c>
      <c r="V142" s="781">
        <f t="shared" si="14"/>
        <v>8.346456692913387</v>
      </c>
      <c r="W142" s="767">
        <v>47</v>
      </c>
    </row>
    <row r="143" spans="1:23" ht="14.4" customHeight="1" x14ac:dyDescent="0.3">
      <c r="A143" s="829" t="s">
        <v>3343</v>
      </c>
      <c r="B143" s="822"/>
      <c r="C143" s="824"/>
      <c r="D143" s="783"/>
      <c r="E143" s="815"/>
      <c r="F143" s="816"/>
      <c r="G143" s="773"/>
      <c r="H143" s="825">
        <v>1</v>
      </c>
      <c r="I143" s="826">
        <v>2.76</v>
      </c>
      <c r="J143" s="774">
        <v>25</v>
      </c>
      <c r="K143" s="818">
        <v>2.76</v>
      </c>
      <c r="L143" s="817">
        <v>4</v>
      </c>
      <c r="M143" s="817">
        <v>40</v>
      </c>
      <c r="N143" s="819">
        <v>13.31</v>
      </c>
      <c r="O143" s="817" t="s">
        <v>3067</v>
      </c>
      <c r="P143" s="820" t="s">
        <v>3344</v>
      </c>
      <c r="Q143" s="821">
        <f t="shared" si="10"/>
        <v>1</v>
      </c>
      <c r="R143" s="821">
        <f t="shared" si="10"/>
        <v>2.76</v>
      </c>
      <c r="S143" s="822">
        <f t="shared" si="11"/>
        <v>13.31</v>
      </c>
      <c r="T143" s="822">
        <f t="shared" si="12"/>
        <v>25</v>
      </c>
      <c r="U143" s="822">
        <f t="shared" si="13"/>
        <v>11.69</v>
      </c>
      <c r="V143" s="823">
        <f t="shared" si="14"/>
        <v>1.8782870022539444</v>
      </c>
      <c r="W143" s="775">
        <v>12</v>
      </c>
    </row>
    <row r="144" spans="1:23" ht="14.4" customHeight="1" x14ac:dyDescent="0.3">
      <c r="A144" s="829" t="s">
        <v>3345</v>
      </c>
      <c r="B144" s="822">
        <v>1</v>
      </c>
      <c r="C144" s="824">
        <v>9.11</v>
      </c>
      <c r="D144" s="783">
        <v>61</v>
      </c>
      <c r="E144" s="815">
        <v>1</v>
      </c>
      <c r="F144" s="816">
        <v>6.32</v>
      </c>
      <c r="G144" s="773">
        <v>31</v>
      </c>
      <c r="H144" s="825">
        <v>1</v>
      </c>
      <c r="I144" s="826">
        <v>5.66</v>
      </c>
      <c r="J144" s="776">
        <v>11</v>
      </c>
      <c r="K144" s="818">
        <v>5.66</v>
      </c>
      <c r="L144" s="817">
        <v>6</v>
      </c>
      <c r="M144" s="817">
        <v>55</v>
      </c>
      <c r="N144" s="819">
        <v>18.37</v>
      </c>
      <c r="O144" s="817" t="s">
        <v>3067</v>
      </c>
      <c r="P144" s="820" t="s">
        <v>3346</v>
      </c>
      <c r="Q144" s="821">
        <f t="shared" si="10"/>
        <v>0</v>
      </c>
      <c r="R144" s="821">
        <f t="shared" si="10"/>
        <v>-3.4499999999999993</v>
      </c>
      <c r="S144" s="822">
        <f t="shared" si="11"/>
        <v>18.37</v>
      </c>
      <c r="T144" s="822">
        <f t="shared" si="12"/>
        <v>11</v>
      </c>
      <c r="U144" s="822">
        <f t="shared" si="13"/>
        <v>-7.370000000000001</v>
      </c>
      <c r="V144" s="823">
        <f t="shared" si="14"/>
        <v>0.59880239520958078</v>
      </c>
      <c r="W144" s="775"/>
    </row>
    <row r="145" spans="1:23" ht="14.4" customHeight="1" thickBot="1" x14ac:dyDescent="0.35">
      <c r="A145" s="830" t="s">
        <v>3347</v>
      </c>
      <c r="B145" s="831">
        <v>3</v>
      </c>
      <c r="C145" s="832">
        <v>5.33</v>
      </c>
      <c r="D145" s="833">
        <v>36.700000000000003</v>
      </c>
      <c r="E145" s="834"/>
      <c r="F145" s="835"/>
      <c r="G145" s="836"/>
      <c r="H145" s="837"/>
      <c r="I145" s="835"/>
      <c r="J145" s="836"/>
      <c r="K145" s="838">
        <v>1.22</v>
      </c>
      <c r="L145" s="837">
        <v>3</v>
      </c>
      <c r="M145" s="837">
        <v>31</v>
      </c>
      <c r="N145" s="839">
        <v>10.26</v>
      </c>
      <c r="O145" s="837" t="s">
        <v>3067</v>
      </c>
      <c r="P145" s="840" t="s">
        <v>3348</v>
      </c>
      <c r="Q145" s="841">
        <f t="shared" si="10"/>
        <v>-3</v>
      </c>
      <c r="R145" s="841">
        <f t="shared" si="10"/>
        <v>-5.33</v>
      </c>
      <c r="S145" s="842" t="str">
        <f t="shared" si="11"/>
        <v/>
      </c>
      <c r="T145" s="842" t="str">
        <f t="shared" si="12"/>
        <v/>
      </c>
      <c r="U145" s="842" t="str">
        <f t="shared" si="13"/>
        <v/>
      </c>
      <c r="V145" s="843" t="str">
        <f t="shared" si="14"/>
        <v/>
      </c>
      <c r="W145" s="844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46:Q1048576">
    <cfRule type="cellIs" dxfId="12" priority="9" stopIfTrue="1" operator="lessThan">
      <formula>0</formula>
    </cfRule>
  </conditionalFormatting>
  <conditionalFormatting sqref="U146:U1048576">
    <cfRule type="cellIs" dxfId="11" priority="8" stopIfTrue="1" operator="greaterThan">
      <formula>0</formula>
    </cfRule>
  </conditionalFormatting>
  <conditionalFormatting sqref="V146:V1048576">
    <cfRule type="cellIs" dxfId="10" priority="7" stopIfTrue="1" operator="greaterThan">
      <formula>1</formula>
    </cfRule>
  </conditionalFormatting>
  <conditionalFormatting sqref="V146:V1048576">
    <cfRule type="cellIs" dxfId="9" priority="4" stopIfTrue="1" operator="greaterThan">
      <formula>1</formula>
    </cfRule>
  </conditionalFormatting>
  <conditionalFormatting sqref="U146:U1048576">
    <cfRule type="cellIs" dxfId="8" priority="5" stopIfTrue="1" operator="greaterThan">
      <formula>0</formula>
    </cfRule>
  </conditionalFormatting>
  <conditionalFormatting sqref="Q146:Q1048576">
    <cfRule type="cellIs" dxfId="7" priority="6" stopIfTrue="1" operator="lessThan">
      <formula>0</formula>
    </cfRule>
  </conditionalFormatting>
  <conditionalFormatting sqref="V5:V145">
    <cfRule type="cellIs" dxfId="6" priority="1" stopIfTrue="1" operator="greaterThan">
      <formula>1</formula>
    </cfRule>
  </conditionalFormatting>
  <conditionalFormatting sqref="U5:U145">
    <cfRule type="cellIs" dxfId="5" priority="2" stopIfTrue="1" operator="greaterThan">
      <formula>0</formula>
    </cfRule>
  </conditionalFormatting>
  <conditionalFormatting sqref="Q5:Q14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60" customWidth="1"/>
    <col min="2" max="2" width="7.77734375" style="225" customWidth="1"/>
    <col min="3" max="3" width="7.21875" style="260" hidden="1" customWidth="1"/>
    <col min="4" max="4" width="7.77734375" style="225" customWidth="1"/>
    <col min="5" max="5" width="7.2187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7.21875" style="260" hidden="1" customWidth="1"/>
    <col min="10" max="10" width="7.77734375" style="225" customWidth="1"/>
    <col min="11" max="11" width="7.21875" style="260" hidden="1" customWidth="1"/>
    <col min="12" max="12" width="7.77734375" style="225" customWidth="1"/>
    <col min="13" max="13" width="7.77734375" style="346" customWidth="1"/>
    <col min="14" max="16384" width="8.88671875" style="260"/>
  </cols>
  <sheetData>
    <row r="1" spans="1:13" ht="18.600000000000001" customHeight="1" thickBot="1" x14ac:dyDescent="0.4">
      <c r="A1" s="471" t="s">
        <v>162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</row>
    <row r="3" spans="1:13" ht="14.4" customHeight="1" thickBot="1" x14ac:dyDescent="0.35">
      <c r="A3" s="356" t="s">
        <v>163</v>
      </c>
      <c r="B3" s="357">
        <f>SUBTOTAL(9,B6:B1048576)</f>
        <v>354338</v>
      </c>
      <c r="C3" s="358">
        <f t="shared" ref="C3:L3" si="0">SUBTOTAL(9,C6:C1048576)</f>
        <v>8</v>
      </c>
      <c r="D3" s="358">
        <f t="shared" si="0"/>
        <v>283261</v>
      </c>
      <c r="E3" s="358">
        <f t="shared" si="0"/>
        <v>6.3898498943833433</v>
      </c>
      <c r="F3" s="358">
        <f t="shared" si="0"/>
        <v>367354</v>
      </c>
      <c r="G3" s="361">
        <f>IF(B3&lt;&gt;0,F3/B3,"")</f>
        <v>1.0367332885549956</v>
      </c>
      <c r="H3" s="357">
        <f t="shared" si="0"/>
        <v>8352.57</v>
      </c>
      <c r="I3" s="358">
        <f t="shared" si="0"/>
        <v>1</v>
      </c>
      <c r="J3" s="358">
        <f t="shared" si="0"/>
        <v>10102.51</v>
      </c>
      <c r="K3" s="358">
        <f t="shared" si="0"/>
        <v>0.30262182777276936</v>
      </c>
      <c r="L3" s="358">
        <f t="shared" si="0"/>
        <v>14932.83</v>
      </c>
      <c r="M3" s="359">
        <f>IF(H3&lt;&gt;0,L3/H3,"")</f>
        <v>1.7878126133633121</v>
      </c>
    </row>
    <row r="4" spans="1:13" ht="14.4" customHeight="1" x14ac:dyDescent="0.3">
      <c r="A4" s="578" t="s">
        <v>121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</row>
    <row r="5" spans="1:13" s="344" customFormat="1" ht="14.4" customHeight="1" thickBot="1" x14ac:dyDescent="0.35">
      <c r="A5" s="845"/>
      <c r="B5" s="846">
        <v>2012</v>
      </c>
      <c r="C5" s="847"/>
      <c r="D5" s="847">
        <v>2013</v>
      </c>
      <c r="E5" s="847"/>
      <c r="F5" s="847">
        <v>2014</v>
      </c>
      <c r="G5" s="738" t="s">
        <v>5</v>
      </c>
      <c r="H5" s="846">
        <v>2012</v>
      </c>
      <c r="I5" s="847"/>
      <c r="J5" s="847">
        <v>2013</v>
      </c>
      <c r="K5" s="847"/>
      <c r="L5" s="847">
        <v>2014</v>
      </c>
      <c r="M5" s="738" t="s">
        <v>5</v>
      </c>
    </row>
    <row r="6" spans="1:13" ht="14.4" customHeight="1" x14ac:dyDescent="0.3">
      <c r="A6" s="724" t="s">
        <v>2944</v>
      </c>
      <c r="B6" s="739">
        <v>46</v>
      </c>
      <c r="C6" s="696">
        <v>1</v>
      </c>
      <c r="D6" s="739">
        <v>92</v>
      </c>
      <c r="E6" s="696">
        <v>2</v>
      </c>
      <c r="F6" s="739"/>
      <c r="G6" s="701"/>
      <c r="H6" s="739"/>
      <c r="I6" s="696"/>
      <c r="J6" s="739"/>
      <c r="K6" s="696"/>
      <c r="L6" s="739"/>
      <c r="M6" s="241"/>
    </row>
    <row r="7" spans="1:13" ht="14.4" customHeight="1" x14ac:dyDescent="0.3">
      <c r="A7" s="725" t="s">
        <v>2951</v>
      </c>
      <c r="B7" s="753"/>
      <c r="C7" s="711"/>
      <c r="D7" s="753">
        <v>2221</v>
      </c>
      <c r="E7" s="711"/>
      <c r="F7" s="753"/>
      <c r="G7" s="716"/>
      <c r="H7" s="753"/>
      <c r="I7" s="711"/>
      <c r="J7" s="753"/>
      <c r="K7" s="711"/>
      <c r="L7" s="753"/>
      <c r="M7" s="717"/>
    </row>
    <row r="8" spans="1:13" ht="14.4" customHeight="1" x14ac:dyDescent="0.3">
      <c r="A8" s="725" t="s">
        <v>3350</v>
      </c>
      <c r="B8" s="753"/>
      <c r="C8" s="711"/>
      <c r="D8" s="753">
        <v>4860</v>
      </c>
      <c r="E8" s="711"/>
      <c r="F8" s="753">
        <v>7076</v>
      </c>
      <c r="G8" s="716"/>
      <c r="H8" s="753"/>
      <c r="I8" s="711"/>
      <c r="J8" s="753">
        <v>7574.84</v>
      </c>
      <c r="K8" s="711"/>
      <c r="L8" s="753">
        <v>8463.5</v>
      </c>
      <c r="M8" s="717"/>
    </row>
    <row r="9" spans="1:13" ht="14.4" customHeight="1" x14ac:dyDescent="0.3">
      <c r="A9" s="725" t="s">
        <v>2959</v>
      </c>
      <c r="B9" s="753">
        <v>21294</v>
      </c>
      <c r="C9" s="711">
        <v>1</v>
      </c>
      <c r="D9" s="753">
        <v>17699</v>
      </c>
      <c r="E9" s="711">
        <v>0.8311731004038696</v>
      </c>
      <c r="F9" s="753">
        <v>36886</v>
      </c>
      <c r="G9" s="716">
        <v>1.7322250399173476</v>
      </c>
      <c r="H9" s="753"/>
      <c r="I9" s="711"/>
      <c r="J9" s="753"/>
      <c r="K9" s="711"/>
      <c r="L9" s="753"/>
      <c r="M9" s="717"/>
    </row>
    <row r="10" spans="1:13" ht="14.4" customHeight="1" x14ac:dyDescent="0.3">
      <c r="A10" s="725" t="s">
        <v>3351</v>
      </c>
      <c r="B10" s="753">
        <v>165684</v>
      </c>
      <c r="C10" s="711">
        <v>1</v>
      </c>
      <c r="D10" s="753">
        <v>104055</v>
      </c>
      <c r="E10" s="711">
        <v>0.6280328818715144</v>
      </c>
      <c r="F10" s="753">
        <v>126500</v>
      </c>
      <c r="G10" s="716">
        <v>0.76350160546582646</v>
      </c>
      <c r="H10" s="753"/>
      <c r="I10" s="711"/>
      <c r="J10" s="753"/>
      <c r="K10" s="711"/>
      <c r="L10" s="753"/>
      <c r="M10" s="717"/>
    </row>
    <row r="11" spans="1:13" ht="14.4" customHeight="1" x14ac:dyDescent="0.3">
      <c r="A11" s="725" t="s">
        <v>3352</v>
      </c>
      <c r="B11" s="753">
        <v>87809</v>
      </c>
      <c r="C11" s="711">
        <v>1</v>
      </c>
      <c r="D11" s="753">
        <v>69497</v>
      </c>
      <c r="E11" s="711">
        <v>0.79145645662745279</v>
      </c>
      <c r="F11" s="753">
        <v>62953</v>
      </c>
      <c r="G11" s="716">
        <v>0.71693106629161019</v>
      </c>
      <c r="H11" s="753">
        <v>8352.57</v>
      </c>
      <c r="I11" s="711">
        <v>1</v>
      </c>
      <c r="J11" s="753">
        <v>2527.67</v>
      </c>
      <c r="K11" s="711">
        <v>0.30262182777276936</v>
      </c>
      <c r="L11" s="753">
        <v>6469.33</v>
      </c>
      <c r="M11" s="717">
        <v>0.77453167109045484</v>
      </c>
    </row>
    <row r="12" spans="1:13" ht="14.4" customHeight="1" x14ac:dyDescent="0.3">
      <c r="A12" s="725" t="s">
        <v>3353</v>
      </c>
      <c r="B12" s="753">
        <v>4944</v>
      </c>
      <c r="C12" s="711">
        <v>1</v>
      </c>
      <c r="D12" s="753">
        <v>2508</v>
      </c>
      <c r="E12" s="711">
        <v>0.50728155339805825</v>
      </c>
      <c r="F12" s="753">
        <v>3212</v>
      </c>
      <c r="G12" s="716">
        <v>0.64967637540453071</v>
      </c>
      <c r="H12" s="753"/>
      <c r="I12" s="711"/>
      <c r="J12" s="753"/>
      <c r="K12" s="711"/>
      <c r="L12" s="753"/>
      <c r="M12" s="717"/>
    </row>
    <row r="13" spans="1:13" ht="14.4" customHeight="1" x14ac:dyDescent="0.3">
      <c r="A13" s="725" t="s">
        <v>3354</v>
      </c>
      <c r="B13" s="753">
        <v>14953</v>
      </c>
      <c r="C13" s="711">
        <v>1</v>
      </c>
      <c r="D13" s="753">
        <v>2633</v>
      </c>
      <c r="E13" s="711">
        <v>0.17608506654183106</v>
      </c>
      <c r="F13" s="753">
        <v>40679</v>
      </c>
      <c r="G13" s="716">
        <v>2.7204574332909783</v>
      </c>
      <c r="H13" s="753"/>
      <c r="I13" s="711"/>
      <c r="J13" s="753"/>
      <c r="K13" s="711"/>
      <c r="L13" s="753"/>
      <c r="M13" s="717"/>
    </row>
    <row r="14" spans="1:13" ht="14.4" customHeight="1" x14ac:dyDescent="0.3">
      <c r="A14" s="725" t="s">
        <v>3355</v>
      </c>
      <c r="B14" s="753">
        <v>54743</v>
      </c>
      <c r="C14" s="711">
        <v>1</v>
      </c>
      <c r="D14" s="753">
        <v>79696</v>
      </c>
      <c r="E14" s="711">
        <v>1.455820835540617</v>
      </c>
      <c r="F14" s="753">
        <v>52551</v>
      </c>
      <c r="G14" s="716">
        <v>0.95995835083937675</v>
      </c>
      <c r="H14" s="753"/>
      <c r="I14" s="711"/>
      <c r="J14" s="753"/>
      <c r="K14" s="711"/>
      <c r="L14" s="753"/>
      <c r="M14" s="717"/>
    </row>
    <row r="15" spans="1:13" ht="14.4" customHeight="1" x14ac:dyDescent="0.3">
      <c r="A15" s="725" t="s">
        <v>3356</v>
      </c>
      <c r="B15" s="753">
        <v>4865</v>
      </c>
      <c r="C15" s="711">
        <v>1</v>
      </c>
      <c r="D15" s="753"/>
      <c r="E15" s="711"/>
      <c r="F15" s="753">
        <v>9486</v>
      </c>
      <c r="G15" s="716">
        <v>1.9498458376156218</v>
      </c>
      <c r="H15" s="753"/>
      <c r="I15" s="711"/>
      <c r="J15" s="753"/>
      <c r="K15" s="711"/>
      <c r="L15" s="753"/>
      <c r="M15" s="717"/>
    </row>
    <row r="16" spans="1:13" ht="14.4" customHeight="1" thickBot="1" x14ac:dyDescent="0.35">
      <c r="A16" s="741" t="s">
        <v>3357</v>
      </c>
      <c r="B16" s="740"/>
      <c r="C16" s="703"/>
      <c r="D16" s="740"/>
      <c r="E16" s="703"/>
      <c r="F16" s="740">
        <v>28011</v>
      </c>
      <c r="G16" s="708"/>
      <c r="H16" s="740"/>
      <c r="I16" s="703"/>
      <c r="J16" s="740"/>
      <c r="K16" s="703"/>
      <c r="L16" s="740"/>
      <c r="M16" s="709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0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71" t="s">
        <v>3754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30"/>
      <c r="C2" s="230"/>
      <c r="D2" s="230"/>
      <c r="E2" s="230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3"/>
      <c r="Q2" s="366"/>
    </row>
    <row r="3" spans="1:17" ht="14.4" customHeight="1" thickBot="1" x14ac:dyDescent="0.35">
      <c r="E3" s="112" t="s">
        <v>163</v>
      </c>
      <c r="F3" s="217">
        <f t="shared" ref="F3:O3" si="0">SUBTOTAL(9,F6:F1048576)</f>
        <v>2039.73</v>
      </c>
      <c r="G3" s="221">
        <f t="shared" si="0"/>
        <v>362690.57</v>
      </c>
      <c r="H3" s="222"/>
      <c r="I3" s="222"/>
      <c r="J3" s="217">
        <f t="shared" si="0"/>
        <v>2822.73</v>
      </c>
      <c r="K3" s="221">
        <f t="shared" si="0"/>
        <v>293363.51</v>
      </c>
      <c r="L3" s="222"/>
      <c r="M3" s="222"/>
      <c r="N3" s="217">
        <f t="shared" si="0"/>
        <v>2729.54</v>
      </c>
      <c r="O3" s="221">
        <f t="shared" si="0"/>
        <v>382286.82999999996</v>
      </c>
      <c r="P3" s="181">
        <f>IF(G3=0,"",O3/G3)</f>
        <v>1.0540302440176483</v>
      </c>
      <c r="Q3" s="219">
        <f>IF(N3=0,"",O3/N3)</f>
        <v>140.05540494002651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93</v>
      </c>
      <c r="E4" s="536" t="s">
        <v>14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45"/>
      <c r="B5" s="744"/>
      <c r="C5" s="745"/>
      <c r="D5" s="746"/>
      <c r="E5" s="747"/>
      <c r="F5" s="754" t="s">
        <v>94</v>
      </c>
      <c r="G5" s="755" t="s">
        <v>17</v>
      </c>
      <c r="H5" s="756"/>
      <c r="I5" s="756"/>
      <c r="J5" s="754" t="s">
        <v>94</v>
      </c>
      <c r="K5" s="755" t="s">
        <v>17</v>
      </c>
      <c r="L5" s="756"/>
      <c r="M5" s="756"/>
      <c r="N5" s="754" t="s">
        <v>94</v>
      </c>
      <c r="O5" s="755" t="s">
        <v>17</v>
      </c>
      <c r="P5" s="757"/>
      <c r="Q5" s="752"/>
    </row>
    <row r="6" spans="1:17" ht="14.4" customHeight="1" x14ac:dyDescent="0.3">
      <c r="A6" s="695" t="s">
        <v>2963</v>
      </c>
      <c r="B6" s="696" t="s">
        <v>247</v>
      </c>
      <c r="C6" s="696" t="s">
        <v>2907</v>
      </c>
      <c r="D6" s="696" t="s">
        <v>3358</v>
      </c>
      <c r="E6" s="696" t="s">
        <v>3359</v>
      </c>
      <c r="F6" s="235">
        <v>1</v>
      </c>
      <c r="G6" s="235">
        <v>46</v>
      </c>
      <c r="H6" s="235">
        <v>1</v>
      </c>
      <c r="I6" s="235">
        <v>46</v>
      </c>
      <c r="J6" s="235">
        <v>2</v>
      </c>
      <c r="K6" s="235">
        <v>92</v>
      </c>
      <c r="L6" s="235">
        <v>2</v>
      </c>
      <c r="M6" s="235">
        <v>46</v>
      </c>
      <c r="N6" s="235"/>
      <c r="O6" s="235"/>
      <c r="P6" s="701"/>
      <c r="Q6" s="719"/>
    </row>
    <row r="7" spans="1:17" ht="14.4" customHeight="1" x14ac:dyDescent="0.3">
      <c r="A7" s="710" t="s">
        <v>2973</v>
      </c>
      <c r="B7" s="711" t="s">
        <v>3360</v>
      </c>
      <c r="C7" s="711" t="s">
        <v>2907</v>
      </c>
      <c r="D7" s="711" t="s">
        <v>3361</v>
      </c>
      <c r="E7" s="711" t="s">
        <v>3362</v>
      </c>
      <c r="F7" s="720"/>
      <c r="G7" s="720"/>
      <c r="H7" s="720"/>
      <c r="I7" s="720"/>
      <c r="J7" s="720">
        <v>1</v>
      </c>
      <c r="K7" s="720">
        <v>127</v>
      </c>
      <c r="L7" s="720"/>
      <c r="M7" s="720">
        <v>127</v>
      </c>
      <c r="N7" s="720"/>
      <c r="O7" s="720"/>
      <c r="P7" s="716"/>
      <c r="Q7" s="721"/>
    </row>
    <row r="8" spans="1:17" ht="14.4" customHeight="1" x14ac:dyDescent="0.3">
      <c r="A8" s="710" t="s">
        <v>2973</v>
      </c>
      <c r="B8" s="711" t="s">
        <v>3360</v>
      </c>
      <c r="C8" s="711" t="s">
        <v>2907</v>
      </c>
      <c r="D8" s="711" t="s">
        <v>3363</v>
      </c>
      <c r="E8" s="711" t="s">
        <v>3364</v>
      </c>
      <c r="F8" s="720"/>
      <c r="G8" s="720"/>
      <c r="H8" s="720"/>
      <c r="I8" s="720"/>
      <c r="J8" s="720">
        <v>1</v>
      </c>
      <c r="K8" s="720">
        <v>664</v>
      </c>
      <c r="L8" s="720"/>
      <c r="M8" s="720">
        <v>664</v>
      </c>
      <c r="N8" s="720"/>
      <c r="O8" s="720"/>
      <c r="P8" s="716"/>
      <c r="Q8" s="721"/>
    </row>
    <row r="9" spans="1:17" ht="14.4" customHeight="1" x14ac:dyDescent="0.3">
      <c r="A9" s="710" t="s">
        <v>2973</v>
      </c>
      <c r="B9" s="711" t="s">
        <v>3360</v>
      </c>
      <c r="C9" s="711" t="s">
        <v>2907</v>
      </c>
      <c r="D9" s="711" t="s">
        <v>3365</v>
      </c>
      <c r="E9" s="711" t="s">
        <v>3366</v>
      </c>
      <c r="F9" s="720"/>
      <c r="G9" s="720"/>
      <c r="H9" s="720"/>
      <c r="I9" s="720"/>
      <c r="J9" s="720">
        <v>1</v>
      </c>
      <c r="K9" s="720">
        <v>326</v>
      </c>
      <c r="L9" s="720"/>
      <c r="M9" s="720">
        <v>326</v>
      </c>
      <c r="N9" s="720"/>
      <c r="O9" s="720"/>
      <c r="P9" s="716"/>
      <c r="Q9" s="721"/>
    </row>
    <row r="10" spans="1:17" ht="14.4" customHeight="1" x14ac:dyDescent="0.3">
      <c r="A10" s="710" t="s">
        <v>2973</v>
      </c>
      <c r="B10" s="711" t="s">
        <v>3360</v>
      </c>
      <c r="C10" s="711" t="s">
        <v>2907</v>
      </c>
      <c r="D10" s="711" t="s">
        <v>3367</v>
      </c>
      <c r="E10" s="711" t="s">
        <v>3368</v>
      </c>
      <c r="F10" s="720"/>
      <c r="G10" s="720"/>
      <c r="H10" s="720"/>
      <c r="I10" s="720"/>
      <c r="J10" s="720">
        <v>1</v>
      </c>
      <c r="K10" s="720">
        <v>457</v>
      </c>
      <c r="L10" s="720"/>
      <c r="M10" s="720">
        <v>457</v>
      </c>
      <c r="N10" s="720"/>
      <c r="O10" s="720"/>
      <c r="P10" s="716"/>
      <c r="Q10" s="721"/>
    </row>
    <row r="11" spans="1:17" ht="14.4" customHeight="1" x14ac:dyDescent="0.3">
      <c r="A11" s="710" t="s">
        <v>2973</v>
      </c>
      <c r="B11" s="711" t="s">
        <v>3360</v>
      </c>
      <c r="C11" s="711" t="s">
        <v>2907</v>
      </c>
      <c r="D11" s="711" t="s">
        <v>3369</v>
      </c>
      <c r="E11" s="711" t="s">
        <v>3370</v>
      </c>
      <c r="F11" s="720"/>
      <c r="G11" s="720"/>
      <c r="H11" s="720"/>
      <c r="I11" s="720"/>
      <c r="J11" s="720">
        <v>4</v>
      </c>
      <c r="K11" s="720">
        <v>316</v>
      </c>
      <c r="L11" s="720"/>
      <c r="M11" s="720">
        <v>79</v>
      </c>
      <c r="N11" s="720"/>
      <c r="O11" s="720"/>
      <c r="P11" s="716"/>
      <c r="Q11" s="721"/>
    </row>
    <row r="12" spans="1:17" ht="14.4" customHeight="1" x14ac:dyDescent="0.3">
      <c r="A12" s="710" t="s">
        <v>2973</v>
      </c>
      <c r="B12" s="711" t="s">
        <v>3360</v>
      </c>
      <c r="C12" s="711" t="s">
        <v>2907</v>
      </c>
      <c r="D12" s="711" t="s">
        <v>3371</v>
      </c>
      <c r="E12" s="711" t="s">
        <v>3372</v>
      </c>
      <c r="F12" s="720"/>
      <c r="G12" s="720"/>
      <c r="H12" s="720"/>
      <c r="I12" s="720"/>
      <c r="J12" s="720">
        <v>1</v>
      </c>
      <c r="K12" s="720">
        <v>164</v>
      </c>
      <c r="L12" s="720"/>
      <c r="M12" s="720">
        <v>164</v>
      </c>
      <c r="N12" s="720"/>
      <c r="O12" s="720"/>
      <c r="P12" s="716"/>
      <c r="Q12" s="721"/>
    </row>
    <row r="13" spans="1:17" ht="14.4" customHeight="1" x14ac:dyDescent="0.3">
      <c r="A13" s="710" t="s">
        <v>2973</v>
      </c>
      <c r="B13" s="711" t="s">
        <v>3360</v>
      </c>
      <c r="C13" s="711" t="s">
        <v>2907</v>
      </c>
      <c r="D13" s="711" t="s">
        <v>3373</v>
      </c>
      <c r="E13" s="711" t="s">
        <v>3374</v>
      </c>
      <c r="F13" s="720"/>
      <c r="G13" s="720"/>
      <c r="H13" s="720"/>
      <c r="I13" s="720"/>
      <c r="J13" s="720">
        <v>1</v>
      </c>
      <c r="K13" s="720">
        <v>167</v>
      </c>
      <c r="L13" s="720"/>
      <c r="M13" s="720">
        <v>167</v>
      </c>
      <c r="N13" s="720"/>
      <c r="O13" s="720"/>
      <c r="P13" s="716"/>
      <c r="Q13" s="721"/>
    </row>
    <row r="14" spans="1:17" ht="14.4" customHeight="1" x14ac:dyDescent="0.3">
      <c r="A14" s="710" t="s">
        <v>3375</v>
      </c>
      <c r="B14" s="711" t="s">
        <v>3376</v>
      </c>
      <c r="C14" s="711" t="s">
        <v>3011</v>
      </c>
      <c r="D14" s="711" t="s">
        <v>3377</v>
      </c>
      <c r="E14" s="711" t="s">
        <v>3378</v>
      </c>
      <c r="F14" s="720"/>
      <c r="G14" s="720"/>
      <c r="H14" s="720"/>
      <c r="I14" s="720"/>
      <c r="J14" s="720">
        <v>100</v>
      </c>
      <c r="K14" s="720">
        <v>190</v>
      </c>
      <c r="L14" s="720"/>
      <c r="M14" s="720">
        <v>1.9</v>
      </c>
      <c r="N14" s="720"/>
      <c r="O14" s="720"/>
      <c r="P14" s="716"/>
      <c r="Q14" s="721"/>
    </row>
    <row r="15" spans="1:17" ht="14.4" customHeight="1" x14ac:dyDescent="0.3">
      <c r="A15" s="710" t="s">
        <v>3375</v>
      </c>
      <c r="B15" s="711" t="s">
        <v>3376</v>
      </c>
      <c r="C15" s="711" t="s">
        <v>3011</v>
      </c>
      <c r="D15" s="711" t="s">
        <v>3379</v>
      </c>
      <c r="E15" s="711" t="s">
        <v>3380</v>
      </c>
      <c r="F15" s="720"/>
      <c r="G15" s="720"/>
      <c r="H15" s="720"/>
      <c r="I15" s="720"/>
      <c r="J15" s="720">
        <v>150</v>
      </c>
      <c r="K15" s="720">
        <v>699</v>
      </c>
      <c r="L15" s="720"/>
      <c r="M15" s="720">
        <v>4.66</v>
      </c>
      <c r="N15" s="720">
        <v>300</v>
      </c>
      <c r="O15" s="720">
        <v>1530</v>
      </c>
      <c r="P15" s="716"/>
      <c r="Q15" s="721">
        <v>5.0999999999999996</v>
      </c>
    </row>
    <row r="16" spans="1:17" ht="14.4" customHeight="1" x14ac:dyDescent="0.3">
      <c r="A16" s="710" t="s">
        <v>3375</v>
      </c>
      <c r="B16" s="711" t="s">
        <v>3376</v>
      </c>
      <c r="C16" s="711" t="s">
        <v>3011</v>
      </c>
      <c r="D16" s="711" t="s">
        <v>3381</v>
      </c>
      <c r="E16" s="711" t="s">
        <v>3382</v>
      </c>
      <c r="F16" s="720"/>
      <c r="G16" s="720"/>
      <c r="H16" s="720"/>
      <c r="I16" s="720"/>
      <c r="J16" s="720">
        <v>800</v>
      </c>
      <c r="K16" s="720">
        <v>4424</v>
      </c>
      <c r="L16" s="720"/>
      <c r="M16" s="720">
        <v>5.53</v>
      </c>
      <c r="N16" s="720"/>
      <c r="O16" s="720"/>
      <c r="P16" s="716"/>
      <c r="Q16" s="721"/>
    </row>
    <row r="17" spans="1:17" ht="14.4" customHeight="1" x14ac:dyDescent="0.3">
      <c r="A17" s="710" t="s">
        <v>3375</v>
      </c>
      <c r="B17" s="711" t="s">
        <v>3376</v>
      </c>
      <c r="C17" s="711" t="s">
        <v>3011</v>
      </c>
      <c r="D17" s="711" t="s">
        <v>3383</v>
      </c>
      <c r="E17" s="711" t="s">
        <v>3384</v>
      </c>
      <c r="F17" s="720"/>
      <c r="G17" s="720"/>
      <c r="H17" s="720"/>
      <c r="I17" s="720"/>
      <c r="J17" s="720">
        <v>1</v>
      </c>
      <c r="K17" s="720">
        <v>2261.84</v>
      </c>
      <c r="L17" s="720"/>
      <c r="M17" s="720">
        <v>2261.84</v>
      </c>
      <c r="N17" s="720">
        <v>2</v>
      </c>
      <c r="O17" s="720">
        <v>4390.7</v>
      </c>
      <c r="P17" s="716"/>
      <c r="Q17" s="721">
        <v>2195.35</v>
      </c>
    </row>
    <row r="18" spans="1:17" ht="14.4" customHeight="1" x14ac:dyDescent="0.3">
      <c r="A18" s="710" t="s">
        <v>3375</v>
      </c>
      <c r="B18" s="711" t="s">
        <v>3376</v>
      </c>
      <c r="C18" s="711" t="s">
        <v>3011</v>
      </c>
      <c r="D18" s="711" t="s">
        <v>3385</v>
      </c>
      <c r="E18" s="711" t="s">
        <v>3386</v>
      </c>
      <c r="F18" s="720"/>
      <c r="G18" s="720"/>
      <c r="H18" s="720"/>
      <c r="I18" s="720"/>
      <c r="J18" s="720"/>
      <c r="K18" s="720"/>
      <c r="L18" s="720"/>
      <c r="M18" s="720"/>
      <c r="N18" s="720">
        <v>780</v>
      </c>
      <c r="O18" s="720">
        <v>2542.8000000000002</v>
      </c>
      <c r="P18" s="716"/>
      <c r="Q18" s="721">
        <v>3.2600000000000002</v>
      </c>
    </row>
    <row r="19" spans="1:17" ht="14.4" customHeight="1" x14ac:dyDescent="0.3">
      <c r="A19" s="710" t="s">
        <v>3375</v>
      </c>
      <c r="B19" s="711" t="s">
        <v>3376</v>
      </c>
      <c r="C19" s="711" t="s">
        <v>2907</v>
      </c>
      <c r="D19" s="711" t="s">
        <v>3387</v>
      </c>
      <c r="E19" s="711" t="s">
        <v>3388</v>
      </c>
      <c r="F19" s="720"/>
      <c r="G19" s="720"/>
      <c r="H19" s="720"/>
      <c r="I19" s="720"/>
      <c r="J19" s="720">
        <v>1</v>
      </c>
      <c r="K19" s="720">
        <v>1965</v>
      </c>
      <c r="L19" s="720"/>
      <c r="M19" s="720">
        <v>1965</v>
      </c>
      <c r="N19" s="720"/>
      <c r="O19" s="720"/>
      <c r="P19" s="716"/>
      <c r="Q19" s="721"/>
    </row>
    <row r="20" spans="1:17" ht="14.4" customHeight="1" x14ac:dyDescent="0.3">
      <c r="A20" s="710" t="s">
        <v>3375</v>
      </c>
      <c r="B20" s="711" t="s">
        <v>3376</v>
      </c>
      <c r="C20" s="711" t="s">
        <v>2907</v>
      </c>
      <c r="D20" s="711" t="s">
        <v>3389</v>
      </c>
      <c r="E20" s="711" t="s">
        <v>3390</v>
      </c>
      <c r="F20" s="720"/>
      <c r="G20" s="720"/>
      <c r="H20" s="720"/>
      <c r="I20" s="720"/>
      <c r="J20" s="720">
        <v>1</v>
      </c>
      <c r="K20" s="720">
        <v>654</v>
      </c>
      <c r="L20" s="720"/>
      <c r="M20" s="720">
        <v>654</v>
      </c>
      <c r="N20" s="720">
        <v>2</v>
      </c>
      <c r="O20" s="720">
        <v>1308</v>
      </c>
      <c r="P20" s="716"/>
      <c r="Q20" s="721">
        <v>654</v>
      </c>
    </row>
    <row r="21" spans="1:17" ht="14.4" customHeight="1" x14ac:dyDescent="0.3">
      <c r="A21" s="710" t="s">
        <v>3375</v>
      </c>
      <c r="B21" s="711" t="s">
        <v>3376</v>
      </c>
      <c r="C21" s="711" t="s">
        <v>2907</v>
      </c>
      <c r="D21" s="711" t="s">
        <v>3391</v>
      </c>
      <c r="E21" s="711" t="s">
        <v>3392</v>
      </c>
      <c r="F21" s="720"/>
      <c r="G21" s="720"/>
      <c r="H21" s="720"/>
      <c r="I21" s="720"/>
      <c r="J21" s="720">
        <v>1</v>
      </c>
      <c r="K21" s="720">
        <v>1754</v>
      </c>
      <c r="L21" s="720"/>
      <c r="M21" s="720">
        <v>1754</v>
      </c>
      <c r="N21" s="720">
        <v>2</v>
      </c>
      <c r="O21" s="720">
        <v>3508</v>
      </c>
      <c r="P21" s="716"/>
      <c r="Q21" s="721">
        <v>1754</v>
      </c>
    </row>
    <row r="22" spans="1:17" ht="14.4" customHeight="1" x14ac:dyDescent="0.3">
      <c r="A22" s="710" t="s">
        <v>3375</v>
      </c>
      <c r="B22" s="711" t="s">
        <v>3376</v>
      </c>
      <c r="C22" s="711" t="s">
        <v>2907</v>
      </c>
      <c r="D22" s="711" t="s">
        <v>3393</v>
      </c>
      <c r="E22" s="711" t="s">
        <v>3394</v>
      </c>
      <c r="F22" s="720"/>
      <c r="G22" s="720"/>
      <c r="H22" s="720"/>
      <c r="I22" s="720"/>
      <c r="J22" s="720"/>
      <c r="K22" s="720"/>
      <c r="L22" s="720"/>
      <c r="M22" s="720"/>
      <c r="N22" s="720">
        <v>1</v>
      </c>
      <c r="O22" s="720">
        <v>1286</v>
      </c>
      <c r="P22" s="716"/>
      <c r="Q22" s="721">
        <v>1286</v>
      </c>
    </row>
    <row r="23" spans="1:17" ht="14.4" customHeight="1" x14ac:dyDescent="0.3">
      <c r="A23" s="710" t="s">
        <v>3375</v>
      </c>
      <c r="B23" s="711" t="s">
        <v>3376</v>
      </c>
      <c r="C23" s="711" t="s">
        <v>2907</v>
      </c>
      <c r="D23" s="711" t="s">
        <v>3395</v>
      </c>
      <c r="E23" s="711" t="s">
        <v>3396</v>
      </c>
      <c r="F23" s="720"/>
      <c r="G23" s="720"/>
      <c r="H23" s="720"/>
      <c r="I23" s="720"/>
      <c r="J23" s="720">
        <v>1</v>
      </c>
      <c r="K23" s="720">
        <v>487</v>
      </c>
      <c r="L23" s="720"/>
      <c r="M23" s="720">
        <v>487</v>
      </c>
      <c r="N23" s="720">
        <v>2</v>
      </c>
      <c r="O23" s="720">
        <v>974</v>
      </c>
      <c r="P23" s="716"/>
      <c r="Q23" s="721">
        <v>487</v>
      </c>
    </row>
    <row r="24" spans="1:17" ht="14.4" customHeight="1" x14ac:dyDescent="0.3">
      <c r="A24" s="710" t="s">
        <v>3063</v>
      </c>
      <c r="B24" s="711" t="s">
        <v>3397</v>
      </c>
      <c r="C24" s="711" t="s">
        <v>2907</v>
      </c>
      <c r="D24" s="711" t="s">
        <v>3398</v>
      </c>
      <c r="E24" s="711" t="s">
        <v>3399</v>
      </c>
      <c r="F24" s="720"/>
      <c r="G24" s="720"/>
      <c r="H24" s="720"/>
      <c r="I24" s="720"/>
      <c r="J24" s="720"/>
      <c r="K24" s="720"/>
      <c r="L24" s="720"/>
      <c r="M24" s="720"/>
      <c r="N24" s="720">
        <v>2</v>
      </c>
      <c r="O24" s="720">
        <v>18674</v>
      </c>
      <c r="P24" s="716"/>
      <c r="Q24" s="721">
        <v>9337</v>
      </c>
    </row>
    <row r="25" spans="1:17" ht="14.4" customHeight="1" x14ac:dyDescent="0.3">
      <c r="A25" s="710" t="s">
        <v>3063</v>
      </c>
      <c r="B25" s="711" t="s">
        <v>3400</v>
      </c>
      <c r="C25" s="711" t="s">
        <v>2907</v>
      </c>
      <c r="D25" s="711" t="s">
        <v>3401</v>
      </c>
      <c r="E25" s="711" t="s">
        <v>3402</v>
      </c>
      <c r="F25" s="720">
        <v>6</v>
      </c>
      <c r="G25" s="720">
        <v>2100</v>
      </c>
      <c r="H25" s="720">
        <v>1</v>
      </c>
      <c r="I25" s="720">
        <v>350</v>
      </c>
      <c r="J25" s="720">
        <v>1</v>
      </c>
      <c r="K25" s="720">
        <v>350</v>
      </c>
      <c r="L25" s="720">
        <v>0.16666666666666666</v>
      </c>
      <c r="M25" s="720">
        <v>350</v>
      </c>
      <c r="N25" s="720">
        <v>10</v>
      </c>
      <c r="O25" s="720">
        <v>3500</v>
      </c>
      <c r="P25" s="716">
        <v>1.6666666666666667</v>
      </c>
      <c r="Q25" s="721">
        <v>350</v>
      </c>
    </row>
    <row r="26" spans="1:17" ht="14.4" customHeight="1" x14ac:dyDescent="0.3">
      <c r="A26" s="710" t="s">
        <v>3063</v>
      </c>
      <c r="B26" s="711" t="s">
        <v>3400</v>
      </c>
      <c r="C26" s="711" t="s">
        <v>2907</v>
      </c>
      <c r="D26" s="711" t="s">
        <v>3403</v>
      </c>
      <c r="E26" s="711" t="s">
        <v>3404</v>
      </c>
      <c r="F26" s="720">
        <v>166</v>
      </c>
      <c r="G26" s="720">
        <v>10624</v>
      </c>
      <c r="H26" s="720">
        <v>1</v>
      </c>
      <c r="I26" s="720">
        <v>64</v>
      </c>
      <c r="J26" s="720">
        <v>139</v>
      </c>
      <c r="K26" s="720">
        <v>9035</v>
      </c>
      <c r="L26" s="720">
        <v>0.85043298192771088</v>
      </c>
      <c r="M26" s="720">
        <v>65</v>
      </c>
      <c r="N26" s="720">
        <v>126</v>
      </c>
      <c r="O26" s="720">
        <v>8190</v>
      </c>
      <c r="P26" s="716">
        <v>0.77089608433734935</v>
      </c>
      <c r="Q26" s="721">
        <v>65</v>
      </c>
    </row>
    <row r="27" spans="1:17" ht="14.4" customHeight="1" x14ac:dyDescent="0.3">
      <c r="A27" s="710" t="s">
        <v>3063</v>
      </c>
      <c r="B27" s="711" t="s">
        <v>3400</v>
      </c>
      <c r="C27" s="711" t="s">
        <v>2907</v>
      </c>
      <c r="D27" s="711" t="s">
        <v>3405</v>
      </c>
      <c r="E27" s="711" t="s">
        <v>3406</v>
      </c>
      <c r="F27" s="720">
        <v>2</v>
      </c>
      <c r="G27" s="720">
        <v>46</v>
      </c>
      <c r="H27" s="720">
        <v>1</v>
      </c>
      <c r="I27" s="720">
        <v>23</v>
      </c>
      <c r="J27" s="720">
        <v>7</v>
      </c>
      <c r="K27" s="720">
        <v>161</v>
      </c>
      <c r="L27" s="720">
        <v>3.5</v>
      </c>
      <c r="M27" s="720">
        <v>23</v>
      </c>
      <c r="N27" s="720">
        <v>4</v>
      </c>
      <c r="O27" s="720">
        <v>92</v>
      </c>
      <c r="P27" s="716">
        <v>2</v>
      </c>
      <c r="Q27" s="721">
        <v>23</v>
      </c>
    </row>
    <row r="28" spans="1:17" ht="14.4" customHeight="1" x14ac:dyDescent="0.3">
      <c r="A28" s="710" t="s">
        <v>3063</v>
      </c>
      <c r="B28" s="711" t="s">
        <v>3400</v>
      </c>
      <c r="C28" s="711" t="s">
        <v>2907</v>
      </c>
      <c r="D28" s="711" t="s">
        <v>3407</v>
      </c>
      <c r="E28" s="711" t="s">
        <v>3408</v>
      </c>
      <c r="F28" s="720"/>
      <c r="G28" s="720"/>
      <c r="H28" s="720"/>
      <c r="I28" s="720"/>
      <c r="J28" s="720"/>
      <c r="K28" s="720"/>
      <c r="L28" s="720"/>
      <c r="M28" s="720"/>
      <c r="N28" s="720">
        <v>1</v>
      </c>
      <c r="O28" s="720">
        <v>54</v>
      </c>
      <c r="P28" s="716"/>
      <c r="Q28" s="721">
        <v>54</v>
      </c>
    </row>
    <row r="29" spans="1:17" ht="14.4" customHeight="1" x14ac:dyDescent="0.3">
      <c r="A29" s="710" t="s">
        <v>3063</v>
      </c>
      <c r="B29" s="711" t="s">
        <v>3400</v>
      </c>
      <c r="C29" s="711" t="s">
        <v>2907</v>
      </c>
      <c r="D29" s="711" t="s">
        <v>3409</v>
      </c>
      <c r="E29" s="711" t="s">
        <v>3410</v>
      </c>
      <c r="F29" s="720">
        <v>76</v>
      </c>
      <c r="G29" s="720">
        <v>5852</v>
      </c>
      <c r="H29" s="720">
        <v>1</v>
      </c>
      <c r="I29" s="720">
        <v>77</v>
      </c>
      <c r="J29" s="720">
        <v>63</v>
      </c>
      <c r="K29" s="720">
        <v>4851</v>
      </c>
      <c r="L29" s="720">
        <v>0.82894736842105265</v>
      </c>
      <c r="M29" s="720">
        <v>77</v>
      </c>
      <c r="N29" s="720">
        <v>53</v>
      </c>
      <c r="O29" s="720">
        <v>4081</v>
      </c>
      <c r="P29" s="716">
        <v>0.69736842105263153</v>
      </c>
      <c r="Q29" s="721">
        <v>77</v>
      </c>
    </row>
    <row r="30" spans="1:17" ht="14.4" customHeight="1" x14ac:dyDescent="0.3">
      <c r="A30" s="710" t="s">
        <v>3063</v>
      </c>
      <c r="B30" s="711" t="s">
        <v>3400</v>
      </c>
      <c r="C30" s="711" t="s">
        <v>2907</v>
      </c>
      <c r="D30" s="711" t="s">
        <v>3411</v>
      </c>
      <c r="E30" s="711" t="s">
        <v>3412</v>
      </c>
      <c r="F30" s="720">
        <v>34</v>
      </c>
      <c r="G30" s="720">
        <v>748</v>
      </c>
      <c r="H30" s="720">
        <v>1</v>
      </c>
      <c r="I30" s="720">
        <v>22</v>
      </c>
      <c r="J30" s="720">
        <v>28</v>
      </c>
      <c r="K30" s="720">
        <v>616</v>
      </c>
      <c r="L30" s="720">
        <v>0.82352941176470584</v>
      </c>
      <c r="M30" s="720">
        <v>22</v>
      </c>
      <c r="N30" s="720">
        <v>13</v>
      </c>
      <c r="O30" s="720">
        <v>286</v>
      </c>
      <c r="P30" s="716">
        <v>0.38235294117647056</v>
      </c>
      <c r="Q30" s="721">
        <v>22</v>
      </c>
    </row>
    <row r="31" spans="1:17" ht="14.4" customHeight="1" x14ac:dyDescent="0.3">
      <c r="A31" s="710" t="s">
        <v>3063</v>
      </c>
      <c r="B31" s="711" t="s">
        <v>3400</v>
      </c>
      <c r="C31" s="711" t="s">
        <v>2907</v>
      </c>
      <c r="D31" s="711" t="s">
        <v>3413</v>
      </c>
      <c r="E31" s="711" t="s">
        <v>3414</v>
      </c>
      <c r="F31" s="720">
        <v>5</v>
      </c>
      <c r="G31" s="720">
        <v>1045</v>
      </c>
      <c r="H31" s="720">
        <v>1</v>
      </c>
      <c r="I31" s="720">
        <v>209</v>
      </c>
      <c r="J31" s="720">
        <v>3</v>
      </c>
      <c r="K31" s="720">
        <v>627</v>
      </c>
      <c r="L31" s="720">
        <v>0.6</v>
      </c>
      <c r="M31" s="720">
        <v>209</v>
      </c>
      <c r="N31" s="720"/>
      <c r="O31" s="720"/>
      <c r="P31" s="716"/>
      <c r="Q31" s="721"/>
    </row>
    <row r="32" spans="1:17" ht="14.4" customHeight="1" x14ac:dyDescent="0.3">
      <c r="A32" s="710" t="s">
        <v>3063</v>
      </c>
      <c r="B32" s="711" t="s">
        <v>3400</v>
      </c>
      <c r="C32" s="711" t="s">
        <v>2907</v>
      </c>
      <c r="D32" s="711" t="s">
        <v>3415</v>
      </c>
      <c r="E32" s="711" t="s">
        <v>3416</v>
      </c>
      <c r="F32" s="720">
        <v>1</v>
      </c>
      <c r="G32" s="720">
        <v>66</v>
      </c>
      <c r="H32" s="720">
        <v>1</v>
      </c>
      <c r="I32" s="720">
        <v>66</v>
      </c>
      <c r="J32" s="720"/>
      <c r="K32" s="720"/>
      <c r="L32" s="720"/>
      <c r="M32" s="720"/>
      <c r="N32" s="720">
        <v>2</v>
      </c>
      <c r="O32" s="720">
        <v>132</v>
      </c>
      <c r="P32" s="716">
        <v>2</v>
      </c>
      <c r="Q32" s="721">
        <v>66</v>
      </c>
    </row>
    <row r="33" spans="1:17" ht="14.4" customHeight="1" x14ac:dyDescent="0.3">
      <c r="A33" s="710" t="s">
        <v>3063</v>
      </c>
      <c r="B33" s="711" t="s">
        <v>3400</v>
      </c>
      <c r="C33" s="711" t="s">
        <v>2907</v>
      </c>
      <c r="D33" s="711" t="s">
        <v>3417</v>
      </c>
      <c r="E33" s="711" t="s">
        <v>3418</v>
      </c>
      <c r="F33" s="720">
        <v>31</v>
      </c>
      <c r="G33" s="720">
        <v>713</v>
      </c>
      <c r="H33" s="720">
        <v>1</v>
      </c>
      <c r="I33" s="720">
        <v>23</v>
      </c>
      <c r="J33" s="720">
        <v>21</v>
      </c>
      <c r="K33" s="720">
        <v>504</v>
      </c>
      <c r="L33" s="720">
        <v>0.70687237026647964</v>
      </c>
      <c r="M33" s="720">
        <v>24</v>
      </c>
      <c r="N33" s="720">
        <v>9</v>
      </c>
      <c r="O33" s="720">
        <v>216</v>
      </c>
      <c r="P33" s="716">
        <v>0.30294530154277699</v>
      </c>
      <c r="Q33" s="721">
        <v>24</v>
      </c>
    </row>
    <row r="34" spans="1:17" ht="14.4" customHeight="1" x14ac:dyDescent="0.3">
      <c r="A34" s="710" t="s">
        <v>3063</v>
      </c>
      <c r="B34" s="711" t="s">
        <v>3400</v>
      </c>
      <c r="C34" s="711" t="s">
        <v>2907</v>
      </c>
      <c r="D34" s="711" t="s">
        <v>3419</v>
      </c>
      <c r="E34" s="711" t="s">
        <v>3420</v>
      </c>
      <c r="F34" s="720"/>
      <c r="G34" s="720"/>
      <c r="H34" s="720"/>
      <c r="I34" s="720"/>
      <c r="J34" s="720"/>
      <c r="K34" s="720"/>
      <c r="L34" s="720"/>
      <c r="M34" s="720"/>
      <c r="N34" s="720">
        <v>1</v>
      </c>
      <c r="O34" s="720">
        <v>180</v>
      </c>
      <c r="P34" s="716"/>
      <c r="Q34" s="721">
        <v>180</v>
      </c>
    </row>
    <row r="35" spans="1:17" ht="14.4" customHeight="1" x14ac:dyDescent="0.3">
      <c r="A35" s="710" t="s">
        <v>3063</v>
      </c>
      <c r="B35" s="711" t="s">
        <v>3400</v>
      </c>
      <c r="C35" s="711" t="s">
        <v>2907</v>
      </c>
      <c r="D35" s="711" t="s">
        <v>3421</v>
      </c>
      <c r="E35" s="711" t="s">
        <v>3422</v>
      </c>
      <c r="F35" s="720"/>
      <c r="G35" s="720"/>
      <c r="H35" s="720"/>
      <c r="I35" s="720"/>
      <c r="J35" s="720">
        <v>1</v>
      </c>
      <c r="K35" s="720">
        <v>253</v>
      </c>
      <c r="L35" s="720"/>
      <c r="M35" s="720">
        <v>253</v>
      </c>
      <c r="N35" s="720">
        <v>5</v>
      </c>
      <c r="O35" s="720">
        <v>1265</v>
      </c>
      <c r="P35" s="716"/>
      <c r="Q35" s="721">
        <v>253</v>
      </c>
    </row>
    <row r="36" spans="1:17" ht="14.4" customHeight="1" x14ac:dyDescent="0.3">
      <c r="A36" s="710" t="s">
        <v>3063</v>
      </c>
      <c r="B36" s="711" t="s">
        <v>3400</v>
      </c>
      <c r="C36" s="711" t="s">
        <v>2907</v>
      </c>
      <c r="D36" s="711" t="s">
        <v>3423</v>
      </c>
      <c r="E36" s="711" t="s">
        <v>3424</v>
      </c>
      <c r="F36" s="720"/>
      <c r="G36" s="720"/>
      <c r="H36" s="720"/>
      <c r="I36" s="720"/>
      <c r="J36" s="720">
        <v>2</v>
      </c>
      <c r="K36" s="720">
        <v>432</v>
      </c>
      <c r="L36" s="720"/>
      <c r="M36" s="720">
        <v>216</v>
      </c>
      <c r="N36" s="720">
        <v>1</v>
      </c>
      <c r="O36" s="720">
        <v>216</v>
      </c>
      <c r="P36" s="716"/>
      <c r="Q36" s="721">
        <v>216</v>
      </c>
    </row>
    <row r="37" spans="1:17" ht="14.4" customHeight="1" x14ac:dyDescent="0.3">
      <c r="A37" s="710" t="s">
        <v>3063</v>
      </c>
      <c r="B37" s="711" t="s">
        <v>3400</v>
      </c>
      <c r="C37" s="711" t="s">
        <v>2907</v>
      </c>
      <c r="D37" s="711" t="s">
        <v>3425</v>
      </c>
      <c r="E37" s="711" t="s">
        <v>3426</v>
      </c>
      <c r="F37" s="720">
        <v>2</v>
      </c>
      <c r="G37" s="720">
        <v>100</v>
      </c>
      <c r="H37" s="720">
        <v>1</v>
      </c>
      <c r="I37" s="720">
        <v>50</v>
      </c>
      <c r="J37" s="720">
        <v>2</v>
      </c>
      <c r="K37" s="720">
        <v>100</v>
      </c>
      <c r="L37" s="720">
        <v>1</v>
      </c>
      <c r="M37" s="720">
        <v>50</v>
      </c>
      <c r="N37" s="720"/>
      <c r="O37" s="720"/>
      <c r="P37" s="716"/>
      <c r="Q37" s="721"/>
    </row>
    <row r="38" spans="1:17" ht="14.4" customHeight="1" x14ac:dyDescent="0.3">
      <c r="A38" s="710" t="s">
        <v>3063</v>
      </c>
      <c r="B38" s="711" t="s">
        <v>3400</v>
      </c>
      <c r="C38" s="711" t="s">
        <v>2907</v>
      </c>
      <c r="D38" s="711" t="s">
        <v>3427</v>
      </c>
      <c r="E38" s="711" t="s">
        <v>3428</v>
      </c>
      <c r="F38" s="720"/>
      <c r="G38" s="720"/>
      <c r="H38" s="720"/>
      <c r="I38" s="720"/>
      <c r="J38" s="720">
        <v>2</v>
      </c>
      <c r="K38" s="720">
        <v>770</v>
      </c>
      <c r="L38" s="720"/>
      <c r="M38" s="720">
        <v>385</v>
      </c>
      <c r="N38" s="720"/>
      <c r="O38" s="720"/>
      <c r="P38" s="716"/>
      <c r="Q38" s="721"/>
    </row>
    <row r="39" spans="1:17" ht="14.4" customHeight="1" x14ac:dyDescent="0.3">
      <c r="A39" s="710" t="s">
        <v>3429</v>
      </c>
      <c r="B39" s="711" t="s">
        <v>3430</v>
      </c>
      <c r="C39" s="711" t="s">
        <v>2907</v>
      </c>
      <c r="D39" s="711" t="s">
        <v>3431</v>
      </c>
      <c r="E39" s="711" t="s">
        <v>3432</v>
      </c>
      <c r="F39" s="720">
        <v>8</v>
      </c>
      <c r="G39" s="720">
        <v>216</v>
      </c>
      <c r="H39" s="720">
        <v>1</v>
      </c>
      <c r="I39" s="720">
        <v>27</v>
      </c>
      <c r="J39" s="720">
        <v>5</v>
      </c>
      <c r="K39" s="720">
        <v>135</v>
      </c>
      <c r="L39" s="720">
        <v>0.625</v>
      </c>
      <c r="M39" s="720">
        <v>27</v>
      </c>
      <c r="N39" s="720">
        <v>10</v>
      </c>
      <c r="O39" s="720">
        <v>270</v>
      </c>
      <c r="P39" s="716">
        <v>1.25</v>
      </c>
      <c r="Q39" s="721">
        <v>27</v>
      </c>
    </row>
    <row r="40" spans="1:17" ht="14.4" customHeight="1" x14ac:dyDescent="0.3">
      <c r="A40" s="710" t="s">
        <v>3429</v>
      </c>
      <c r="B40" s="711" t="s">
        <v>3430</v>
      </c>
      <c r="C40" s="711" t="s">
        <v>2907</v>
      </c>
      <c r="D40" s="711" t="s">
        <v>3433</v>
      </c>
      <c r="E40" s="711" t="s">
        <v>3434</v>
      </c>
      <c r="F40" s="720">
        <v>2</v>
      </c>
      <c r="G40" s="720">
        <v>108</v>
      </c>
      <c r="H40" s="720">
        <v>1</v>
      </c>
      <c r="I40" s="720">
        <v>54</v>
      </c>
      <c r="J40" s="720"/>
      <c r="K40" s="720"/>
      <c r="L40" s="720"/>
      <c r="M40" s="720"/>
      <c r="N40" s="720">
        <v>2</v>
      </c>
      <c r="O40" s="720">
        <v>108</v>
      </c>
      <c r="P40" s="716">
        <v>1</v>
      </c>
      <c r="Q40" s="721">
        <v>54</v>
      </c>
    </row>
    <row r="41" spans="1:17" ht="14.4" customHeight="1" x14ac:dyDescent="0.3">
      <c r="A41" s="710" t="s">
        <v>3429</v>
      </c>
      <c r="B41" s="711" t="s">
        <v>3430</v>
      </c>
      <c r="C41" s="711" t="s">
        <v>2907</v>
      </c>
      <c r="D41" s="711" t="s">
        <v>3435</v>
      </c>
      <c r="E41" s="711" t="s">
        <v>3436</v>
      </c>
      <c r="F41" s="720">
        <v>6</v>
      </c>
      <c r="G41" s="720">
        <v>144</v>
      </c>
      <c r="H41" s="720">
        <v>1</v>
      </c>
      <c r="I41" s="720">
        <v>24</v>
      </c>
      <c r="J41" s="720">
        <v>4</v>
      </c>
      <c r="K41" s="720">
        <v>96</v>
      </c>
      <c r="L41" s="720">
        <v>0.66666666666666663</v>
      </c>
      <c r="M41" s="720">
        <v>24</v>
      </c>
      <c r="N41" s="720">
        <v>9</v>
      </c>
      <c r="O41" s="720">
        <v>216</v>
      </c>
      <c r="P41" s="716">
        <v>1.5</v>
      </c>
      <c r="Q41" s="721">
        <v>24</v>
      </c>
    </row>
    <row r="42" spans="1:17" ht="14.4" customHeight="1" x14ac:dyDescent="0.3">
      <c r="A42" s="710" t="s">
        <v>3429</v>
      </c>
      <c r="B42" s="711" t="s">
        <v>3430</v>
      </c>
      <c r="C42" s="711" t="s">
        <v>2907</v>
      </c>
      <c r="D42" s="711" t="s">
        <v>3437</v>
      </c>
      <c r="E42" s="711" t="s">
        <v>3438</v>
      </c>
      <c r="F42" s="720">
        <v>16</v>
      </c>
      <c r="G42" s="720">
        <v>432</v>
      </c>
      <c r="H42" s="720">
        <v>1</v>
      </c>
      <c r="I42" s="720">
        <v>27</v>
      </c>
      <c r="J42" s="720">
        <v>17</v>
      </c>
      <c r="K42" s="720">
        <v>459</v>
      </c>
      <c r="L42" s="720">
        <v>1.0625</v>
      </c>
      <c r="M42" s="720">
        <v>27</v>
      </c>
      <c r="N42" s="720">
        <v>16</v>
      </c>
      <c r="O42" s="720">
        <v>432</v>
      </c>
      <c r="P42" s="716">
        <v>1</v>
      </c>
      <c r="Q42" s="721">
        <v>27</v>
      </c>
    </row>
    <row r="43" spans="1:17" ht="14.4" customHeight="1" x14ac:dyDescent="0.3">
      <c r="A43" s="710" t="s">
        <v>3429</v>
      </c>
      <c r="B43" s="711" t="s">
        <v>3430</v>
      </c>
      <c r="C43" s="711" t="s">
        <v>2907</v>
      </c>
      <c r="D43" s="711" t="s">
        <v>3439</v>
      </c>
      <c r="E43" s="711" t="s">
        <v>3440</v>
      </c>
      <c r="F43" s="720">
        <v>8</v>
      </c>
      <c r="G43" s="720">
        <v>216</v>
      </c>
      <c r="H43" s="720">
        <v>1</v>
      </c>
      <c r="I43" s="720">
        <v>27</v>
      </c>
      <c r="J43" s="720">
        <v>2</v>
      </c>
      <c r="K43" s="720">
        <v>54</v>
      </c>
      <c r="L43" s="720">
        <v>0.25</v>
      </c>
      <c r="M43" s="720">
        <v>27</v>
      </c>
      <c r="N43" s="720">
        <v>9</v>
      </c>
      <c r="O43" s="720">
        <v>243</v>
      </c>
      <c r="P43" s="716">
        <v>1.125</v>
      </c>
      <c r="Q43" s="721">
        <v>27</v>
      </c>
    </row>
    <row r="44" spans="1:17" ht="14.4" customHeight="1" x14ac:dyDescent="0.3">
      <c r="A44" s="710" t="s">
        <v>3429</v>
      </c>
      <c r="B44" s="711" t="s">
        <v>3430</v>
      </c>
      <c r="C44" s="711" t="s">
        <v>2907</v>
      </c>
      <c r="D44" s="711" t="s">
        <v>3441</v>
      </c>
      <c r="E44" s="711" t="s">
        <v>3442</v>
      </c>
      <c r="F44" s="720">
        <v>18</v>
      </c>
      <c r="G44" s="720">
        <v>396</v>
      </c>
      <c r="H44" s="720">
        <v>1</v>
      </c>
      <c r="I44" s="720">
        <v>22</v>
      </c>
      <c r="J44" s="720">
        <v>23</v>
      </c>
      <c r="K44" s="720">
        <v>506</v>
      </c>
      <c r="L44" s="720">
        <v>1.2777777777777777</v>
      </c>
      <c r="M44" s="720">
        <v>22</v>
      </c>
      <c r="N44" s="720">
        <v>17</v>
      </c>
      <c r="O44" s="720">
        <v>374</v>
      </c>
      <c r="P44" s="716">
        <v>0.94444444444444442</v>
      </c>
      <c r="Q44" s="721">
        <v>22</v>
      </c>
    </row>
    <row r="45" spans="1:17" ht="14.4" customHeight="1" x14ac:dyDescent="0.3">
      <c r="A45" s="710" t="s">
        <v>3429</v>
      </c>
      <c r="B45" s="711" t="s">
        <v>3430</v>
      </c>
      <c r="C45" s="711" t="s">
        <v>2907</v>
      </c>
      <c r="D45" s="711" t="s">
        <v>3443</v>
      </c>
      <c r="E45" s="711" t="s">
        <v>3444</v>
      </c>
      <c r="F45" s="720"/>
      <c r="G45" s="720"/>
      <c r="H45" s="720"/>
      <c r="I45" s="720"/>
      <c r="J45" s="720"/>
      <c r="K45" s="720"/>
      <c r="L45" s="720"/>
      <c r="M45" s="720"/>
      <c r="N45" s="720">
        <v>1</v>
      </c>
      <c r="O45" s="720">
        <v>68</v>
      </c>
      <c r="P45" s="716"/>
      <c r="Q45" s="721">
        <v>68</v>
      </c>
    </row>
    <row r="46" spans="1:17" ht="14.4" customHeight="1" x14ac:dyDescent="0.3">
      <c r="A46" s="710" t="s">
        <v>3429</v>
      </c>
      <c r="B46" s="711" t="s">
        <v>3430</v>
      </c>
      <c r="C46" s="711" t="s">
        <v>2907</v>
      </c>
      <c r="D46" s="711" t="s">
        <v>3445</v>
      </c>
      <c r="E46" s="711" t="s">
        <v>3446</v>
      </c>
      <c r="F46" s="720"/>
      <c r="G46" s="720"/>
      <c r="H46" s="720"/>
      <c r="I46" s="720"/>
      <c r="J46" s="720">
        <v>3</v>
      </c>
      <c r="K46" s="720">
        <v>186</v>
      </c>
      <c r="L46" s="720"/>
      <c r="M46" s="720">
        <v>62</v>
      </c>
      <c r="N46" s="720"/>
      <c r="O46" s="720"/>
      <c r="P46" s="716"/>
      <c r="Q46" s="721"/>
    </row>
    <row r="47" spans="1:17" ht="14.4" customHeight="1" x14ac:dyDescent="0.3">
      <c r="A47" s="710" t="s">
        <v>3429</v>
      </c>
      <c r="B47" s="711" t="s">
        <v>3430</v>
      </c>
      <c r="C47" s="711" t="s">
        <v>2907</v>
      </c>
      <c r="D47" s="711" t="s">
        <v>3447</v>
      </c>
      <c r="E47" s="711" t="s">
        <v>3448</v>
      </c>
      <c r="F47" s="720"/>
      <c r="G47" s="720"/>
      <c r="H47" s="720"/>
      <c r="I47" s="720"/>
      <c r="J47" s="720">
        <v>1</v>
      </c>
      <c r="K47" s="720">
        <v>61</v>
      </c>
      <c r="L47" s="720"/>
      <c r="M47" s="720">
        <v>61</v>
      </c>
      <c r="N47" s="720">
        <v>3</v>
      </c>
      <c r="O47" s="720">
        <v>183</v>
      </c>
      <c r="P47" s="716"/>
      <c r="Q47" s="721">
        <v>61</v>
      </c>
    </row>
    <row r="48" spans="1:17" ht="14.4" customHeight="1" x14ac:dyDescent="0.3">
      <c r="A48" s="710" t="s">
        <v>3429</v>
      </c>
      <c r="B48" s="711" t="s">
        <v>3430</v>
      </c>
      <c r="C48" s="711" t="s">
        <v>2907</v>
      </c>
      <c r="D48" s="711" t="s">
        <v>3449</v>
      </c>
      <c r="E48" s="711" t="s">
        <v>3450</v>
      </c>
      <c r="F48" s="720">
        <v>2</v>
      </c>
      <c r="G48" s="720">
        <v>788</v>
      </c>
      <c r="H48" s="720">
        <v>1</v>
      </c>
      <c r="I48" s="720">
        <v>394</v>
      </c>
      <c r="J48" s="720">
        <v>1</v>
      </c>
      <c r="K48" s="720">
        <v>394</v>
      </c>
      <c r="L48" s="720">
        <v>0.5</v>
      </c>
      <c r="M48" s="720">
        <v>394</v>
      </c>
      <c r="N48" s="720"/>
      <c r="O48" s="720"/>
      <c r="P48" s="716"/>
      <c r="Q48" s="721"/>
    </row>
    <row r="49" spans="1:17" ht="14.4" customHeight="1" x14ac:dyDescent="0.3">
      <c r="A49" s="710" t="s">
        <v>3429</v>
      </c>
      <c r="B49" s="711" t="s">
        <v>3430</v>
      </c>
      <c r="C49" s="711" t="s">
        <v>2907</v>
      </c>
      <c r="D49" s="711" t="s">
        <v>3451</v>
      </c>
      <c r="E49" s="711" t="s">
        <v>3452</v>
      </c>
      <c r="F49" s="720">
        <v>6</v>
      </c>
      <c r="G49" s="720">
        <v>5922</v>
      </c>
      <c r="H49" s="720">
        <v>1</v>
      </c>
      <c r="I49" s="720">
        <v>987</v>
      </c>
      <c r="J49" s="720">
        <v>13</v>
      </c>
      <c r="K49" s="720">
        <v>12831</v>
      </c>
      <c r="L49" s="720">
        <v>2.1666666666666665</v>
      </c>
      <c r="M49" s="720">
        <v>987</v>
      </c>
      <c r="N49" s="720">
        <v>8</v>
      </c>
      <c r="O49" s="720">
        <v>7896</v>
      </c>
      <c r="P49" s="716">
        <v>1.3333333333333333</v>
      </c>
      <c r="Q49" s="721">
        <v>987</v>
      </c>
    </row>
    <row r="50" spans="1:17" ht="14.4" customHeight="1" x14ac:dyDescent="0.3">
      <c r="A50" s="710" t="s">
        <v>3429</v>
      </c>
      <c r="B50" s="711" t="s">
        <v>3430</v>
      </c>
      <c r="C50" s="711" t="s">
        <v>2907</v>
      </c>
      <c r="D50" s="711" t="s">
        <v>3453</v>
      </c>
      <c r="E50" s="711" t="s">
        <v>3454</v>
      </c>
      <c r="F50" s="720"/>
      <c r="G50" s="720"/>
      <c r="H50" s="720"/>
      <c r="I50" s="720"/>
      <c r="J50" s="720">
        <v>1</v>
      </c>
      <c r="K50" s="720">
        <v>191</v>
      </c>
      <c r="L50" s="720"/>
      <c r="M50" s="720">
        <v>191</v>
      </c>
      <c r="N50" s="720"/>
      <c r="O50" s="720"/>
      <c r="P50" s="716"/>
      <c r="Q50" s="721"/>
    </row>
    <row r="51" spans="1:17" ht="14.4" customHeight="1" x14ac:dyDescent="0.3">
      <c r="A51" s="710" t="s">
        <v>3429</v>
      </c>
      <c r="B51" s="711" t="s">
        <v>3430</v>
      </c>
      <c r="C51" s="711" t="s">
        <v>2907</v>
      </c>
      <c r="D51" s="711" t="s">
        <v>3455</v>
      </c>
      <c r="E51" s="711" t="s">
        <v>3456</v>
      </c>
      <c r="F51" s="720"/>
      <c r="G51" s="720"/>
      <c r="H51" s="720"/>
      <c r="I51" s="720"/>
      <c r="J51" s="720">
        <v>1</v>
      </c>
      <c r="K51" s="720">
        <v>82</v>
      </c>
      <c r="L51" s="720"/>
      <c r="M51" s="720">
        <v>82</v>
      </c>
      <c r="N51" s="720">
        <v>1</v>
      </c>
      <c r="O51" s="720">
        <v>82</v>
      </c>
      <c r="P51" s="716"/>
      <c r="Q51" s="721">
        <v>82</v>
      </c>
    </row>
    <row r="52" spans="1:17" ht="14.4" customHeight="1" x14ac:dyDescent="0.3">
      <c r="A52" s="710" t="s">
        <v>3429</v>
      </c>
      <c r="B52" s="711" t="s">
        <v>3430</v>
      </c>
      <c r="C52" s="711" t="s">
        <v>2907</v>
      </c>
      <c r="D52" s="711" t="s">
        <v>3457</v>
      </c>
      <c r="E52" s="711" t="s">
        <v>3458</v>
      </c>
      <c r="F52" s="720">
        <v>1</v>
      </c>
      <c r="G52" s="720">
        <v>63</v>
      </c>
      <c r="H52" s="720">
        <v>1</v>
      </c>
      <c r="I52" s="720">
        <v>63</v>
      </c>
      <c r="J52" s="720"/>
      <c r="K52" s="720"/>
      <c r="L52" s="720"/>
      <c r="M52" s="720"/>
      <c r="N52" s="720"/>
      <c r="O52" s="720"/>
      <c r="P52" s="716"/>
      <c r="Q52" s="721"/>
    </row>
    <row r="53" spans="1:17" ht="14.4" customHeight="1" x14ac:dyDescent="0.3">
      <c r="A53" s="710" t="s">
        <v>3429</v>
      </c>
      <c r="B53" s="711" t="s">
        <v>3430</v>
      </c>
      <c r="C53" s="711" t="s">
        <v>2907</v>
      </c>
      <c r="D53" s="711" t="s">
        <v>3459</v>
      </c>
      <c r="E53" s="711" t="s">
        <v>3460</v>
      </c>
      <c r="F53" s="720">
        <v>5</v>
      </c>
      <c r="G53" s="720">
        <v>85</v>
      </c>
      <c r="H53" s="720">
        <v>1</v>
      </c>
      <c r="I53" s="720">
        <v>17</v>
      </c>
      <c r="J53" s="720">
        <v>6</v>
      </c>
      <c r="K53" s="720">
        <v>102</v>
      </c>
      <c r="L53" s="720">
        <v>1.2</v>
      </c>
      <c r="M53" s="720">
        <v>17</v>
      </c>
      <c r="N53" s="720"/>
      <c r="O53" s="720"/>
      <c r="P53" s="716"/>
      <c r="Q53" s="721"/>
    </row>
    <row r="54" spans="1:17" ht="14.4" customHeight="1" x14ac:dyDescent="0.3">
      <c r="A54" s="710" t="s">
        <v>3429</v>
      </c>
      <c r="B54" s="711" t="s">
        <v>3430</v>
      </c>
      <c r="C54" s="711" t="s">
        <v>2907</v>
      </c>
      <c r="D54" s="711" t="s">
        <v>3461</v>
      </c>
      <c r="E54" s="711" t="s">
        <v>3462</v>
      </c>
      <c r="F54" s="720">
        <v>1</v>
      </c>
      <c r="G54" s="720">
        <v>47</v>
      </c>
      <c r="H54" s="720">
        <v>1</v>
      </c>
      <c r="I54" s="720">
        <v>47</v>
      </c>
      <c r="J54" s="720">
        <v>1</v>
      </c>
      <c r="K54" s="720">
        <v>47</v>
      </c>
      <c r="L54" s="720">
        <v>1</v>
      </c>
      <c r="M54" s="720">
        <v>47</v>
      </c>
      <c r="N54" s="720"/>
      <c r="O54" s="720"/>
      <c r="P54" s="716"/>
      <c r="Q54" s="721"/>
    </row>
    <row r="55" spans="1:17" ht="14.4" customHeight="1" x14ac:dyDescent="0.3">
      <c r="A55" s="710" t="s">
        <v>3429</v>
      </c>
      <c r="B55" s="711" t="s">
        <v>3430</v>
      </c>
      <c r="C55" s="711" t="s">
        <v>2907</v>
      </c>
      <c r="D55" s="711" t="s">
        <v>3463</v>
      </c>
      <c r="E55" s="711" t="s">
        <v>3464</v>
      </c>
      <c r="F55" s="720">
        <v>3</v>
      </c>
      <c r="G55" s="720">
        <v>180</v>
      </c>
      <c r="H55" s="720">
        <v>1</v>
      </c>
      <c r="I55" s="720">
        <v>60</v>
      </c>
      <c r="J55" s="720">
        <v>1</v>
      </c>
      <c r="K55" s="720">
        <v>60</v>
      </c>
      <c r="L55" s="720">
        <v>0.33333333333333331</v>
      </c>
      <c r="M55" s="720">
        <v>60</v>
      </c>
      <c r="N55" s="720">
        <v>2</v>
      </c>
      <c r="O55" s="720">
        <v>120</v>
      </c>
      <c r="P55" s="716">
        <v>0.66666666666666663</v>
      </c>
      <c r="Q55" s="721">
        <v>60</v>
      </c>
    </row>
    <row r="56" spans="1:17" ht="14.4" customHeight="1" x14ac:dyDescent="0.3">
      <c r="A56" s="710" t="s">
        <v>3429</v>
      </c>
      <c r="B56" s="711" t="s">
        <v>3430</v>
      </c>
      <c r="C56" s="711" t="s">
        <v>2907</v>
      </c>
      <c r="D56" s="711" t="s">
        <v>3465</v>
      </c>
      <c r="E56" s="711" t="s">
        <v>3466</v>
      </c>
      <c r="F56" s="720">
        <v>2</v>
      </c>
      <c r="G56" s="720">
        <v>122</v>
      </c>
      <c r="H56" s="720">
        <v>1</v>
      </c>
      <c r="I56" s="720">
        <v>61</v>
      </c>
      <c r="J56" s="720"/>
      <c r="K56" s="720"/>
      <c r="L56" s="720"/>
      <c r="M56" s="720"/>
      <c r="N56" s="720"/>
      <c r="O56" s="720"/>
      <c r="P56" s="716"/>
      <c r="Q56" s="721"/>
    </row>
    <row r="57" spans="1:17" ht="14.4" customHeight="1" x14ac:dyDescent="0.3">
      <c r="A57" s="710" t="s">
        <v>3429</v>
      </c>
      <c r="B57" s="711" t="s">
        <v>3430</v>
      </c>
      <c r="C57" s="711" t="s">
        <v>2907</v>
      </c>
      <c r="D57" s="711" t="s">
        <v>3467</v>
      </c>
      <c r="E57" s="711" t="s">
        <v>3468</v>
      </c>
      <c r="F57" s="720">
        <v>44</v>
      </c>
      <c r="G57" s="720">
        <v>836</v>
      </c>
      <c r="H57" s="720">
        <v>1</v>
      </c>
      <c r="I57" s="720">
        <v>19</v>
      </c>
      <c r="J57" s="720">
        <v>21</v>
      </c>
      <c r="K57" s="720">
        <v>399</v>
      </c>
      <c r="L57" s="720">
        <v>0.47727272727272729</v>
      </c>
      <c r="M57" s="720">
        <v>19</v>
      </c>
      <c r="N57" s="720">
        <v>32</v>
      </c>
      <c r="O57" s="720">
        <v>608</v>
      </c>
      <c r="P57" s="716">
        <v>0.72727272727272729</v>
      </c>
      <c r="Q57" s="721">
        <v>19</v>
      </c>
    </row>
    <row r="58" spans="1:17" ht="14.4" customHeight="1" x14ac:dyDescent="0.3">
      <c r="A58" s="710" t="s">
        <v>3429</v>
      </c>
      <c r="B58" s="711" t="s">
        <v>3430</v>
      </c>
      <c r="C58" s="711" t="s">
        <v>2907</v>
      </c>
      <c r="D58" s="711" t="s">
        <v>3469</v>
      </c>
      <c r="E58" s="711" t="s">
        <v>3470</v>
      </c>
      <c r="F58" s="720">
        <v>36</v>
      </c>
      <c r="G58" s="720">
        <v>51948</v>
      </c>
      <c r="H58" s="720">
        <v>1</v>
      </c>
      <c r="I58" s="720">
        <v>1443</v>
      </c>
      <c r="J58" s="720">
        <v>5</v>
      </c>
      <c r="K58" s="720">
        <v>7235</v>
      </c>
      <c r="L58" s="720">
        <v>0.13927388927388928</v>
      </c>
      <c r="M58" s="720">
        <v>1447</v>
      </c>
      <c r="N58" s="720">
        <v>24</v>
      </c>
      <c r="O58" s="720">
        <v>34728</v>
      </c>
      <c r="P58" s="716">
        <v>0.66851466851466856</v>
      </c>
      <c r="Q58" s="721">
        <v>1447</v>
      </c>
    </row>
    <row r="59" spans="1:17" ht="14.4" customHeight="1" x14ac:dyDescent="0.3">
      <c r="A59" s="710" t="s">
        <v>3429</v>
      </c>
      <c r="B59" s="711" t="s">
        <v>3430</v>
      </c>
      <c r="C59" s="711" t="s">
        <v>2907</v>
      </c>
      <c r="D59" s="711" t="s">
        <v>3471</v>
      </c>
      <c r="E59" s="711" t="s">
        <v>3472</v>
      </c>
      <c r="F59" s="720">
        <v>1</v>
      </c>
      <c r="G59" s="720">
        <v>461</v>
      </c>
      <c r="H59" s="720">
        <v>1</v>
      </c>
      <c r="I59" s="720">
        <v>461</v>
      </c>
      <c r="J59" s="720"/>
      <c r="K59" s="720"/>
      <c r="L59" s="720"/>
      <c r="M59" s="720"/>
      <c r="N59" s="720"/>
      <c r="O59" s="720"/>
      <c r="P59" s="716"/>
      <c r="Q59" s="721"/>
    </row>
    <row r="60" spans="1:17" ht="14.4" customHeight="1" x14ac:dyDescent="0.3">
      <c r="A60" s="710" t="s">
        <v>3429</v>
      </c>
      <c r="B60" s="711" t="s">
        <v>3430</v>
      </c>
      <c r="C60" s="711" t="s">
        <v>2907</v>
      </c>
      <c r="D60" s="711" t="s">
        <v>3473</v>
      </c>
      <c r="E60" s="711" t="s">
        <v>3474</v>
      </c>
      <c r="F60" s="720">
        <v>5</v>
      </c>
      <c r="G60" s="720">
        <v>4250</v>
      </c>
      <c r="H60" s="720">
        <v>1</v>
      </c>
      <c r="I60" s="720">
        <v>850</v>
      </c>
      <c r="J60" s="720"/>
      <c r="K60" s="720"/>
      <c r="L60" s="720"/>
      <c r="M60" s="720"/>
      <c r="N60" s="720"/>
      <c r="O60" s="720"/>
      <c r="P60" s="716"/>
      <c r="Q60" s="721"/>
    </row>
    <row r="61" spans="1:17" ht="14.4" customHeight="1" x14ac:dyDescent="0.3">
      <c r="A61" s="710" t="s">
        <v>3429</v>
      </c>
      <c r="B61" s="711" t="s">
        <v>3430</v>
      </c>
      <c r="C61" s="711" t="s">
        <v>2907</v>
      </c>
      <c r="D61" s="711" t="s">
        <v>3475</v>
      </c>
      <c r="E61" s="711" t="s">
        <v>3476</v>
      </c>
      <c r="F61" s="720">
        <v>1</v>
      </c>
      <c r="G61" s="720">
        <v>166</v>
      </c>
      <c r="H61" s="720">
        <v>1</v>
      </c>
      <c r="I61" s="720">
        <v>166</v>
      </c>
      <c r="J61" s="720"/>
      <c r="K61" s="720"/>
      <c r="L61" s="720"/>
      <c r="M61" s="720"/>
      <c r="N61" s="720"/>
      <c r="O61" s="720"/>
      <c r="P61" s="716"/>
      <c r="Q61" s="721"/>
    </row>
    <row r="62" spans="1:17" ht="14.4" customHeight="1" x14ac:dyDescent="0.3">
      <c r="A62" s="710" t="s">
        <v>3429</v>
      </c>
      <c r="B62" s="711" t="s">
        <v>3430</v>
      </c>
      <c r="C62" s="711" t="s">
        <v>2907</v>
      </c>
      <c r="D62" s="711" t="s">
        <v>3477</v>
      </c>
      <c r="E62" s="711" t="s">
        <v>3478</v>
      </c>
      <c r="F62" s="720"/>
      <c r="G62" s="720"/>
      <c r="H62" s="720"/>
      <c r="I62" s="720"/>
      <c r="J62" s="720"/>
      <c r="K62" s="720"/>
      <c r="L62" s="720"/>
      <c r="M62" s="720"/>
      <c r="N62" s="720">
        <v>1</v>
      </c>
      <c r="O62" s="720">
        <v>165</v>
      </c>
      <c r="P62" s="716"/>
      <c r="Q62" s="721">
        <v>165</v>
      </c>
    </row>
    <row r="63" spans="1:17" ht="14.4" customHeight="1" x14ac:dyDescent="0.3">
      <c r="A63" s="710" t="s">
        <v>3429</v>
      </c>
      <c r="B63" s="711" t="s">
        <v>3430</v>
      </c>
      <c r="C63" s="711" t="s">
        <v>2907</v>
      </c>
      <c r="D63" s="711" t="s">
        <v>3479</v>
      </c>
      <c r="E63" s="711" t="s">
        <v>3480</v>
      </c>
      <c r="F63" s="720">
        <v>16</v>
      </c>
      <c r="G63" s="720">
        <v>3616</v>
      </c>
      <c r="H63" s="720">
        <v>1</v>
      </c>
      <c r="I63" s="720">
        <v>226</v>
      </c>
      <c r="J63" s="720">
        <v>2</v>
      </c>
      <c r="K63" s="720">
        <v>454</v>
      </c>
      <c r="L63" s="720">
        <v>0.12555309734513273</v>
      </c>
      <c r="M63" s="720">
        <v>227</v>
      </c>
      <c r="N63" s="720">
        <v>11</v>
      </c>
      <c r="O63" s="720">
        <v>2497</v>
      </c>
      <c r="P63" s="716">
        <v>0.69054203539823011</v>
      </c>
      <c r="Q63" s="721">
        <v>227</v>
      </c>
    </row>
    <row r="64" spans="1:17" ht="14.4" customHeight="1" x14ac:dyDescent="0.3">
      <c r="A64" s="710" t="s">
        <v>3429</v>
      </c>
      <c r="B64" s="711" t="s">
        <v>3430</v>
      </c>
      <c r="C64" s="711" t="s">
        <v>2907</v>
      </c>
      <c r="D64" s="711" t="s">
        <v>3481</v>
      </c>
      <c r="E64" s="711" t="s">
        <v>3482</v>
      </c>
      <c r="F64" s="720">
        <v>1</v>
      </c>
      <c r="G64" s="720">
        <v>559</v>
      </c>
      <c r="H64" s="720">
        <v>1</v>
      </c>
      <c r="I64" s="720">
        <v>559</v>
      </c>
      <c r="J64" s="720">
        <v>3</v>
      </c>
      <c r="K64" s="720">
        <v>1680</v>
      </c>
      <c r="L64" s="720">
        <v>3.005366726296959</v>
      </c>
      <c r="M64" s="720">
        <v>560</v>
      </c>
      <c r="N64" s="720">
        <v>1</v>
      </c>
      <c r="O64" s="720">
        <v>560</v>
      </c>
      <c r="P64" s="716">
        <v>1.0017889087656529</v>
      </c>
      <c r="Q64" s="721">
        <v>560</v>
      </c>
    </row>
    <row r="65" spans="1:17" ht="14.4" customHeight="1" x14ac:dyDescent="0.3">
      <c r="A65" s="710" t="s">
        <v>3429</v>
      </c>
      <c r="B65" s="711" t="s">
        <v>3430</v>
      </c>
      <c r="C65" s="711" t="s">
        <v>2907</v>
      </c>
      <c r="D65" s="711" t="s">
        <v>3483</v>
      </c>
      <c r="E65" s="711" t="s">
        <v>3484</v>
      </c>
      <c r="F65" s="720">
        <v>3</v>
      </c>
      <c r="G65" s="720">
        <v>390</v>
      </c>
      <c r="H65" s="720">
        <v>1</v>
      </c>
      <c r="I65" s="720">
        <v>130</v>
      </c>
      <c r="J65" s="720"/>
      <c r="K65" s="720"/>
      <c r="L65" s="720"/>
      <c r="M65" s="720"/>
      <c r="N65" s="720">
        <v>1</v>
      </c>
      <c r="O65" s="720">
        <v>131</v>
      </c>
      <c r="P65" s="716">
        <v>0.33589743589743587</v>
      </c>
      <c r="Q65" s="721">
        <v>131</v>
      </c>
    </row>
    <row r="66" spans="1:17" ht="14.4" customHeight="1" x14ac:dyDescent="0.3">
      <c r="A66" s="710" t="s">
        <v>3429</v>
      </c>
      <c r="B66" s="711" t="s">
        <v>3430</v>
      </c>
      <c r="C66" s="711" t="s">
        <v>2907</v>
      </c>
      <c r="D66" s="711" t="s">
        <v>3485</v>
      </c>
      <c r="E66" s="711" t="s">
        <v>3486</v>
      </c>
      <c r="F66" s="720"/>
      <c r="G66" s="720"/>
      <c r="H66" s="720"/>
      <c r="I66" s="720"/>
      <c r="J66" s="720">
        <v>1</v>
      </c>
      <c r="K66" s="720">
        <v>88</v>
      </c>
      <c r="L66" s="720"/>
      <c r="M66" s="720">
        <v>88</v>
      </c>
      <c r="N66" s="720"/>
      <c r="O66" s="720"/>
      <c r="P66" s="716"/>
      <c r="Q66" s="721"/>
    </row>
    <row r="67" spans="1:17" ht="14.4" customHeight="1" x14ac:dyDescent="0.3">
      <c r="A67" s="710" t="s">
        <v>3429</v>
      </c>
      <c r="B67" s="711" t="s">
        <v>3430</v>
      </c>
      <c r="C67" s="711" t="s">
        <v>2907</v>
      </c>
      <c r="D67" s="711" t="s">
        <v>3487</v>
      </c>
      <c r="E67" s="711" t="s">
        <v>3488</v>
      </c>
      <c r="F67" s="720">
        <v>22</v>
      </c>
      <c r="G67" s="720">
        <v>638</v>
      </c>
      <c r="H67" s="720">
        <v>1</v>
      </c>
      <c r="I67" s="720">
        <v>29</v>
      </c>
      <c r="J67" s="720">
        <v>22</v>
      </c>
      <c r="K67" s="720">
        <v>638</v>
      </c>
      <c r="L67" s="720">
        <v>1</v>
      </c>
      <c r="M67" s="720">
        <v>29</v>
      </c>
      <c r="N67" s="720">
        <v>17</v>
      </c>
      <c r="O67" s="720">
        <v>493</v>
      </c>
      <c r="P67" s="716">
        <v>0.77272727272727271</v>
      </c>
      <c r="Q67" s="721">
        <v>29</v>
      </c>
    </row>
    <row r="68" spans="1:17" ht="14.4" customHeight="1" x14ac:dyDescent="0.3">
      <c r="A68" s="710" t="s">
        <v>3429</v>
      </c>
      <c r="B68" s="711" t="s">
        <v>3430</v>
      </c>
      <c r="C68" s="711" t="s">
        <v>2907</v>
      </c>
      <c r="D68" s="711" t="s">
        <v>3489</v>
      </c>
      <c r="E68" s="711" t="s">
        <v>3490</v>
      </c>
      <c r="F68" s="720">
        <v>3</v>
      </c>
      <c r="G68" s="720">
        <v>150</v>
      </c>
      <c r="H68" s="720">
        <v>1</v>
      </c>
      <c r="I68" s="720">
        <v>50</v>
      </c>
      <c r="J68" s="720">
        <v>1</v>
      </c>
      <c r="K68" s="720">
        <v>50</v>
      </c>
      <c r="L68" s="720">
        <v>0.33333333333333331</v>
      </c>
      <c r="M68" s="720">
        <v>50</v>
      </c>
      <c r="N68" s="720">
        <v>2</v>
      </c>
      <c r="O68" s="720">
        <v>100</v>
      </c>
      <c r="P68" s="716">
        <v>0.66666666666666663</v>
      </c>
      <c r="Q68" s="721">
        <v>50</v>
      </c>
    </row>
    <row r="69" spans="1:17" ht="14.4" customHeight="1" x14ac:dyDescent="0.3">
      <c r="A69" s="710" t="s">
        <v>3429</v>
      </c>
      <c r="B69" s="711" t="s">
        <v>3430</v>
      </c>
      <c r="C69" s="711" t="s">
        <v>2907</v>
      </c>
      <c r="D69" s="711" t="s">
        <v>3491</v>
      </c>
      <c r="E69" s="711" t="s">
        <v>3492</v>
      </c>
      <c r="F69" s="720">
        <v>103</v>
      </c>
      <c r="G69" s="720">
        <v>1236</v>
      </c>
      <c r="H69" s="720">
        <v>1</v>
      </c>
      <c r="I69" s="720">
        <v>12</v>
      </c>
      <c r="J69" s="720">
        <v>138</v>
      </c>
      <c r="K69" s="720">
        <v>1656</v>
      </c>
      <c r="L69" s="720">
        <v>1.3398058252427185</v>
      </c>
      <c r="M69" s="720">
        <v>12</v>
      </c>
      <c r="N69" s="720">
        <v>122</v>
      </c>
      <c r="O69" s="720">
        <v>1464</v>
      </c>
      <c r="P69" s="716">
        <v>1.1844660194174756</v>
      </c>
      <c r="Q69" s="721">
        <v>12</v>
      </c>
    </row>
    <row r="70" spans="1:17" ht="14.4" customHeight="1" x14ac:dyDescent="0.3">
      <c r="A70" s="710" t="s">
        <v>3429</v>
      </c>
      <c r="B70" s="711" t="s">
        <v>3430</v>
      </c>
      <c r="C70" s="711" t="s">
        <v>2907</v>
      </c>
      <c r="D70" s="711" t="s">
        <v>3493</v>
      </c>
      <c r="E70" s="711" t="s">
        <v>3494</v>
      </c>
      <c r="F70" s="720">
        <v>13</v>
      </c>
      <c r="G70" s="720">
        <v>2340</v>
      </c>
      <c r="H70" s="720">
        <v>1</v>
      </c>
      <c r="I70" s="720">
        <v>180</v>
      </c>
      <c r="J70" s="720">
        <v>7</v>
      </c>
      <c r="K70" s="720">
        <v>1267</v>
      </c>
      <c r="L70" s="720">
        <v>0.54145299145299142</v>
      </c>
      <c r="M70" s="720">
        <v>181</v>
      </c>
      <c r="N70" s="720">
        <v>10</v>
      </c>
      <c r="O70" s="720">
        <v>1810</v>
      </c>
      <c r="P70" s="716">
        <v>0.77350427350427353</v>
      </c>
      <c r="Q70" s="721">
        <v>181</v>
      </c>
    </row>
    <row r="71" spans="1:17" ht="14.4" customHeight="1" x14ac:dyDescent="0.3">
      <c r="A71" s="710" t="s">
        <v>3429</v>
      </c>
      <c r="B71" s="711" t="s">
        <v>3430</v>
      </c>
      <c r="C71" s="711" t="s">
        <v>2907</v>
      </c>
      <c r="D71" s="711" t="s">
        <v>3495</v>
      </c>
      <c r="E71" s="711" t="s">
        <v>3496</v>
      </c>
      <c r="F71" s="720">
        <v>7</v>
      </c>
      <c r="G71" s="720">
        <v>497</v>
      </c>
      <c r="H71" s="720">
        <v>1</v>
      </c>
      <c r="I71" s="720">
        <v>71</v>
      </c>
      <c r="J71" s="720">
        <v>8</v>
      </c>
      <c r="K71" s="720">
        <v>568</v>
      </c>
      <c r="L71" s="720">
        <v>1.1428571428571428</v>
      </c>
      <c r="M71" s="720">
        <v>71</v>
      </c>
      <c r="N71" s="720">
        <v>2</v>
      </c>
      <c r="O71" s="720">
        <v>142</v>
      </c>
      <c r="P71" s="716">
        <v>0.2857142857142857</v>
      </c>
      <c r="Q71" s="721">
        <v>71</v>
      </c>
    </row>
    <row r="72" spans="1:17" ht="14.4" customHeight="1" x14ac:dyDescent="0.3">
      <c r="A72" s="710" t="s">
        <v>3429</v>
      </c>
      <c r="B72" s="711" t="s">
        <v>3430</v>
      </c>
      <c r="C72" s="711" t="s">
        <v>2907</v>
      </c>
      <c r="D72" s="711" t="s">
        <v>3497</v>
      </c>
      <c r="E72" s="711" t="s">
        <v>3498</v>
      </c>
      <c r="F72" s="720">
        <v>10</v>
      </c>
      <c r="G72" s="720">
        <v>1810</v>
      </c>
      <c r="H72" s="720">
        <v>1</v>
      </c>
      <c r="I72" s="720">
        <v>181</v>
      </c>
      <c r="J72" s="720">
        <v>6</v>
      </c>
      <c r="K72" s="720">
        <v>1092</v>
      </c>
      <c r="L72" s="720">
        <v>0.60331491712707186</v>
      </c>
      <c r="M72" s="720">
        <v>182</v>
      </c>
      <c r="N72" s="720">
        <v>6</v>
      </c>
      <c r="O72" s="720">
        <v>1092</v>
      </c>
      <c r="P72" s="716">
        <v>0.60331491712707186</v>
      </c>
      <c r="Q72" s="721">
        <v>182</v>
      </c>
    </row>
    <row r="73" spans="1:17" ht="14.4" customHeight="1" x14ac:dyDescent="0.3">
      <c r="A73" s="710" t="s">
        <v>3429</v>
      </c>
      <c r="B73" s="711" t="s">
        <v>3430</v>
      </c>
      <c r="C73" s="711" t="s">
        <v>2907</v>
      </c>
      <c r="D73" s="711" t="s">
        <v>3499</v>
      </c>
      <c r="E73" s="711" t="s">
        <v>3500</v>
      </c>
      <c r="F73" s="720">
        <v>294</v>
      </c>
      <c r="G73" s="720">
        <v>43218</v>
      </c>
      <c r="H73" s="720">
        <v>1</v>
      </c>
      <c r="I73" s="720">
        <v>147</v>
      </c>
      <c r="J73" s="720">
        <v>270</v>
      </c>
      <c r="K73" s="720">
        <v>39690</v>
      </c>
      <c r="L73" s="720">
        <v>0.91836734693877553</v>
      </c>
      <c r="M73" s="720">
        <v>147</v>
      </c>
      <c r="N73" s="720">
        <v>242</v>
      </c>
      <c r="O73" s="720">
        <v>35574</v>
      </c>
      <c r="P73" s="716">
        <v>0.8231292517006803</v>
      </c>
      <c r="Q73" s="721">
        <v>147</v>
      </c>
    </row>
    <row r="74" spans="1:17" ht="14.4" customHeight="1" x14ac:dyDescent="0.3">
      <c r="A74" s="710" t="s">
        <v>3429</v>
      </c>
      <c r="B74" s="711" t="s">
        <v>3430</v>
      </c>
      <c r="C74" s="711" t="s">
        <v>2907</v>
      </c>
      <c r="D74" s="711" t="s">
        <v>3501</v>
      </c>
      <c r="E74" s="711" t="s">
        <v>3502</v>
      </c>
      <c r="F74" s="720">
        <v>22</v>
      </c>
      <c r="G74" s="720">
        <v>638</v>
      </c>
      <c r="H74" s="720">
        <v>1</v>
      </c>
      <c r="I74" s="720">
        <v>29</v>
      </c>
      <c r="J74" s="720">
        <v>23</v>
      </c>
      <c r="K74" s="720">
        <v>667</v>
      </c>
      <c r="L74" s="720">
        <v>1.0454545454545454</v>
      </c>
      <c r="M74" s="720">
        <v>29</v>
      </c>
      <c r="N74" s="720">
        <v>17</v>
      </c>
      <c r="O74" s="720">
        <v>493</v>
      </c>
      <c r="P74" s="716">
        <v>0.77272727272727271</v>
      </c>
      <c r="Q74" s="721">
        <v>29</v>
      </c>
    </row>
    <row r="75" spans="1:17" ht="14.4" customHeight="1" x14ac:dyDescent="0.3">
      <c r="A75" s="710" t="s">
        <v>3429</v>
      </c>
      <c r="B75" s="711" t="s">
        <v>3430</v>
      </c>
      <c r="C75" s="711" t="s">
        <v>2907</v>
      </c>
      <c r="D75" s="711" t="s">
        <v>3503</v>
      </c>
      <c r="E75" s="711" t="s">
        <v>3504</v>
      </c>
      <c r="F75" s="720">
        <v>8</v>
      </c>
      <c r="G75" s="720">
        <v>248</v>
      </c>
      <c r="H75" s="720">
        <v>1</v>
      </c>
      <c r="I75" s="720">
        <v>31</v>
      </c>
      <c r="J75" s="720">
        <v>2</v>
      </c>
      <c r="K75" s="720">
        <v>62</v>
      </c>
      <c r="L75" s="720">
        <v>0.25</v>
      </c>
      <c r="M75" s="720">
        <v>31</v>
      </c>
      <c r="N75" s="720">
        <v>9</v>
      </c>
      <c r="O75" s="720">
        <v>279</v>
      </c>
      <c r="P75" s="716">
        <v>1.125</v>
      </c>
      <c r="Q75" s="721">
        <v>31</v>
      </c>
    </row>
    <row r="76" spans="1:17" ht="14.4" customHeight="1" x14ac:dyDescent="0.3">
      <c r="A76" s="710" t="s">
        <v>3429</v>
      </c>
      <c r="B76" s="711" t="s">
        <v>3430</v>
      </c>
      <c r="C76" s="711" t="s">
        <v>2907</v>
      </c>
      <c r="D76" s="711" t="s">
        <v>3505</v>
      </c>
      <c r="E76" s="711" t="s">
        <v>3506</v>
      </c>
      <c r="F76" s="720">
        <v>8</v>
      </c>
      <c r="G76" s="720">
        <v>216</v>
      </c>
      <c r="H76" s="720">
        <v>1</v>
      </c>
      <c r="I76" s="720">
        <v>27</v>
      </c>
      <c r="J76" s="720">
        <v>5</v>
      </c>
      <c r="K76" s="720">
        <v>135</v>
      </c>
      <c r="L76" s="720">
        <v>0.625</v>
      </c>
      <c r="M76" s="720">
        <v>27</v>
      </c>
      <c r="N76" s="720">
        <v>10</v>
      </c>
      <c r="O76" s="720">
        <v>270</v>
      </c>
      <c r="P76" s="716">
        <v>1.25</v>
      </c>
      <c r="Q76" s="721">
        <v>27</v>
      </c>
    </row>
    <row r="77" spans="1:17" ht="14.4" customHeight="1" x14ac:dyDescent="0.3">
      <c r="A77" s="710" t="s">
        <v>3429</v>
      </c>
      <c r="B77" s="711" t="s">
        <v>3430</v>
      </c>
      <c r="C77" s="711" t="s">
        <v>2907</v>
      </c>
      <c r="D77" s="711" t="s">
        <v>3507</v>
      </c>
      <c r="E77" s="711" t="s">
        <v>3508</v>
      </c>
      <c r="F77" s="720">
        <v>7</v>
      </c>
      <c r="G77" s="720">
        <v>1771</v>
      </c>
      <c r="H77" s="720">
        <v>1</v>
      </c>
      <c r="I77" s="720">
        <v>253</v>
      </c>
      <c r="J77" s="720">
        <v>2</v>
      </c>
      <c r="K77" s="720">
        <v>506</v>
      </c>
      <c r="L77" s="720">
        <v>0.2857142857142857</v>
      </c>
      <c r="M77" s="720">
        <v>253</v>
      </c>
      <c r="N77" s="720">
        <v>4</v>
      </c>
      <c r="O77" s="720">
        <v>1012</v>
      </c>
      <c r="P77" s="716">
        <v>0.5714285714285714</v>
      </c>
      <c r="Q77" s="721">
        <v>253</v>
      </c>
    </row>
    <row r="78" spans="1:17" ht="14.4" customHeight="1" x14ac:dyDescent="0.3">
      <c r="A78" s="710" t="s">
        <v>3429</v>
      </c>
      <c r="B78" s="711" t="s">
        <v>3430</v>
      </c>
      <c r="C78" s="711" t="s">
        <v>2907</v>
      </c>
      <c r="D78" s="711" t="s">
        <v>3509</v>
      </c>
      <c r="E78" s="711" t="s">
        <v>3510</v>
      </c>
      <c r="F78" s="720"/>
      <c r="G78" s="720"/>
      <c r="H78" s="720"/>
      <c r="I78" s="720"/>
      <c r="J78" s="720">
        <v>1</v>
      </c>
      <c r="K78" s="720">
        <v>22</v>
      </c>
      <c r="L78" s="720"/>
      <c r="M78" s="720">
        <v>22</v>
      </c>
      <c r="N78" s="720">
        <v>1</v>
      </c>
      <c r="O78" s="720">
        <v>22</v>
      </c>
      <c r="P78" s="716"/>
      <c r="Q78" s="721">
        <v>22</v>
      </c>
    </row>
    <row r="79" spans="1:17" ht="14.4" customHeight="1" x14ac:dyDescent="0.3">
      <c r="A79" s="710" t="s">
        <v>3429</v>
      </c>
      <c r="B79" s="711" t="s">
        <v>3430</v>
      </c>
      <c r="C79" s="711" t="s">
        <v>2907</v>
      </c>
      <c r="D79" s="711" t="s">
        <v>3511</v>
      </c>
      <c r="E79" s="711" t="s">
        <v>3512</v>
      </c>
      <c r="F79" s="720">
        <v>16</v>
      </c>
      <c r="G79" s="720">
        <v>400</v>
      </c>
      <c r="H79" s="720">
        <v>1</v>
      </c>
      <c r="I79" s="720">
        <v>25</v>
      </c>
      <c r="J79" s="720">
        <v>17</v>
      </c>
      <c r="K79" s="720">
        <v>425</v>
      </c>
      <c r="L79" s="720">
        <v>1.0625</v>
      </c>
      <c r="M79" s="720">
        <v>25</v>
      </c>
      <c r="N79" s="720">
        <v>16</v>
      </c>
      <c r="O79" s="720">
        <v>400</v>
      </c>
      <c r="P79" s="716">
        <v>1</v>
      </c>
      <c r="Q79" s="721">
        <v>25</v>
      </c>
    </row>
    <row r="80" spans="1:17" ht="14.4" customHeight="1" x14ac:dyDescent="0.3">
      <c r="A80" s="710" t="s">
        <v>3429</v>
      </c>
      <c r="B80" s="711" t="s">
        <v>3430</v>
      </c>
      <c r="C80" s="711" t="s">
        <v>2907</v>
      </c>
      <c r="D80" s="711" t="s">
        <v>3513</v>
      </c>
      <c r="E80" s="711" t="s">
        <v>3514</v>
      </c>
      <c r="F80" s="720"/>
      <c r="G80" s="720"/>
      <c r="H80" s="720"/>
      <c r="I80" s="720"/>
      <c r="J80" s="720"/>
      <c r="K80" s="720"/>
      <c r="L80" s="720"/>
      <c r="M80" s="720"/>
      <c r="N80" s="720">
        <v>1</v>
      </c>
      <c r="O80" s="720">
        <v>30</v>
      </c>
      <c r="P80" s="716"/>
      <c r="Q80" s="721">
        <v>30</v>
      </c>
    </row>
    <row r="81" spans="1:17" ht="14.4" customHeight="1" x14ac:dyDescent="0.3">
      <c r="A81" s="710" t="s">
        <v>3429</v>
      </c>
      <c r="B81" s="711" t="s">
        <v>3430</v>
      </c>
      <c r="C81" s="711" t="s">
        <v>2907</v>
      </c>
      <c r="D81" s="711" t="s">
        <v>3515</v>
      </c>
      <c r="E81" s="711" t="s">
        <v>3516</v>
      </c>
      <c r="F81" s="720"/>
      <c r="G81" s="720"/>
      <c r="H81" s="720"/>
      <c r="I81" s="720"/>
      <c r="J81" s="720">
        <v>1</v>
      </c>
      <c r="K81" s="720">
        <v>204</v>
      </c>
      <c r="L81" s="720"/>
      <c r="M81" s="720">
        <v>204</v>
      </c>
      <c r="N81" s="720"/>
      <c r="O81" s="720"/>
      <c r="P81" s="716"/>
      <c r="Q81" s="721"/>
    </row>
    <row r="82" spans="1:17" ht="14.4" customHeight="1" x14ac:dyDescent="0.3">
      <c r="A82" s="710" t="s">
        <v>3429</v>
      </c>
      <c r="B82" s="711" t="s">
        <v>3430</v>
      </c>
      <c r="C82" s="711" t="s">
        <v>2907</v>
      </c>
      <c r="D82" s="711" t="s">
        <v>3517</v>
      </c>
      <c r="E82" s="711" t="s">
        <v>3518</v>
      </c>
      <c r="F82" s="720"/>
      <c r="G82" s="720"/>
      <c r="H82" s="720"/>
      <c r="I82" s="720"/>
      <c r="J82" s="720">
        <v>2</v>
      </c>
      <c r="K82" s="720">
        <v>52</v>
      </c>
      <c r="L82" s="720"/>
      <c r="M82" s="720">
        <v>26</v>
      </c>
      <c r="N82" s="720"/>
      <c r="O82" s="720"/>
      <c r="P82" s="716"/>
      <c r="Q82" s="721"/>
    </row>
    <row r="83" spans="1:17" ht="14.4" customHeight="1" x14ac:dyDescent="0.3">
      <c r="A83" s="710" t="s">
        <v>3429</v>
      </c>
      <c r="B83" s="711" t="s">
        <v>3430</v>
      </c>
      <c r="C83" s="711" t="s">
        <v>2907</v>
      </c>
      <c r="D83" s="711" t="s">
        <v>3519</v>
      </c>
      <c r="E83" s="711" t="s">
        <v>3520</v>
      </c>
      <c r="F83" s="720"/>
      <c r="G83" s="720"/>
      <c r="H83" s="720"/>
      <c r="I83" s="720"/>
      <c r="J83" s="720"/>
      <c r="K83" s="720"/>
      <c r="L83" s="720"/>
      <c r="M83" s="720"/>
      <c r="N83" s="720">
        <v>2</v>
      </c>
      <c r="O83" s="720">
        <v>168</v>
      </c>
      <c r="P83" s="716"/>
      <c r="Q83" s="721">
        <v>84</v>
      </c>
    </row>
    <row r="84" spans="1:17" ht="14.4" customHeight="1" x14ac:dyDescent="0.3">
      <c r="A84" s="710" t="s">
        <v>3429</v>
      </c>
      <c r="B84" s="711" t="s">
        <v>3430</v>
      </c>
      <c r="C84" s="711" t="s">
        <v>2907</v>
      </c>
      <c r="D84" s="711" t="s">
        <v>3521</v>
      </c>
      <c r="E84" s="711" t="s">
        <v>3522</v>
      </c>
      <c r="F84" s="720">
        <v>93</v>
      </c>
      <c r="G84" s="720">
        <v>16089</v>
      </c>
      <c r="H84" s="720">
        <v>1</v>
      </c>
      <c r="I84" s="720">
        <v>173</v>
      </c>
      <c r="J84" s="720">
        <v>58</v>
      </c>
      <c r="K84" s="720">
        <v>10092</v>
      </c>
      <c r="L84" s="720">
        <v>0.62726086145813909</v>
      </c>
      <c r="M84" s="720">
        <v>174</v>
      </c>
      <c r="N84" s="720">
        <v>65</v>
      </c>
      <c r="O84" s="720">
        <v>11310</v>
      </c>
      <c r="P84" s="716">
        <v>0.70296475853067308</v>
      </c>
      <c r="Q84" s="721">
        <v>174</v>
      </c>
    </row>
    <row r="85" spans="1:17" ht="14.4" customHeight="1" x14ac:dyDescent="0.3">
      <c r="A85" s="710" t="s">
        <v>3429</v>
      </c>
      <c r="B85" s="711" t="s">
        <v>3430</v>
      </c>
      <c r="C85" s="711" t="s">
        <v>2907</v>
      </c>
      <c r="D85" s="711" t="s">
        <v>3523</v>
      </c>
      <c r="E85" s="711" t="s">
        <v>3524</v>
      </c>
      <c r="F85" s="720">
        <v>34</v>
      </c>
      <c r="G85" s="720">
        <v>8500</v>
      </c>
      <c r="H85" s="720">
        <v>1</v>
      </c>
      <c r="I85" s="720">
        <v>250</v>
      </c>
      <c r="J85" s="720">
        <v>9</v>
      </c>
      <c r="K85" s="720">
        <v>2250</v>
      </c>
      <c r="L85" s="720">
        <v>0.26470588235294118</v>
      </c>
      <c r="M85" s="720">
        <v>250</v>
      </c>
      <c r="N85" s="720">
        <v>12</v>
      </c>
      <c r="O85" s="720">
        <v>3000</v>
      </c>
      <c r="P85" s="716">
        <v>0.35294117647058826</v>
      </c>
      <c r="Q85" s="721">
        <v>250</v>
      </c>
    </row>
    <row r="86" spans="1:17" ht="14.4" customHeight="1" x14ac:dyDescent="0.3">
      <c r="A86" s="710" t="s">
        <v>3429</v>
      </c>
      <c r="B86" s="711" t="s">
        <v>3430</v>
      </c>
      <c r="C86" s="711" t="s">
        <v>2907</v>
      </c>
      <c r="D86" s="711" t="s">
        <v>3525</v>
      </c>
      <c r="E86" s="711" t="s">
        <v>3526</v>
      </c>
      <c r="F86" s="720">
        <v>80</v>
      </c>
      <c r="G86" s="720">
        <v>1200</v>
      </c>
      <c r="H86" s="720">
        <v>1</v>
      </c>
      <c r="I86" s="720">
        <v>15</v>
      </c>
      <c r="J86" s="720">
        <v>58</v>
      </c>
      <c r="K86" s="720">
        <v>870</v>
      </c>
      <c r="L86" s="720">
        <v>0.72499999999999998</v>
      </c>
      <c r="M86" s="720">
        <v>15</v>
      </c>
      <c r="N86" s="720">
        <v>40</v>
      </c>
      <c r="O86" s="720">
        <v>600</v>
      </c>
      <c r="P86" s="716">
        <v>0.5</v>
      </c>
      <c r="Q86" s="721">
        <v>15</v>
      </c>
    </row>
    <row r="87" spans="1:17" ht="14.4" customHeight="1" x14ac:dyDescent="0.3">
      <c r="A87" s="710" t="s">
        <v>3429</v>
      </c>
      <c r="B87" s="711" t="s">
        <v>3430</v>
      </c>
      <c r="C87" s="711" t="s">
        <v>2907</v>
      </c>
      <c r="D87" s="711" t="s">
        <v>3527</v>
      </c>
      <c r="E87" s="711" t="s">
        <v>3528</v>
      </c>
      <c r="F87" s="720"/>
      <c r="G87" s="720"/>
      <c r="H87" s="720"/>
      <c r="I87" s="720"/>
      <c r="J87" s="720">
        <v>1</v>
      </c>
      <c r="K87" s="720">
        <v>23</v>
      </c>
      <c r="L87" s="720"/>
      <c r="M87" s="720">
        <v>23</v>
      </c>
      <c r="N87" s="720">
        <v>2</v>
      </c>
      <c r="O87" s="720">
        <v>46</v>
      </c>
      <c r="P87" s="716"/>
      <c r="Q87" s="721">
        <v>23</v>
      </c>
    </row>
    <row r="88" spans="1:17" ht="14.4" customHeight="1" x14ac:dyDescent="0.3">
      <c r="A88" s="710" t="s">
        <v>3429</v>
      </c>
      <c r="B88" s="711" t="s">
        <v>3430</v>
      </c>
      <c r="C88" s="711" t="s">
        <v>2907</v>
      </c>
      <c r="D88" s="711" t="s">
        <v>3529</v>
      </c>
      <c r="E88" s="711" t="s">
        <v>3530</v>
      </c>
      <c r="F88" s="720">
        <v>12</v>
      </c>
      <c r="G88" s="720">
        <v>2988</v>
      </c>
      <c r="H88" s="720">
        <v>1</v>
      </c>
      <c r="I88" s="720">
        <v>249</v>
      </c>
      <c r="J88" s="720">
        <v>11</v>
      </c>
      <c r="K88" s="720">
        <v>2739</v>
      </c>
      <c r="L88" s="720">
        <v>0.91666666666666663</v>
      </c>
      <c r="M88" s="720">
        <v>249</v>
      </c>
      <c r="N88" s="720">
        <v>13</v>
      </c>
      <c r="O88" s="720">
        <v>3237</v>
      </c>
      <c r="P88" s="716">
        <v>1.0833333333333333</v>
      </c>
      <c r="Q88" s="721">
        <v>249</v>
      </c>
    </row>
    <row r="89" spans="1:17" ht="14.4" customHeight="1" x14ac:dyDescent="0.3">
      <c r="A89" s="710" t="s">
        <v>3429</v>
      </c>
      <c r="B89" s="711" t="s">
        <v>3430</v>
      </c>
      <c r="C89" s="711" t="s">
        <v>2907</v>
      </c>
      <c r="D89" s="711" t="s">
        <v>3531</v>
      </c>
      <c r="E89" s="711" t="s">
        <v>3532</v>
      </c>
      <c r="F89" s="720">
        <v>36</v>
      </c>
      <c r="G89" s="720">
        <v>1332</v>
      </c>
      <c r="H89" s="720">
        <v>1</v>
      </c>
      <c r="I89" s="720">
        <v>37</v>
      </c>
      <c r="J89" s="720">
        <v>28</v>
      </c>
      <c r="K89" s="720">
        <v>1036</v>
      </c>
      <c r="L89" s="720">
        <v>0.77777777777777779</v>
      </c>
      <c r="M89" s="720">
        <v>37</v>
      </c>
      <c r="N89" s="720">
        <v>20</v>
      </c>
      <c r="O89" s="720">
        <v>740</v>
      </c>
      <c r="P89" s="716">
        <v>0.55555555555555558</v>
      </c>
      <c r="Q89" s="721">
        <v>37</v>
      </c>
    </row>
    <row r="90" spans="1:17" ht="14.4" customHeight="1" x14ac:dyDescent="0.3">
      <c r="A90" s="710" t="s">
        <v>3429</v>
      </c>
      <c r="B90" s="711" t="s">
        <v>3430</v>
      </c>
      <c r="C90" s="711" t="s">
        <v>2907</v>
      </c>
      <c r="D90" s="711" t="s">
        <v>3533</v>
      </c>
      <c r="E90" s="711" t="s">
        <v>3534</v>
      </c>
      <c r="F90" s="720">
        <v>5</v>
      </c>
      <c r="G90" s="720">
        <v>115</v>
      </c>
      <c r="H90" s="720">
        <v>1</v>
      </c>
      <c r="I90" s="720">
        <v>23</v>
      </c>
      <c r="J90" s="720">
        <v>3</v>
      </c>
      <c r="K90" s="720">
        <v>69</v>
      </c>
      <c r="L90" s="720">
        <v>0.6</v>
      </c>
      <c r="M90" s="720">
        <v>23</v>
      </c>
      <c r="N90" s="720"/>
      <c r="O90" s="720"/>
      <c r="P90" s="716"/>
      <c r="Q90" s="721"/>
    </row>
    <row r="91" spans="1:17" ht="14.4" customHeight="1" x14ac:dyDescent="0.3">
      <c r="A91" s="710" t="s">
        <v>3429</v>
      </c>
      <c r="B91" s="711" t="s">
        <v>3430</v>
      </c>
      <c r="C91" s="711" t="s">
        <v>2907</v>
      </c>
      <c r="D91" s="711" t="s">
        <v>3535</v>
      </c>
      <c r="E91" s="711" t="s">
        <v>3536</v>
      </c>
      <c r="F91" s="720">
        <v>1</v>
      </c>
      <c r="G91" s="720">
        <v>169</v>
      </c>
      <c r="H91" s="720">
        <v>1</v>
      </c>
      <c r="I91" s="720">
        <v>169</v>
      </c>
      <c r="J91" s="720"/>
      <c r="K91" s="720"/>
      <c r="L91" s="720"/>
      <c r="M91" s="720"/>
      <c r="N91" s="720"/>
      <c r="O91" s="720"/>
      <c r="P91" s="716"/>
      <c r="Q91" s="721"/>
    </row>
    <row r="92" spans="1:17" ht="14.4" customHeight="1" x14ac:dyDescent="0.3">
      <c r="A92" s="710" t="s">
        <v>3429</v>
      </c>
      <c r="B92" s="711" t="s">
        <v>3430</v>
      </c>
      <c r="C92" s="711" t="s">
        <v>2907</v>
      </c>
      <c r="D92" s="711" t="s">
        <v>3537</v>
      </c>
      <c r="E92" s="711" t="s">
        <v>3538</v>
      </c>
      <c r="F92" s="720">
        <v>5</v>
      </c>
      <c r="G92" s="720">
        <v>1655</v>
      </c>
      <c r="H92" s="720">
        <v>1</v>
      </c>
      <c r="I92" s="720">
        <v>331</v>
      </c>
      <c r="J92" s="720">
        <v>3</v>
      </c>
      <c r="K92" s="720">
        <v>993</v>
      </c>
      <c r="L92" s="720">
        <v>0.6</v>
      </c>
      <c r="M92" s="720">
        <v>331</v>
      </c>
      <c r="N92" s="720">
        <v>3</v>
      </c>
      <c r="O92" s="720">
        <v>993</v>
      </c>
      <c r="P92" s="716">
        <v>0.6</v>
      </c>
      <c r="Q92" s="721">
        <v>331</v>
      </c>
    </row>
    <row r="93" spans="1:17" ht="14.4" customHeight="1" x14ac:dyDescent="0.3">
      <c r="A93" s="710" t="s">
        <v>3429</v>
      </c>
      <c r="B93" s="711" t="s">
        <v>3430</v>
      </c>
      <c r="C93" s="711" t="s">
        <v>2907</v>
      </c>
      <c r="D93" s="711" t="s">
        <v>3539</v>
      </c>
      <c r="E93" s="711" t="s">
        <v>3540</v>
      </c>
      <c r="F93" s="720">
        <v>2</v>
      </c>
      <c r="G93" s="720">
        <v>58</v>
      </c>
      <c r="H93" s="720">
        <v>1</v>
      </c>
      <c r="I93" s="720">
        <v>29</v>
      </c>
      <c r="J93" s="720">
        <v>3</v>
      </c>
      <c r="K93" s="720">
        <v>87</v>
      </c>
      <c r="L93" s="720">
        <v>1.5</v>
      </c>
      <c r="M93" s="720">
        <v>29</v>
      </c>
      <c r="N93" s="720">
        <v>2</v>
      </c>
      <c r="O93" s="720">
        <v>58</v>
      </c>
      <c r="P93" s="716">
        <v>1</v>
      </c>
      <c r="Q93" s="721">
        <v>29</v>
      </c>
    </row>
    <row r="94" spans="1:17" ht="14.4" customHeight="1" x14ac:dyDescent="0.3">
      <c r="A94" s="710" t="s">
        <v>3429</v>
      </c>
      <c r="B94" s="711" t="s">
        <v>3430</v>
      </c>
      <c r="C94" s="711" t="s">
        <v>2907</v>
      </c>
      <c r="D94" s="711" t="s">
        <v>3541</v>
      </c>
      <c r="E94" s="711" t="s">
        <v>3542</v>
      </c>
      <c r="F94" s="720">
        <v>13</v>
      </c>
      <c r="G94" s="720">
        <v>2288</v>
      </c>
      <c r="H94" s="720">
        <v>1</v>
      </c>
      <c r="I94" s="720">
        <v>176</v>
      </c>
      <c r="J94" s="720">
        <v>32</v>
      </c>
      <c r="K94" s="720">
        <v>5632</v>
      </c>
      <c r="L94" s="720">
        <v>2.4615384615384617</v>
      </c>
      <c r="M94" s="720">
        <v>176</v>
      </c>
      <c r="N94" s="720">
        <v>57</v>
      </c>
      <c r="O94" s="720">
        <v>10032</v>
      </c>
      <c r="P94" s="716">
        <v>4.384615384615385</v>
      </c>
      <c r="Q94" s="721">
        <v>176</v>
      </c>
    </row>
    <row r="95" spans="1:17" ht="14.4" customHeight="1" x14ac:dyDescent="0.3">
      <c r="A95" s="710" t="s">
        <v>3429</v>
      </c>
      <c r="B95" s="711" t="s">
        <v>3430</v>
      </c>
      <c r="C95" s="711" t="s">
        <v>2907</v>
      </c>
      <c r="D95" s="711" t="s">
        <v>3543</v>
      </c>
      <c r="E95" s="711" t="s">
        <v>3544</v>
      </c>
      <c r="F95" s="720">
        <v>58</v>
      </c>
      <c r="G95" s="720">
        <v>1102</v>
      </c>
      <c r="H95" s="720">
        <v>1</v>
      </c>
      <c r="I95" s="720">
        <v>19</v>
      </c>
      <c r="J95" s="720">
        <v>35</v>
      </c>
      <c r="K95" s="720">
        <v>665</v>
      </c>
      <c r="L95" s="720">
        <v>0.60344827586206895</v>
      </c>
      <c r="M95" s="720">
        <v>19</v>
      </c>
      <c r="N95" s="720">
        <v>34</v>
      </c>
      <c r="O95" s="720">
        <v>646</v>
      </c>
      <c r="P95" s="716">
        <v>0.58620689655172409</v>
      </c>
      <c r="Q95" s="721">
        <v>19</v>
      </c>
    </row>
    <row r="96" spans="1:17" ht="14.4" customHeight="1" x14ac:dyDescent="0.3">
      <c r="A96" s="710" t="s">
        <v>3429</v>
      </c>
      <c r="B96" s="711" t="s">
        <v>3430</v>
      </c>
      <c r="C96" s="711" t="s">
        <v>2907</v>
      </c>
      <c r="D96" s="711" t="s">
        <v>3545</v>
      </c>
      <c r="E96" s="711" t="s">
        <v>3546</v>
      </c>
      <c r="F96" s="720">
        <v>69</v>
      </c>
      <c r="G96" s="720">
        <v>1380</v>
      </c>
      <c r="H96" s="720">
        <v>1</v>
      </c>
      <c r="I96" s="720">
        <v>20</v>
      </c>
      <c r="J96" s="720">
        <v>42</v>
      </c>
      <c r="K96" s="720">
        <v>840</v>
      </c>
      <c r="L96" s="720">
        <v>0.60869565217391308</v>
      </c>
      <c r="M96" s="720">
        <v>20</v>
      </c>
      <c r="N96" s="720">
        <v>34</v>
      </c>
      <c r="O96" s="720">
        <v>680</v>
      </c>
      <c r="P96" s="716">
        <v>0.49275362318840582</v>
      </c>
      <c r="Q96" s="721">
        <v>20</v>
      </c>
    </row>
    <row r="97" spans="1:17" ht="14.4" customHeight="1" x14ac:dyDescent="0.3">
      <c r="A97" s="710" t="s">
        <v>3429</v>
      </c>
      <c r="B97" s="711" t="s">
        <v>3430</v>
      </c>
      <c r="C97" s="711" t="s">
        <v>2907</v>
      </c>
      <c r="D97" s="711" t="s">
        <v>3547</v>
      </c>
      <c r="E97" s="711" t="s">
        <v>3548</v>
      </c>
      <c r="F97" s="720">
        <v>4</v>
      </c>
      <c r="G97" s="720">
        <v>732</v>
      </c>
      <c r="H97" s="720">
        <v>1</v>
      </c>
      <c r="I97" s="720">
        <v>183</v>
      </c>
      <c r="J97" s="720">
        <v>2</v>
      </c>
      <c r="K97" s="720">
        <v>368</v>
      </c>
      <c r="L97" s="720">
        <v>0.50273224043715847</v>
      </c>
      <c r="M97" s="720">
        <v>184</v>
      </c>
      <c r="N97" s="720">
        <v>1</v>
      </c>
      <c r="O97" s="720">
        <v>184</v>
      </c>
      <c r="P97" s="716">
        <v>0.25136612021857924</v>
      </c>
      <c r="Q97" s="721">
        <v>184</v>
      </c>
    </row>
    <row r="98" spans="1:17" ht="14.4" customHeight="1" x14ac:dyDescent="0.3">
      <c r="A98" s="710" t="s">
        <v>3429</v>
      </c>
      <c r="B98" s="711" t="s">
        <v>3430</v>
      </c>
      <c r="C98" s="711" t="s">
        <v>2907</v>
      </c>
      <c r="D98" s="711" t="s">
        <v>3549</v>
      </c>
      <c r="E98" s="711" t="s">
        <v>3550</v>
      </c>
      <c r="F98" s="720">
        <v>1</v>
      </c>
      <c r="G98" s="720">
        <v>172</v>
      </c>
      <c r="H98" s="720">
        <v>1</v>
      </c>
      <c r="I98" s="720">
        <v>172</v>
      </c>
      <c r="J98" s="720"/>
      <c r="K98" s="720"/>
      <c r="L98" s="720"/>
      <c r="M98" s="720"/>
      <c r="N98" s="720"/>
      <c r="O98" s="720"/>
      <c r="P98" s="716"/>
      <c r="Q98" s="721"/>
    </row>
    <row r="99" spans="1:17" ht="14.4" customHeight="1" x14ac:dyDescent="0.3">
      <c r="A99" s="710" t="s">
        <v>3429</v>
      </c>
      <c r="B99" s="711" t="s">
        <v>3430</v>
      </c>
      <c r="C99" s="711" t="s">
        <v>2907</v>
      </c>
      <c r="D99" s="711" t="s">
        <v>3551</v>
      </c>
      <c r="E99" s="711" t="s">
        <v>3552</v>
      </c>
      <c r="F99" s="720">
        <v>8</v>
      </c>
      <c r="G99" s="720">
        <v>672</v>
      </c>
      <c r="H99" s="720">
        <v>1</v>
      </c>
      <c r="I99" s="720">
        <v>84</v>
      </c>
      <c r="J99" s="720">
        <v>12</v>
      </c>
      <c r="K99" s="720">
        <v>1008</v>
      </c>
      <c r="L99" s="720">
        <v>1.5</v>
      </c>
      <c r="M99" s="720">
        <v>84</v>
      </c>
      <c r="N99" s="720">
        <v>5</v>
      </c>
      <c r="O99" s="720">
        <v>420</v>
      </c>
      <c r="P99" s="716">
        <v>0.625</v>
      </c>
      <c r="Q99" s="721">
        <v>84</v>
      </c>
    </row>
    <row r="100" spans="1:17" ht="14.4" customHeight="1" x14ac:dyDescent="0.3">
      <c r="A100" s="710" t="s">
        <v>3429</v>
      </c>
      <c r="B100" s="711" t="s">
        <v>3430</v>
      </c>
      <c r="C100" s="711" t="s">
        <v>2907</v>
      </c>
      <c r="D100" s="711" t="s">
        <v>3553</v>
      </c>
      <c r="E100" s="711" t="s">
        <v>3554</v>
      </c>
      <c r="F100" s="720">
        <v>5</v>
      </c>
      <c r="G100" s="720">
        <v>390</v>
      </c>
      <c r="H100" s="720">
        <v>1</v>
      </c>
      <c r="I100" s="720">
        <v>78</v>
      </c>
      <c r="J100" s="720"/>
      <c r="K100" s="720"/>
      <c r="L100" s="720"/>
      <c r="M100" s="720"/>
      <c r="N100" s="720">
        <v>1</v>
      </c>
      <c r="O100" s="720">
        <v>78</v>
      </c>
      <c r="P100" s="716">
        <v>0.2</v>
      </c>
      <c r="Q100" s="721">
        <v>78</v>
      </c>
    </row>
    <row r="101" spans="1:17" ht="14.4" customHeight="1" x14ac:dyDescent="0.3">
      <c r="A101" s="710" t="s">
        <v>3429</v>
      </c>
      <c r="B101" s="711" t="s">
        <v>3430</v>
      </c>
      <c r="C101" s="711" t="s">
        <v>2907</v>
      </c>
      <c r="D101" s="711" t="s">
        <v>3555</v>
      </c>
      <c r="E101" s="711" t="s">
        <v>3556</v>
      </c>
      <c r="F101" s="720"/>
      <c r="G101" s="720"/>
      <c r="H101" s="720"/>
      <c r="I101" s="720"/>
      <c r="J101" s="720"/>
      <c r="K101" s="720"/>
      <c r="L101" s="720"/>
      <c r="M101" s="720"/>
      <c r="N101" s="720">
        <v>2</v>
      </c>
      <c r="O101" s="720">
        <v>44</v>
      </c>
      <c r="P101" s="716"/>
      <c r="Q101" s="721">
        <v>22</v>
      </c>
    </row>
    <row r="102" spans="1:17" ht="14.4" customHeight="1" x14ac:dyDescent="0.3">
      <c r="A102" s="710" t="s">
        <v>3429</v>
      </c>
      <c r="B102" s="711" t="s">
        <v>3430</v>
      </c>
      <c r="C102" s="711" t="s">
        <v>2907</v>
      </c>
      <c r="D102" s="711" t="s">
        <v>3557</v>
      </c>
      <c r="E102" s="711" t="s">
        <v>3558</v>
      </c>
      <c r="F102" s="720">
        <v>5</v>
      </c>
      <c r="G102" s="720">
        <v>2475</v>
      </c>
      <c r="H102" s="720">
        <v>1</v>
      </c>
      <c r="I102" s="720">
        <v>495</v>
      </c>
      <c r="J102" s="720">
        <v>6</v>
      </c>
      <c r="K102" s="720">
        <v>2970</v>
      </c>
      <c r="L102" s="720">
        <v>1.2</v>
      </c>
      <c r="M102" s="720">
        <v>495</v>
      </c>
      <c r="N102" s="720">
        <v>4</v>
      </c>
      <c r="O102" s="720">
        <v>1980</v>
      </c>
      <c r="P102" s="716">
        <v>0.8</v>
      </c>
      <c r="Q102" s="721">
        <v>495</v>
      </c>
    </row>
    <row r="103" spans="1:17" ht="14.4" customHeight="1" x14ac:dyDescent="0.3">
      <c r="A103" s="710" t="s">
        <v>3429</v>
      </c>
      <c r="B103" s="711" t="s">
        <v>3430</v>
      </c>
      <c r="C103" s="711" t="s">
        <v>2907</v>
      </c>
      <c r="D103" s="711" t="s">
        <v>3559</v>
      </c>
      <c r="E103" s="711" t="s">
        <v>3560</v>
      </c>
      <c r="F103" s="720"/>
      <c r="G103" s="720"/>
      <c r="H103" s="720"/>
      <c r="I103" s="720"/>
      <c r="J103" s="720">
        <v>1</v>
      </c>
      <c r="K103" s="720">
        <v>1645</v>
      </c>
      <c r="L103" s="720"/>
      <c r="M103" s="720">
        <v>1645</v>
      </c>
      <c r="N103" s="720"/>
      <c r="O103" s="720"/>
      <c r="P103" s="716"/>
      <c r="Q103" s="721"/>
    </row>
    <row r="104" spans="1:17" ht="14.4" customHeight="1" x14ac:dyDescent="0.3">
      <c r="A104" s="710" t="s">
        <v>3429</v>
      </c>
      <c r="B104" s="711" t="s">
        <v>3430</v>
      </c>
      <c r="C104" s="711" t="s">
        <v>2907</v>
      </c>
      <c r="D104" s="711" t="s">
        <v>3561</v>
      </c>
      <c r="E104" s="711" t="s">
        <v>3562</v>
      </c>
      <c r="F104" s="720"/>
      <c r="G104" s="720"/>
      <c r="H104" s="720"/>
      <c r="I104" s="720"/>
      <c r="J104" s="720">
        <v>1</v>
      </c>
      <c r="K104" s="720">
        <v>310</v>
      </c>
      <c r="L104" s="720"/>
      <c r="M104" s="720">
        <v>310</v>
      </c>
      <c r="N104" s="720"/>
      <c r="O104" s="720"/>
      <c r="P104" s="716"/>
      <c r="Q104" s="721"/>
    </row>
    <row r="105" spans="1:17" ht="14.4" customHeight="1" x14ac:dyDescent="0.3">
      <c r="A105" s="710" t="s">
        <v>3429</v>
      </c>
      <c r="B105" s="711" t="s">
        <v>3430</v>
      </c>
      <c r="C105" s="711" t="s">
        <v>2907</v>
      </c>
      <c r="D105" s="711" t="s">
        <v>3563</v>
      </c>
      <c r="E105" s="711" t="s">
        <v>3564</v>
      </c>
      <c r="F105" s="720">
        <v>2</v>
      </c>
      <c r="G105" s="720">
        <v>260</v>
      </c>
      <c r="H105" s="720">
        <v>1</v>
      </c>
      <c r="I105" s="720">
        <v>130</v>
      </c>
      <c r="J105" s="720"/>
      <c r="K105" s="720"/>
      <c r="L105" s="720"/>
      <c r="M105" s="720"/>
      <c r="N105" s="720">
        <v>1</v>
      </c>
      <c r="O105" s="720">
        <v>131</v>
      </c>
      <c r="P105" s="716">
        <v>0.50384615384615383</v>
      </c>
      <c r="Q105" s="721">
        <v>131</v>
      </c>
    </row>
    <row r="106" spans="1:17" ht="14.4" customHeight="1" x14ac:dyDescent="0.3">
      <c r="A106" s="710" t="s">
        <v>3429</v>
      </c>
      <c r="B106" s="711" t="s">
        <v>3430</v>
      </c>
      <c r="C106" s="711" t="s">
        <v>2907</v>
      </c>
      <c r="D106" s="711" t="s">
        <v>3565</v>
      </c>
      <c r="E106" s="711" t="s">
        <v>3566</v>
      </c>
      <c r="F106" s="720"/>
      <c r="G106" s="720"/>
      <c r="H106" s="720"/>
      <c r="I106" s="720"/>
      <c r="J106" s="720">
        <v>1</v>
      </c>
      <c r="K106" s="720">
        <v>291</v>
      </c>
      <c r="L106" s="720"/>
      <c r="M106" s="720">
        <v>291</v>
      </c>
      <c r="N106" s="720">
        <v>1</v>
      </c>
      <c r="O106" s="720">
        <v>291</v>
      </c>
      <c r="P106" s="716"/>
      <c r="Q106" s="721">
        <v>291</v>
      </c>
    </row>
    <row r="107" spans="1:17" ht="14.4" customHeight="1" x14ac:dyDescent="0.3">
      <c r="A107" s="710" t="s">
        <v>3429</v>
      </c>
      <c r="B107" s="711" t="s">
        <v>3430</v>
      </c>
      <c r="C107" s="711" t="s">
        <v>2907</v>
      </c>
      <c r="D107" s="711" t="s">
        <v>3567</v>
      </c>
      <c r="E107" s="711" t="s">
        <v>3568</v>
      </c>
      <c r="F107" s="720"/>
      <c r="G107" s="720"/>
      <c r="H107" s="720"/>
      <c r="I107" s="720"/>
      <c r="J107" s="720">
        <v>1</v>
      </c>
      <c r="K107" s="720">
        <v>43</v>
      </c>
      <c r="L107" s="720"/>
      <c r="M107" s="720">
        <v>43</v>
      </c>
      <c r="N107" s="720"/>
      <c r="O107" s="720"/>
      <c r="P107" s="716"/>
      <c r="Q107" s="721"/>
    </row>
    <row r="108" spans="1:17" ht="14.4" customHeight="1" x14ac:dyDescent="0.3">
      <c r="A108" s="710" t="s">
        <v>3429</v>
      </c>
      <c r="B108" s="711" t="s">
        <v>3430</v>
      </c>
      <c r="C108" s="711" t="s">
        <v>2907</v>
      </c>
      <c r="D108" s="711" t="s">
        <v>3569</v>
      </c>
      <c r="E108" s="711" t="s">
        <v>3570</v>
      </c>
      <c r="F108" s="720"/>
      <c r="G108" s="720"/>
      <c r="H108" s="720"/>
      <c r="I108" s="720"/>
      <c r="J108" s="720">
        <v>1</v>
      </c>
      <c r="K108" s="720">
        <v>30</v>
      </c>
      <c r="L108" s="720"/>
      <c r="M108" s="720">
        <v>30</v>
      </c>
      <c r="N108" s="720"/>
      <c r="O108" s="720"/>
      <c r="P108" s="716"/>
      <c r="Q108" s="721"/>
    </row>
    <row r="109" spans="1:17" ht="14.4" customHeight="1" x14ac:dyDescent="0.3">
      <c r="A109" s="710" t="s">
        <v>3571</v>
      </c>
      <c r="B109" s="711" t="s">
        <v>3572</v>
      </c>
      <c r="C109" s="711" t="s">
        <v>2901</v>
      </c>
      <c r="D109" s="711" t="s">
        <v>3573</v>
      </c>
      <c r="E109" s="711" t="s">
        <v>3574</v>
      </c>
      <c r="F109" s="720">
        <v>1</v>
      </c>
      <c r="G109" s="720">
        <v>2648.23</v>
      </c>
      <c r="H109" s="720">
        <v>1</v>
      </c>
      <c r="I109" s="720">
        <v>2648.23</v>
      </c>
      <c r="J109" s="720">
        <v>0.66</v>
      </c>
      <c r="K109" s="720">
        <v>1763.16</v>
      </c>
      <c r="L109" s="720">
        <v>0.66578809242399639</v>
      </c>
      <c r="M109" s="720">
        <v>2671.4545454545455</v>
      </c>
      <c r="N109" s="720"/>
      <c r="O109" s="720"/>
      <c r="P109" s="716"/>
      <c r="Q109" s="721"/>
    </row>
    <row r="110" spans="1:17" ht="14.4" customHeight="1" x14ac:dyDescent="0.3">
      <c r="A110" s="710" t="s">
        <v>3571</v>
      </c>
      <c r="B110" s="711" t="s">
        <v>3572</v>
      </c>
      <c r="C110" s="711" t="s">
        <v>2901</v>
      </c>
      <c r="D110" s="711" t="s">
        <v>3575</v>
      </c>
      <c r="E110" s="711" t="s">
        <v>3576</v>
      </c>
      <c r="F110" s="720">
        <v>1</v>
      </c>
      <c r="G110" s="720">
        <v>1549.83</v>
      </c>
      <c r="H110" s="720">
        <v>1</v>
      </c>
      <c r="I110" s="720">
        <v>1549.83</v>
      </c>
      <c r="J110" s="720"/>
      <c r="K110" s="720"/>
      <c r="L110" s="720"/>
      <c r="M110" s="720"/>
      <c r="N110" s="720"/>
      <c r="O110" s="720"/>
      <c r="P110" s="716"/>
      <c r="Q110" s="721"/>
    </row>
    <row r="111" spans="1:17" ht="14.4" customHeight="1" x14ac:dyDescent="0.3">
      <c r="A111" s="710" t="s">
        <v>3571</v>
      </c>
      <c r="B111" s="711" t="s">
        <v>3572</v>
      </c>
      <c r="C111" s="711" t="s">
        <v>2901</v>
      </c>
      <c r="D111" s="711" t="s">
        <v>3577</v>
      </c>
      <c r="E111" s="711" t="s">
        <v>3578</v>
      </c>
      <c r="F111" s="720">
        <v>0.2</v>
      </c>
      <c r="G111" s="720">
        <v>1082.6600000000001</v>
      </c>
      <c r="H111" s="720">
        <v>1</v>
      </c>
      <c r="I111" s="720">
        <v>5413.3</v>
      </c>
      <c r="J111" s="720"/>
      <c r="K111" s="720"/>
      <c r="L111" s="720"/>
      <c r="M111" s="720"/>
      <c r="N111" s="720"/>
      <c r="O111" s="720"/>
      <c r="P111" s="716"/>
      <c r="Q111" s="721"/>
    </row>
    <row r="112" spans="1:17" ht="14.4" customHeight="1" x14ac:dyDescent="0.3">
      <c r="A112" s="710" t="s">
        <v>3571</v>
      </c>
      <c r="B112" s="711" t="s">
        <v>3572</v>
      </c>
      <c r="C112" s="711" t="s">
        <v>2901</v>
      </c>
      <c r="D112" s="711" t="s">
        <v>3579</v>
      </c>
      <c r="E112" s="711" t="s">
        <v>3578</v>
      </c>
      <c r="F112" s="720">
        <v>0.22999999999999998</v>
      </c>
      <c r="G112" s="720">
        <v>2490.1200000000003</v>
      </c>
      <c r="H112" s="720">
        <v>1</v>
      </c>
      <c r="I112" s="720">
        <v>10826.608695652176</v>
      </c>
      <c r="J112" s="720">
        <v>7.0000000000000007E-2</v>
      </c>
      <c r="K112" s="720">
        <v>764.51</v>
      </c>
      <c r="L112" s="720">
        <v>0.3070173324980322</v>
      </c>
      <c r="M112" s="720">
        <v>10921.571428571428</v>
      </c>
      <c r="N112" s="720">
        <v>0.29000000000000004</v>
      </c>
      <c r="O112" s="720">
        <v>3167.25</v>
      </c>
      <c r="P112" s="716">
        <v>1.2719266541371499</v>
      </c>
      <c r="Q112" s="721">
        <v>10921.551724137929</v>
      </c>
    </row>
    <row r="113" spans="1:17" ht="14.4" customHeight="1" x14ac:dyDescent="0.3">
      <c r="A113" s="710" t="s">
        <v>3571</v>
      </c>
      <c r="B113" s="711" t="s">
        <v>3572</v>
      </c>
      <c r="C113" s="711" t="s">
        <v>2901</v>
      </c>
      <c r="D113" s="711" t="s">
        <v>3580</v>
      </c>
      <c r="E113" s="711" t="s">
        <v>3581</v>
      </c>
      <c r="F113" s="720">
        <v>0.30000000000000004</v>
      </c>
      <c r="G113" s="720">
        <v>581.73</v>
      </c>
      <c r="H113" s="720">
        <v>1</v>
      </c>
      <c r="I113" s="720">
        <v>1939.0999999999997</v>
      </c>
      <c r="J113" s="720"/>
      <c r="K113" s="720"/>
      <c r="L113" s="720"/>
      <c r="M113" s="720"/>
      <c r="N113" s="720">
        <v>0.2</v>
      </c>
      <c r="O113" s="720">
        <v>391.22</v>
      </c>
      <c r="P113" s="716">
        <v>0.67251130249428437</v>
      </c>
      <c r="Q113" s="721">
        <v>1956.1000000000001</v>
      </c>
    </row>
    <row r="114" spans="1:17" ht="14.4" customHeight="1" x14ac:dyDescent="0.3">
      <c r="A114" s="710" t="s">
        <v>3571</v>
      </c>
      <c r="B114" s="711" t="s">
        <v>3572</v>
      </c>
      <c r="C114" s="711" t="s">
        <v>2901</v>
      </c>
      <c r="D114" s="711" t="s">
        <v>3582</v>
      </c>
      <c r="E114" s="711" t="s">
        <v>3583</v>
      </c>
      <c r="F114" s="720"/>
      <c r="G114" s="720"/>
      <c r="H114" s="720"/>
      <c r="I114" s="720"/>
      <c r="J114" s="720"/>
      <c r="K114" s="720"/>
      <c r="L114" s="720"/>
      <c r="M114" s="720"/>
      <c r="N114" s="720">
        <v>0.05</v>
      </c>
      <c r="O114" s="720">
        <v>47.24</v>
      </c>
      <c r="P114" s="716"/>
      <c r="Q114" s="721">
        <v>944.8</v>
      </c>
    </row>
    <row r="115" spans="1:17" ht="14.4" customHeight="1" x14ac:dyDescent="0.3">
      <c r="A115" s="710" t="s">
        <v>3571</v>
      </c>
      <c r="B115" s="711" t="s">
        <v>3572</v>
      </c>
      <c r="C115" s="711" t="s">
        <v>3016</v>
      </c>
      <c r="D115" s="711" t="s">
        <v>3584</v>
      </c>
      <c r="E115" s="711" t="s">
        <v>3585</v>
      </c>
      <c r="F115" s="720"/>
      <c r="G115" s="720"/>
      <c r="H115" s="720"/>
      <c r="I115" s="720"/>
      <c r="J115" s="720"/>
      <c r="K115" s="720"/>
      <c r="L115" s="720"/>
      <c r="M115" s="720"/>
      <c r="N115" s="720">
        <v>1</v>
      </c>
      <c r="O115" s="720">
        <v>1841.62</v>
      </c>
      <c r="P115" s="716"/>
      <c r="Q115" s="721">
        <v>1841.62</v>
      </c>
    </row>
    <row r="116" spans="1:17" ht="14.4" customHeight="1" x14ac:dyDescent="0.3">
      <c r="A116" s="710" t="s">
        <v>3571</v>
      </c>
      <c r="B116" s="711" t="s">
        <v>3572</v>
      </c>
      <c r="C116" s="711" t="s">
        <v>3016</v>
      </c>
      <c r="D116" s="711" t="s">
        <v>3586</v>
      </c>
      <c r="E116" s="711" t="s">
        <v>3587</v>
      </c>
      <c r="F116" s="720"/>
      <c r="G116" s="720"/>
      <c r="H116" s="720"/>
      <c r="I116" s="720"/>
      <c r="J116" s="720"/>
      <c r="K116" s="720"/>
      <c r="L116" s="720"/>
      <c r="M116" s="720"/>
      <c r="N116" s="720">
        <v>2</v>
      </c>
      <c r="O116" s="720">
        <v>1022</v>
      </c>
      <c r="P116" s="716"/>
      <c r="Q116" s="721">
        <v>511</v>
      </c>
    </row>
    <row r="117" spans="1:17" ht="14.4" customHeight="1" x14ac:dyDescent="0.3">
      <c r="A117" s="710" t="s">
        <v>3571</v>
      </c>
      <c r="B117" s="711" t="s">
        <v>3572</v>
      </c>
      <c r="C117" s="711" t="s">
        <v>2907</v>
      </c>
      <c r="D117" s="711" t="s">
        <v>3588</v>
      </c>
      <c r="E117" s="711" t="s">
        <v>3589</v>
      </c>
      <c r="F117" s="720"/>
      <c r="G117" s="720"/>
      <c r="H117" s="720"/>
      <c r="I117" s="720"/>
      <c r="J117" s="720"/>
      <c r="K117" s="720"/>
      <c r="L117" s="720"/>
      <c r="M117" s="720"/>
      <c r="N117" s="720">
        <v>1</v>
      </c>
      <c r="O117" s="720">
        <v>205</v>
      </c>
      <c r="P117" s="716"/>
      <c r="Q117" s="721">
        <v>205</v>
      </c>
    </row>
    <row r="118" spans="1:17" ht="14.4" customHeight="1" x14ac:dyDescent="0.3">
      <c r="A118" s="710" t="s">
        <v>3571</v>
      </c>
      <c r="B118" s="711" t="s">
        <v>3572</v>
      </c>
      <c r="C118" s="711" t="s">
        <v>2907</v>
      </c>
      <c r="D118" s="711" t="s">
        <v>3590</v>
      </c>
      <c r="E118" s="711" t="s">
        <v>3591</v>
      </c>
      <c r="F118" s="720">
        <v>3</v>
      </c>
      <c r="G118" s="720">
        <v>447</v>
      </c>
      <c r="H118" s="720">
        <v>1</v>
      </c>
      <c r="I118" s="720">
        <v>149</v>
      </c>
      <c r="J118" s="720"/>
      <c r="K118" s="720"/>
      <c r="L118" s="720"/>
      <c r="M118" s="720"/>
      <c r="N118" s="720">
        <v>3</v>
      </c>
      <c r="O118" s="720">
        <v>450</v>
      </c>
      <c r="P118" s="716">
        <v>1.0067114093959733</v>
      </c>
      <c r="Q118" s="721">
        <v>150</v>
      </c>
    </row>
    <row r="119" spans="1:17" ht="14.4" customHeight="1" x14ac:dyDescent="0.3">
      <c r="A119" s="710" t="s">
        <v>3571</v>
      </c>
      <c r="B119" s="711" t="s">
        <v>3572</v>
      </c>
      <c r="C119" s="711" t="s">
        <v>2907</v>
      </c>
      <c r="D119" s="711" t="s">
        <v>3592</v>
      </c>
      <c r="E119" s="711" t="s">
        <v>3593</v>
      </c>
      <c r="F119" s="720">
        <v>2</v>
      </c>
      <c r="G119" s="720">
        <v>362</v>
      </c>
      <c r="H119" s="720">
        <v>1</v>
      </c>
      <c r="I119" s="720">
        <v>181</v>
      </c>
      <c r="J119" s="720">
        <v>3</v>
      </c>
      <c r="K119" s="720">
        <v>546</v>
      </c>
      <c r="L119" s="720">
        <v>1.5082872928176796</v>
      </c>
      <c r="M119" s="720">
        <v>182</v>
      </c>
      <c r="N119" s="720">
        <v>8</v>
      </c>
      <c r="O119" s="720">
        <v>1456</v>
      </c>
      <c r="P119" s="716">
        <v>4.0220994475138125</v>
      </c>
      <c r="Q119" s="721">
        <v>182</v>
      </c>
    </row>
    <row r="120" spans="1:17" ht="14.4" customHeight="1" x14ac:dyDescent="0.3">
      <c r="A120" s="710" t="s">
        <v>3571</v>
      </c>
      <c r="B120" s="711" t="s">
        <v>3572</v>
      </c>
      <c r="C120" s="711" t="s">
        <v>2907</v>
      </c>
      <c r="D120" s="711" t="s">
        <v>3594</v>
      </c>
      <c r="E120" s="711" t="s">
        <v>3595</v>
      </c>
      <c r="F120" s="720">
        <v>22</v>
      </c>
      <c r="G120" s="720">
        <v>2728</v>
      </c>
      <c r="H120" s="720">
        <v>1</v>
      </c>
      <c r="I120" s="720">
        <v>124</v>
      </c>
      <c r="J120" s="720">
        <v>24</v>
      </c>
      <c r="K120" s="720">
        <v>2976</v>
      </c>
      <c r="L120" s="720">
        <v>1.0909090909090908</v>
      </c>
      <c r="M120" s="720">
        <v>124</v>
      </c>
      <c r="N120" s="720">
        <v>21</v>
      </c>
      <c r="O120" s="720">
        <v>2604</v>
      </c>
      <c r="P120" s="716">
        <v>0.95454545454545459</v>
      </c>
      <c r="Q120" s="721">
        <v>124</v>
      </c>
    </row>
    <row r="121" spans="1:17" ht="14.4" customHeight="1" x14ac:dyDescent="0.3">
      <c r="A121" s="710" t="s">
        <v>3571</v>
      </c>
      <c r="B121" s="711" t="s">
        <v>3572</v>
      </c>
      <c r="C121" s="711" t="s">
        <v>2907</v>
      </c>
      <c r="D121" s="711" t="s">
        <v>3596</v>
      </c>
      <c r="E121" s="711" t="s">
        <v>3597</v>
      </c>
      <c r="F121" s="720">
        <v>12</v>
      </c>
      <c r="G121" s="720">
        <v>2592</v>
      </c>
      <c r="H121" s="720">
        <v>1</v>
      </c>
      <c r="I121" s="720">
        <v>216</v>
      </c>
      <c r="J121" s="720">
        <v>8</v>
      </c>
      <c r="K121" s="720">
        <v>1736</v>
      </c>
      <c r="L121" s="720">
        <v>0.66975308641975306</v>
      </c>
      <c r="M121" s="720">
        <v>217</v>
      </c>
      <c r="N121" s="720">
        <v>6</v>
      </c>
      <c r="O121" s="720">
        <v>1302</v>
      </c>
      <c r="P121" s="716">
        <v>0.50231481481481477</v>
      </c>
      <c r="Q121" s="721">
        <v>217</v>
      </c>
    </row>
    <row r="122" spans="1:17" ht="14.4" customHeight="1" x14ac:dyDescent="0.3">
      <c r="A122" s="710" t="s">
        <v>3571</v>
      </c>
      <c r="B122" s="711" t="s">
        <v>3572</v>
      </c>
      <c r="C122" s="711" t="s">
        <v>2907</v>
      </c>
      <c r="D122" s="711" t="s">
        <v>3598</v>
      </c>
      <c r="E122" s="711" t="s">
        <v>3599</v>
      </c>
      <c r="F122" s="720"/>
      <c r="G122" s="720"/>
      <c r="H122" s="720"/>
      <c r="I122" s="720"/>
      <c r="J122" s="720">
        <v>1</v>
      </c>
      <c r="K122" s="720">
        <v>217</v>
      </c>
      <c r="L122" s="720"/>
      <c r="M122" s="720">
        <v>217</v>
      </c>
      <c r="N122" s="720"/>
      <c r="O122" s="720"/>
      <c r="P122" s="716"/>
      <c r="Q122" s="721"/>
    </row>
    <row r="123" spans="1:17" ht="14.4" customHeight="1" x14ac:dyDescent="0.3">
      <c r="A123" s="710" t="s">
        <v>3571</v>
      </c>
      <c r="B123" s="711" t="s">
        <v>3572</v>
      </c>
      <c r="C123" s="711" t="s">
        <v>2907</v>
      </c>
      <c r="D123" s="711" t="s">
        <v>3600</v>
      </c>
      <c r="E123" s="711" t="s">
        <v>3601</v>
      </c>
      <c r="F123" s="720">
        <v>6</v>
      </c>
      <c r="G123" s="720">
        <v>1308</v>
      </c>
      <c r="H123" s="720">
        <v>1</v>
      </c>
      <c r="I123" s="720">
        <v>218</v>
      </c>
      <c r="J123" s="720">
        <v>3</v>
      </c>
      <c r="K123" s="720">
        <v>657</v>
      </c>
      <c r="L123" s="720">
        <v>0.50229357798165142</v>
      </c>
      <c r="M123" s="720">
        <v>219</v>
      </c>
      <c r="N123" s="720">
        <v>4</v>
      </c>
      <c r="O123" s="720">
        <v>876</v>
      </c>
      <c r="P123" s="716">
        <v>0.66972477064220182</v>
      </c>
      <c r="Q123" s="721">
        <v>219</v>
      </c>
    </row>
    <row r="124" spans="1:17" ht="14.4" customHeight="1" x14ac:dyDescent="0.3">
      <c r="A124" s="710" t="s">
        <v>3571</v>
      </c>
      <c r="B124" s="711" t="s">
        <v>3572</v>
      </c>
      <c r="C124" s="711" t="s">
        <v>2907</v>
      </c>
      <c r="D124" s="711" t="s">
        <v>3365</v>
      </c>
      <c r="E124" s="711" t="s">
        <v>3366</v>
      </c>
      <c r="F124" s="720"/>
      <c r="G124" s="720"/>
      <c r="H124" s="720"/>
      <c r="I124" s="720"/>
      <c r="J124" s="720"/>
      <c r="K124" s="720"/>
      <c r="L124" s="720"/>
      <c r="M124" s="720"/>
      <c r="N124" s="720">
        <v>1</v>
      </c>
      <c r="O124" s="720">
        <v>326</v>
      </c>
      <c r="P124" s="716"/>
      <c r="Q124" s="721">
        <v>326</v>
      </c>
    </row>
    <row r="125" spans="1:17" ht="14.4" customHeight="1" x14ac:dyDescent="0.3">
      <c r="A125" s="710" t="s">
        <v>3571</v>
      </c>
      <c r="B125" s="711" t="s">
        <v>3572</v>
      </c>
      <c r="C125" s="711" t="s">
        <v>2907</v>
      </c>
      <c r="D125" s="711" t="s">
        <v>3602</v>
      </c>
      <c r="E125" s="711" t="s">
        <v>3603</v>
      </c>
      <c r="F125" s="720">
        <v>3</v>
      </c>
      <c r="G125" s="720">
        <v>3828</v>
      </c>
      <c r="H125" s="720">
        <v>1</v>
      </c>
      <c r="I125" s="720">
        <v>1276</v>
      </c>
      <c r="J125" s="720">
        <v>1</v>
      </c>
      <c r="K125" s="720">
        <v>1277</v>
      </c>
      <c r="L125" s="720">
        <v>0.33359456635318702</v>
      </c>
      <c r="M125" s="720">
        <v>1277</v>
      </c>
      <c r="N125" s="720">
        <v>4</v>
      </c>
      <c r="O125" s="720">
        <v>5108</v>
      </c>
      <c r="P125" s="716">
        <v>1.3343782654127481</v>
      </c>
      <c r="Q125" s="721">
        <v>1277</v>
      </c>
    </row>
    <row r="126" spans="1:17" ht="14.4" customHeight="1" x14ac:dyDescent="0.3">
      <c r="A126" s="710" t="s">
        <v>3571</v>
      </c>
      <c r="B126" s="711" t="s">
        <v>3572</v>
      </c>
      <c r="C126" s="711" t="s">
        <v>2907</v>
      </c>
      <c r="D126" s="711" t="s">
        <v>3604</v>
      </c>
      <c r="E126" s="711" t="s">
        <v>3605</v>
      </c>
      <c r="F126" s="720">
        <v>3</v>
      </c>
      <c r="G126" s="720">
        <v>3489</v>
      </c>
      <c r="H126" s="720">
        <v>1</v>
      </c>
      <c r="I126" s="720">
        <v>1163</v>
      </c>
      <c r="J126" s="720">
        <v>1</v>
      </c>
      <c r="K126" s="720">
        <v>1164</v>
      </c>
      <c r="L126" s="720">
        <v>0.33361994840928633</v>
      </c>
      <c r="M126" s="720">
        <v>1164</v>
      </c>
      <c r="N126" s="720">
        <v>4</v>
      </c>
      <c r="O126" s="720">
        <v>4656</v>
      </c>
      <c r="P126" s="716">
        <v>1.3344797936371453</v>
      </c>
      <c r="Q126" s="721">
        <v>1164</v>
      </c>
    </row>
    <row r="127" spans="1:17" ht="14.4" customHeight="1" x14ac:dyDescent="0.3">
      <c r="A127" s="710" t="s">
        <v>3571</v>
      </c>
      <c r="B127" s="711" t="s">
        <v>3572</v>
      </c>
      <c r="C127" s="711" t="s">
        <v>2907</v>
      </c>
      <c r="D127" s="711" t="s">
        <v>3606</v>
      </c>
      <c r="E127" s="711" t="s">
        <v>3607</v>
      </c>
      <c r="F127" s="720">
        <v>7</v>
      </c>
      <c r="G127" s="720">
        <v>35455</v>
      </c>
      <c r="H127" s="720">
        <v>1</v>
      </c>
      <c r="I127" s="720">
        <v>5065</v>
      </c>
      <c r="J127" s="720">
        <v>4</v>
      </c>
      <c r="K127" s="720">
        <v>20272</v>
      </c>
      <c r="L127" s="720">
        <v>0.57176702862783813</v>
      </c>
      <c r="M127" s="720">
        <v>5068</v>
      </c>
      <c r="N127" s="720">
        <v>2</v>
      </c>
      <c r="O127" s="720">
        <v>10136</v>
      </c>
      <c r="P127" s="716">
        <v>0.28588351431391906</v>
      </c>
      <c r="Q127" s="721">
        <v>5068</v>
      </c>
    </row>
    <row r="128" spans="1:17" ht="14.4" customHeight="1" x14ac:dyDescent="0.3">
      <c r="A128" s="710" t="s">
        <v>3571</v>
      </c>
      <c r="B128" s="711" t="s">
        <v>3572</v>
      </c>
      <c r="C128" s="711" t="s">
        <v>2907</v>
      </c>
      <c r="D128" s="711" t="s">
        <v>3608</v>
      </c>
      <c r="E128" s="711" t="s">
        <v>3609</v>
      </c>
      <c r="F128" s="720">
        <v>37</v>
      </c>
      <c r="G128" s="720">
        <v>6364</v>
      </c>
      <c r="H128" s="720">
        <v>1</v>
      </c>
      <c r="I128" s="720">
        <v>172</v>
      </c>
      <c r="J128" s="720">
        <v>43</v>
      </c>
      <c r="K128" s="720">
        <v>7439</v>
      </c>
      <c r="L128" s="720">
        <v>1.1689189189189189</v>
      </c>
      <c r="M128" s="720">
        <v>173</v>
      </c>
      <c r="N128" s="720">
        <v>32</v>
      </c>
      <c r="O128" s="720">
        <v>5536</v>
      </c>
      <c r="P128" s="716">
        <v>0.86989314896291636</v>
      </c>
      <c r="Q128" s="721">
        <v>173</v>
      </c>
    </row>
    <row r="129" spans="1:17" ht="14.4" customHeight="1" x14ac:dyDescent="0.3">
      <c r="A129" s="710" t="s">
        <v>3571</v>
      </c>
      <c r="B129" s="711" t="s">
        <v>3572</v>
      </c>
      <c r="C129" s="711" t="s">
        <v>2907</v>
      </c>
      <c r="D129" s="711" t="s">
        <v>3610</v>
      </c>
      <c r="E129" s="711" t="s">
        <v>3611</v>
      </c>
      <c r="F129" s="720">
        <v>6</v>
      </c>
      <c r="G129" s="720">
        <v>11964</v>
      </c>
      <c r="H129" s="720">
        <v>1</v>
      </c>
      <c r="I129" s="720">
        <v>1994</v>
      </c>
      <c r="J129" s="720">
        <v>8</v>
      </c>
      <c r="K129" s="720">
        <v>15968</v>
      </c>
      <c r="L129" s="720">
        <v>1.3346706787027749</v>
      </c>
      <c r="M129" s="720">
        <v>1996</v>
      </c>
      <c r="N129" s="720">
        <v>13</v>
      </c>
      <c r="O129" s="720">
        <v>25948</v>
      </c>
      <c r="P129" s="716">
        <v>2.1688398528920092</v>
      </c>
      <c r="Q129" s="721">
        <v>1996</v>
      </c>
    </row>
    <row r="130" spans="1:17" ht="14.4" customHeight="1" x14ac:dyDescent="0.3">
      <c r="A130" s="710" t="s">
        <v>3571</v>
      </c>
      <c r="B130" s="711" t="s">
        <v>3572</v>
      </c>
      <c r="C130" s="711" t="s">
        <v>2907</v>
      </c>
      <c r="D130" s="711" t="s">
        <v>3612</v>
      </c>
      <c r="E130" s="711" t="s">
        <v>3613</v>
      </c>
      <c r="F130" s="720">
        <v>2</v>
      </c>
      <c r="G130" s="720">
        <v>5382</v>
      </c>
      <c r="H130" s="720">
        <v>1</v>
      </c>
      <c r="I130" s="720">
        <v>2691</v>
      </c>
      <c r="J130" s="720">
        <v>2</v>
      </c>
      <c r="K130" s="720">
        <v>5384</v>
      </c>
      <c r="L130" s="720">
        <v>1.0003716090672612</v>
      </c>
      <c r="M130" s="720">
        <v>2692</v>
      </c>
      <c r="N130" s="720"/>
      <c r="O130" s="720"/>
      <c r="P130" s="716"/>
      <c r="Q130" s="721"/>
    </row>
    <row r="131" spans="1:17" ht="14.4" customHeight="1" x14ac:dyDescent="0.3">
      <c r="A131" s="710" t="s">
        <v>3571</v>
      </c>
      <c r="B131" s="711" t="s">
        <v>3572</v>
      </c>
      <c r="C131" s="711" t="s">
        <v>2907</v>
      </c>
      <c r="D131" s="711" t="s">
        <v>3614</v>
      </c>
      <c r="E131" s="711" t="s">
        <v>3615</v>
      </c>
      <c r="F131" s="720">
        <v>2</v>
      </c>
      <c r="G131" s="720">
        <v>10354</v>
      </c>
      <c r="H131" s="720">
        <v>1</v>
      </c>
      <c r="I131" s="720">
        <v>5177</v>
      </c>
      <c r="J131" s="720">
        <v>2</v>
      </c>
      <c r="K131" s="720">
        <v>10360</v>
      </c>
      <c r="L131" s="720">
        <v>1.0005794861889126</v>
      </c>
      <c r="M131" s="720">
        <v>5180</v>
      </c>
      <c r="N131" s="720"/>
      <c r="O131" s="720"/>
      <c r="P131" s="716"/>
      <c r="Q131" s="721"/>
    </row>
    <row r="132" spans="1:17" ht="14.4" customHeight="1" x14ac:dyDescent="0.3">
      <c r="A132" s="710" t="s">
        <v>3571</v>
      </c>
      <c r="B132" s="711" t="s">
        <v>3572</v>
      </c>
      <c r="C132" s="711" t="s">
        <v>2907</v>
      </c>
      <c r="D132" s="711" t="s">
        <v>3616</v>
      </c>
      <c r="E132" s="711" t="s">
        <v>3617</v>
      </c>
      <c r="F132" s="720">
        <v>2</v>
      </c>
      <c r="G132" s="720">
        <v>298</v>
      </c>
      <c r="H132" s="720">
        <v>1</v>
      </c>
      <c r="I132" s="720">
        <v>149</v>
      </c>
      <c r="J132" s="720">
        <v>1</v>
      </c>
      <c r="K132" s="720">
        <v>150</v>
      </c>
      <c r="L132" s="720">
        <v>0.50335570469798663</v>
      </c>
      <c r="M132" s="720">
        <v>150</v>
      </c>
      <c r="N132" s="720">
        <v>5</v>
      </c>
      <c r="O132" s="720">
        <v>750</v>
      </c>
      <c r="P132" s="716">
        <v>2.5167785234899327</v>
      </c>
      <c r="Q132" s="721">
        <v>150</v>
      </c>
    </row>
    <row r="133" spans="1:17" ht="14.4" customHeight="1" x14ac:dyDescent="0.3">
      <c r="A133" s="710" t="s">
        <v>3571</v>
      </c>
      <c r="B133" s="711" t="s">
        <v>3572</v>
      </c>
      <c r="C133" s="711" t="s">
        <v>2907</v>
      </c>
      <c r="D133" s="711" t="s">
        <v>3618</v>
      </c>
      <c r="E133" s="711" t="s">
        <v>3619</v>
      </c>
      <c r="F133" s="720">
        <v>2</v>
      </c>
      <c r="G133" s="720">
        <v>384</v>
      </c>
      <c r="H133" s="720">
        <v>1</v>
      </c>
      <c r="I133" s="720">
        <v>192</v>
      </c>
      <c r="J133" s="720">
        <v>7</v>
      </c>
      <c r="K133" s="720">
        <v>1351</v>
      </c>
      <c r="L133" s="720">
        <v>3.5182291666666665</v>
      </c>
      <c r="M133" s="720">
        <v>193</v>
      </c>
      <c r="N133" s="720">
        <v>1</v>
      </c>
      <c r="O133" s="720">
        <v>193</v>
      </c>
      <c r="P133" s="716">
        <v>0.50260416666666663</v>
      </c>
      <c r="Q133" s="721">
        <v>193</v>
      </c>
    </row>
    <row r="134" spans="1:17" ht="14.4" customHeight="1" x14ac:dyDescent="0.3">
      <c r="A134" s="710" t="s">
        <v>3571</v>
      </c>
      <c r="B134" s="711" t="s">
        <v>3572</v>
      </c>
      <c r="C134" s="711" t="s">
        <v>2907</v>
      </c>
      <c r="D134" s="711" t="s">
        <v>3620</v>
      </c>
      <c r="E134" s="711" t="s">
        <v>3621</v>
      </c>
      <c r="F134" s="720">
        <v>2</v>
      </c>
      <c r="G134" s="720">
        <v>314</v>
      </c>
      <c r="H134" s="720">
        <v>1</v>
      </c>
      <c r="I134" s="720">
        <v>157</v>
      </c>
      <c r="J134" s="720"/>
      <c r="K134" s="720"/>
      <c r="L134" s="720"/>
      <c r="M134" s="720"/>
      <c r="N134" s="720">
        <v>5</v>
      </c>
      <c r="O134" s="720">
        <v>790</v>
      </c>
      <c r="P134" s="716">
        <v>2.515923566878981</v>
      </c>
      <c r="Q134" s="721">
        <v>158</v>
      </c>
    </row>
    <row r="135" spans="1:17" ht="14.4" customHeight="1" x14ac:dyDescent="0.3">
      <c r="A135" s="710" t="s">
        <v>3571</v>
      </c>
      <c r="B135" s="711" t="s">
        <v>3572</v>
      </c>
      <c r="C135" s="711" t="s">
        <v>2907</v>
      </c>
      <c r="D135" s="711" t="s">
        <v>3622</v>
      </c>
      <c r="E135" s="711" t="s">
        <v>3623</v>
      </c>
      <c r="F135" s="720"/>
      <c r="G135" s="720"/>
      <c r="H135" s="720"/>
      <c r="I135" s="720"/>
      <c r="J135" s="720"/>
      <c r="K135" s="720"/>
      <c r="L135" s="720"/>
      <c r="M135" s="720"/>
      <c r="N135" s="720">
        <v>2</v>
      </c>
      <c r="O135" s="720">
        <v>624</v>
      </c>
      <c r="P135" s="716"/>
      <c r="Q135" s="721">
        <v>312</v>
      </c>
    </row>
    <row r="136" spans="1:17" ht="14.4" customHeight="1" x14ac:dyDescent="0.3">
      <c r="A136" s="710" t="s">
        <v>3571</v>
      </c>
      <c r="B136" s="711" t="s">
        <v>3572</v>
      </c>
      <c r="C136" s="711" t="s">
        <v>2907</v>
      </c>
      <c r="D136" s="711" t="s">
        <v>3624</v>
      </c>
      <c r="E136" s="711" t="s">
        <v>3625</v>
      </c>
      <c r="F136" s="720">
        <v>1</v>
      </c>
      <c r="G136" s="720">
        <v>424</v>
      </c>
      <c r="H136" s="720">
        <v>1</v>
      </c>
      <c r="I136" s="720">
        <v>424</v>
      </c>
      <c r="J136" s="720"/>
      <c r="K136" s="720"/>
      <c r="L136" s="720"/>
      <c r="M136" s="720"/>
      <c r="N136" s="720"/>
      <c r="O136" s="720"/>
      <c r="P136" s="716"/>
      <c r="Q136" s="721"/>
    </row>
    <row r="137" spans="1:17" ht="14.4" customHeight="1" x14ac:dyDescent="0.3">
      <c r="A137" s="710" t="s">
        <v>3571</v>
      </c>
      <c r="B137" s="711" t="s">
        <v>3572</v>
      </c>
      <c r="C137" s="711" t="s">
        <v>2907</v>
      </c>
      <c r="D137" s="711" t="s">
        <v>3626</v>
      </c>
      <c r="E137" s="711" t="s">
        <v>3627</v>
      </c>
      <c r="F137" s="720">
        <v>1</v>
      </c>
      <c r="G137" s="720">
        <v>2116</v>
      </c>
      <c r="H137" s="720">
        <v>1</v>
      </c>
      <c r="I137" s="720">
        <v>2116</v>
      </c>
      <c r="J137" s="720"/>
      <c r="K137" s="720"/>
      <c r="L137" s="720"/>
      <c r="M137" s="720"/>
      <c r="N137" s="720"/>
      <c r="O137" s="720"/>
      <c r="P137" s="716"/>
      <c r="Q137" s="721"/>
    </row>
    <row r="138" spans="1:17" ht="14.4" customHeight="1" x14ac:dyDescent="0.3">
      <c r="A138" s="710" t="s">
        <v>3571</v>
      </c>
      <c r="B138" s="711" t="s">
        <v>3572</v>
      </c>
      <c r="C138" s="711" t="s">
        <v>2907</v>
      </c>
      <c r="D138" s="711" t="s">
        <v>3628</v>
      </c>
      <c r="E138" s="711" t="s">
        <v>3629</v>
      </c>
      <c r="F138" s="720"/>
      <c r="G138" s="720"/>
      <c r="H138" s="720"/>
      <c r="I138" s="720"/>
      <c r="J138" s="720"/>
      <c r="K138" s="720"/>
      <c r="L138" s="720"/>
      <c r="M138" s="720"/>
      <c r="N138" s="720">
        <v>1</v>
      </c>
      <c r="O138" s="720">
        <v>1993</v>
      </c>
      <c r="P138" s="716"/>
      <c r="Q138" s="721">
        <v>1993</v>
      </c>
    </row>
    <row r="139" spans="1:17" ht="14.4" customHeight="1" x14ac:dyDescent="0.3">
      <c r="A139" s="710" t="s">
        <v>3630</v>
      </c>
      <c r="B139" s="711" t="s">
        <v>3631</v>
      </c>
      <c r="C139" s="711" t="s">
        <v>2907</v>
      </c>
      <c r="D139" s="711" t="s">
        <v>3632</v>
      </c>
      <c r="E139" s="711" t="s">
        <v>3633</v>
      </c>
      <c r="F139" s="720">
        <v>6</v>
      </c>
      <c r="G139" s="720">
        <v>1212</v>
      </c>
      <c r="H139" s="720">
        <v>1</v>
      </c>
      <c r="I139" s="720">
        <v>202</v>
      </c>
      <c r="J139" s="720">
        <v>2</v>
      </c>
      <c r="K139" s="720">
        <v>406</v>
      </c>
      <c r="L139" s="720">
        <v>0.33498349834983498</v>
      </c>
      <c r="M139" s="720">
        <v>203</v>
      </c>
      <c r="N139" s="720">
        <v>2</v>
      </c>
      <c r="O139" s="720">
        <v>406</v>
      </c>
      <c r="P139" s="716">
        <v>0.33498349834983498</v>
      </c>
      <c r="Q139" s="721">
        <v>203</v>
      </c>
    </row>
    <row r="140" spans="1:17" ht="14.4" customHeight="1" x14ac:dyDescent="0.3">
      <c r="A140" s="710" t="s">
        <v>3630</v>
      </c>
      <c r="B140" s="711" t="s">
        <v>3631</v>
      </c>
      <c r="C140" s="711" t="s">
        <v>2907</v>
      </c>
      <c r="D140" s="711" t="s">
        <v>3634</v>
      </c>
      <c r="E140" s="711" t="s">
        <v>3635</v>
      </c>
      <c r="F140" s="720">
        <v>4</v>
      </c>
      <c r="G140" s="720">
        <v>532</v>
      </c>
      <c r="H140" s="720">
        <v>1</v>
      </c>
      <c r="I140" s="720">
        <v>133</v>
      </c>
      <c r="J140" s="720">
        <v>3</v>
      </c>
      <c r="K140" s="720">
        <v>402</v>
      </c>
      <c r="L140" s="720">
        <v>0.75563909774436089</v>
      </c>
      <c r="M140" s="720">
        <v>134</v>
      </c>
      <c r="N140" s="720">
        <v>5</v>
      </c>
      <c r="O140" s="720">
        <v>670</v>
      </c>
      <c r="P140" s="716">
        <v>1.2593984962406015</v>
      </c>
      <c r="Q140" s="721">
        <v>134</v>
      </c>
    </row>
    <row r="141" spans="1:17" ht="14.4" customHeight="1" x14ac:dyDescent="0.3">
      <c r="A141" s="710" t="s">
        <v>3630</v>
      </c>
      <c r="B141" s="711" t="s">
        <v>3631</v>
      </c>
      <c r="C141" s="711" t="s">
        <v>2907</v>
      </c>
      <c r="D141" s="711" t="s">
        <v>3636</v>
      </c>
      <c r="E141" s="711" t="s">
        <v>3637</v>
      </c>
      <c r="F141" s="720">
        <v>1</v>
      </c>
      <c r="G141" s="720">
        <v>382</v>
      </c>
      <c r="H141" s="720">
        <v>1</v>
      </c>
      <c r="I141" s="720">
        <v>382</v>
      </c>
      <c r="J141" s="720"/>
      <c r="K141" s="720"/>
      <c r="L141" s="720"/>
      <c r="M141" s="720"/>
      <c r="N141" s="720"/>
      <c r="O141" s="720"/>
      <c r="P141" s="716"/>
      <c r="Q141" s="721"/>
    </row>
    <row r="142" spans="1:17" ht="14.4" customHeight="1" x14ac:dyDescent="0.3">
      <c r="A142" s="710" t="s">
        <v>3630</v>
      </c>
      <c r="B142" s="711" t="s">
        <v>3631</v>
      </c>
      <c r="C142" s="711" t="s">
        <v>2907</v>
      </c>
      <c r="D142" s="711" t="s">
        <v>3638</v>
      </c>
      <c r="E142" s="711" t="s">
        <v>3639</v>
      </c>
      <c r="F142" s="720">
        <v>2</v>
      </c>
      <c r="G142" s="720">
        <v>522</v>
      </c>
      <c r="H142" s="720">
        <v>1</v>
      </c>
      <c r="I142" s="720">
        <v>261</v>
      </c>
      <c r="J142" s="720">
        <v>1</v>
      </c>
      <c r="K142" s="720">
        <v>262</v>
      </c>
      <c r="L142" s="720">
        <v>0.50191570881226055</v>
      </c>
      <c r="M142" s="720">
        <v>262</v>
      </c>
      <c r="N142" s="720">
        <v>1</v>
      </c>
      <c r="O142" s="720">
        <v>262</v>
      </c>
      <c r="P142" s="716">
        <v>0.50191570881226055</v>
      </c>
      <c r="Q142" s="721">
        <v>262</v>
      </c>
    </row>
    <row r="143" spans="1:17" ht="14.4" customHeight="1" x14ac:dyDescent="0.3">
      <c r="A143" s="710" t="s">
        <v>3630</v>
      </c>
      <c r="B143" s="711" t="s">
        <v>3631</v>
      </c>
      <c r="C143" s="711" t="s">
        <v>2907</v>
      </c>
      <c r="D143" s="711" t="s">
        <v>3640</v>
      </c>
      <c r="E143" s="711" t="s">
        <v>3641</v>
      </c>
      <c r="F143" s="720">
        <v>1</v>
      </c>
      <c r="G143" s="720">
        <v>140</v>
      </c>
      <c r="H143" s="720">
        <v>1</v>
      </c>
      <c r="I143" s="720">
        <v>140</v>
      </c>
      <c r="J143" s="720">
        <v>1</v>
      </c>
      <c r="K143" s="720">
        <v>141</v>
      </c>
      <c r="L143" s="720">
        <v>1.0071428571428571</v>
      </c>
      <c r="M143" s="720">
        <v>141</v>
      </c>
      <c r="N143" s="720">
        <v>1</v>
      </c>
      <c r="O143" s="720">
        <v>141</v>
      </c>
      <c r="P143" s="716">
        <v>1.0071428571428571</v>
      </c>
      <c r="Q143" s="721">
        <v>141</v>
      </c>
    </row>
    <row r="144" spans="1:17" ht="14.4" customHeight="1" x14ac:dyDescent="0.3">
      <c r="A144" s="710" t="s">
        <v>3630</v>
      </c>
      <c r="B144" s="711" t="s">
        <v>3631</v>
      </c>
      <c r="C144" s="711" t="s">
        <v>2907</v>
      </c>
      <c r="D144" s="711" t="s">
        <v>3642</v>
      </c>
      <c r="E144" s="711" t="s">
        <v>3641</v>
      </c>
      <c r="F144" s="720">
        <v>4</v>
      </c>
      <c r="G144" s="720">
        <v>312</v>
      </c>
      <c r="H144" s="720">
        <v>1</v>
      </c>
      <c r="I144" s="720">
        <v>78</v>
      </c>
      <c r="J144" s="720">
        <v>3</v>
      </c>
      <c r="K144" s="720">
        <v>234</v>
      </c>
      <c r="L144" s="720">
        <v>0.75</v>
      </c>
      <c r="M144" s="720">
        <v>78</v>
      </c>
      <c r="N144" s="720">
        <v>5</v>
      </c>
      <c r="O144" s="720">
        <v>390</v>
      </c>
      <c r="P144" s="716">
        <v>1.25</v>
      </c>
      <c r="Q144" s="721">
        <v>78</v>
      </c>
    </row>
    <row r="145" spans="1:17" ht="14.4" customHeight="1" x14ac:dyDescent="0.3">
      <c r="A145" s="710" t="s">
        <v>3630</v>
      </c>
      <c r="B145" s="711" t="s">
        <v>3631</v>
      </c>
      <c r="C145" s="711" t="s">
        <v>2907</v>
      </c>
      <c r="D145" s="711" t="s">
        <v>3643</v>
      </c>
      <c r="E145" s="711" t="s">
        <v>3644</v>
      </c>
      <c r="F145" s="720">
        <v>1</v>
      </c>
      <c r="G145" s="720">
        <v>302</v>
      </c>
      <c r="H145" s="720">
        <v>1</v>
      </c>
      <c r="I145" s="720">
        <v>302</v>
      </c>
      <c r="J145" s="720">
        <v>1</v>
      </c>
      <c r="K145" s="720">
        <v>303</v>
      </c>
      <c r="L145" s="720">
        <v>1.0033112582781456</v>
      </c>
      <c r="M145" s="720">
        <v>303</v>
      </c>
      <c r="N145" s="720">
        <v>1</v>
      </c>
      <c r="O145" s="720">
        <v>303</v>
      </c>
      <c r="P145" s="716">
        <v>1.0033112582781456</v>
      </c>
      <c r="Q145" s="721">
        <v>303</v>
      </c>
    </row>
    <row r="146" spans="1:17" ht="14.4" customHeight="1" x14ac:dyDescent="0.3">
      <c r="A146" s="710" t="s">
        <v>3630</v>
      </c>
      <c r="B146" s="711" t="s">
        <v>3631</v>
      </c>
      <c r="C146" s="711" t="s">
        <v>2907</v>
      </c>
      <c r="D146" s="711" t="s">
        <v>3645</v>
      </c>
      <c r="E146" s="711" t="s">
        <v>3646</v>
      </c>
      <c r="F146" s="720">
        <v>1</v>
      </c>
      <c r="G146" s="720">
        <v>486</v>
      </c>
      <c r="H146" s="720">
        <v>1</v>
      </c>
      <c r="I146" s="720">
        <v>486</v>
      </c>
      <c r="J146" s="720"/>
      <c r="K146" s="720"/>
      <c r="L146" s="720"/>
      <c r="M146" s="720"/>
      <c r="N146" s="720"/>
      <c r="O146" s="720"/>
      <c r="P146" s="716"/>
      <c r="Q146" s="721"/>
    </row>
    <row r="147" spans="1:17" ht="14.4" customHeight="1" x14ac:dyDescent="0.3">
      <c r="A147" s="710" t="s">
        <v>3630</v>
      </c>
      <c r="B147" s="711" t="s">
        <v>3631</v>
      </c>
      <c r="C147" s="711" t="s">
        <v>2907</v>
      </c>
      <c r="D147" s="711" t="s">
        <v>3647</v>
      </c>
      <c r="E147" s="711" t="s">
        <v>3648</v>
      </c>
      <c r="F147" s="720">
        <v>4</v>
      </c>
      <c r="G147" s="720">
        <v>636</v>
      </c>
      <c r="H147" s="720">
        <v>1</v>
      </c>
      <c r="I147" s="720">
        <v>159</v>
      </c>
      <c r="J147" s="720">
        <v>3</v>
      </c>
      <c r="K147" s="720">
        <v>480</v>
      </c>
      <c r="L147" s="720">
        <v>0.75471698113207553</v>
      </c>
      <c r="M147" s="720">
        <v>160</v>
      </c>
      <c r="N147" s="720">
        <v>3</v>
      </c>
      <c r="O147" s="720">
        <v>480</v>
      </c>
      <c r="P147" s="716">
        <v>0.75471698113207553</v>
      </c>
      <c r="Q147" s="721">
        <v>160</v>
      </c>
    </row>
    <row r="148" spans="1:17" ht="14.4" customHeight="1" x14ac:dyDescent="0.3">
      <c r="A148" s="710" t="s">
        <v>3630</v>
      </c>
      <c r="B148" s="711" t="s">
        <v>3631</v>
      </c>
      <c r="C148" s="711" t="s">
        <v>2907</v>
      </c>
      <c r="D148" s="711" t="s">
        <v>3649</v>
      </c>
      <c r="E148" s="711" t="s">
        <v>3633</v>
      </c>
      <c r="F148" s="720">
        <v>6</v>
      </c>
      <c r="G148" s="720">
        <v>420</v>
      </c>
      <c r="H148" s="720">
        <v>1</v>
      </c>
      <c r="I148" s="720">
        <v>70</v>
      </c>
      <c r="J148" s="720">
        <v>4</v>
      </c>
      <c r="K148" s="720">
        <v>280</v>
      </c>
      <c r="L148" s="720">
        <v>0.66666666666666663</v>
      </c>
      <c r="M148" s="720">
        <v>70</v>
      </c>
      <c r="N148" s="720">
        <v>8</v>
      </c>
      <c r="O148" s="720">
        <v>560</v>
      </c>
      <c r="P148" s="716">
        <v>1.3333333333333333</v>
      </c>
      <c r="Q148" s="721">
        <v>70</v>
      </c>
    </row>
    <row r="149" spans="1:17" ht="14.4" customHeight="1" x14ac:dyDescent="0.3">
      <c r="A149" s="710" t="s">
        <v>3650</v>
      </c>
      <c r="B149" s="711" t="s">
        <v>3651</v>
      </c>
      <c r="C149" s="711" t="s">
        <v>2907</v>
      </c>
      <c r="D149" s="711" t="s">
        <v>3652</v>
      </c>
      <c r="E149" s="711" t="s">
        <v>3653</v>
      </c>
      <c r="F149" s="720"/>
      <c r="G149" s="720"/>
      <c r="H149" s="720"/>
      <c r="I149" s="720"/>
      <c r="J149" s="720">
        <v>2</v>
      </c>
      <c r="K149" s="720">
        <v>106</v>
      </c>
      <c r="L149" s="720"/>
      <c r="M149" s="720">
        <v>53</v>
      </c>
      <c r="N149" s="720">
        <v>6</v>
      </c>
      <c r="O149" s="720">
        <v>318</v>
      </c>
      <c r="P149" s="716"/>
      <c r="Q149" s="721">
        <v>53</v>
      </c>
    </row>
    <row r="150" spans="1:17" ht="14.4" customHeight="1" x14ac:dyDescent="0.3">
      <c r="A150" s="710" t="s">
        <v>3650</v>
      </c>
      <c r="B150" s="711" t="s">
        <v>3651</v>
      </c>
      <c r="C150" s="711" t="s">
        <v>2907</v>
      </c>
      <c r="D150" s="711" t="s">
        <v>3654</v>
      </c>
      <c r="E150" s="711" t="s">
        <v>3655</v>
      </c>
      <c r="F150" s="720"/>
      <c r="G150" s="720"/>
      <c r="H150" s="720"/>
      <c r="I150" s="720"/>
      <c r="J150" s="720">
        <v>1</v>
      </c>
      <c r="K150" s="720">
        <v>168</v>
      </c>
      <c r="L150" s="720"/>
      <c r="M150" s="720">
        <v>168</v>
      </c>
      <c r="N150" s="720">
        <v>4</v>
      </c>
      <c r="O150" s="720">
        <v>672</v>
      </c>
      <c r="P150" s="716"/>
      <c r="Q150" s="721">
        <v>168</v>
      </c>
    </row>
    <row r="151" spans="1:17" ht="14.4" customHeight="1" x14ac:dyDescent="0.3">
      <c r="A151" s="710" t="s">
        <v>3650</v>
      </c>
      <c r="B151" s="711" t="s">
        <v>3651</v>
      </c>
      <c r="C151" s="711" t="s">
        <v>2907</v>
      </c>
      <c r="D151" s="711" t="s">
        <v>3656</v>
      </c>
      <c r="E151" s="711" t="s">
        <v>3657</v>
      </c>
      <c r="F151" s="720">
        <v>5</v>
      </c>
      <c r="G151" s="720">
        <v>1565</v>
      </c>
      <c r="H151" s="720">
        <v>1</v>
      </c>
      <c r="I151" s="720">
        <v>313</v>
      </c>
      <c r="J151" s="720">
        <v>1</v>
      </c>
      <c r="K151" s="720">
        <v>316</v>
      </c>
      <c r="L151" s="720">
        <v>0.20191693290734825</v>
      </c>
      <c r="M151" s="720">
        <v>316</v>
      </c>
      <c r="N151" s="720">
        <v>1</v>
      </c>
      <c r="O151" s="720">
        <v>316</v>
      </c>
      <c r="P151" s="716">
        <v>0.20191693290734825</v>
      </c>
      <c r="Q151" s="721">
        <v>316</v>
      </c>
    </row>
    <row r="152" spans="1:17" ht="14.4" customHeight="1" x14ac:dyDescent="0.3">
      <c r="A152" s="710" t="s">
        <v>3650</v>
      </c>
      <c r="B152" s="711" t="s">
        <v>3651</v>
      </c>
      <c r="C152" s="711" t="s">
        <v>2907</v>
      </c>
      <c r="D152" s="711" t="s">
        <v>3658</v>
      </c>
      <c r="E152" s="711" t="s">
        <v>3659</v>
      </c>
      <c r="F152" s="720"/>
      <c r="G152" s="720"/>
      <c r="H152" s="720"/>
      <c r="I152" s="720"/>
      <c r="J152" s="720"/>
      <c r="K152" s="720"/>
      <c r="L152" s="720"/>
      <c r="M152" s="720"/>
      <c r="N152" s="720">
        <v>19</v>
      </c>
      <c r="O152" s="720">
        <v>6422</v>
      </c>
      <c r="P152" s="716"/>
      <c r="Q152" s="721">
        <v>338</v>
      </c>
    </row>
    <row r="153" spans="1:17" ht="14.4" customHeight="1" x14ac:dyDescent="0.3">
      <c r="A153" s="710" t="s">
        <v>3650</v>
      </c>
      <c r="B153" s="711" t="s">
        <v>3651</v>
      </c>
      <c r="C153" s="711" t="s">
        <v>2907</v>
      </c>
      <c r="D153" s="711" t="s">
        <v>3358</v>
      </c>
      <c r="E153" s="711" t="s">
        <v>3359</v>
      </c>
      <c r="F153" s="720">
        <v>1</v>
      </c>
      <c r="G153" s="720">
        <v>46</v>
      </c>
      <c r="H153" s="720">
        <v>1</v>
      </c>
      <c r="I153" s="720">
        <v>46</v>
      </c>
      <c r="J153" s="720"/>
      <c r="K153" s="720"/>
      <c r="L153" s="720"/>
      <c r="M153" s="720"/>
      <c r="N153" s="720"/>
      <c r="O153" s="720"/>
      <c r="P153" s="716"/>
      <c r="Q153" s="721"/>
    </row>
    <row r="154" spans="1:17" ht="14.4" customHeight="1" x14ac:dyDescent="0.3">
      <c r="A154" s="710" t="s">
        <v>3650</v>
      </c>
      <c r="B154" s="711" t="s">
        <v>3651</v>
      </c>
      <c r="C154" s="711" t="s">
        <v>2907</v>
      </c>
      <c r="D154" s="711" t="s">
        <v>3660</v>
      </c>
      <c r="E154" s="711" t="s">
        <v>3661</v>
      </c>
      <c r="F154" s="720"/>
      <c r="G154" s="720"/>
      <c r="H154" s="720"/>
      <c r="I154" s="720"/>
      <c r="J154" s="720"/>
      <c r="K154" s="720"/>
      <c r="L154" s="720"/>
      <c r="M154" s="720"/>
      <c r="N154" s="720">
        <v>2</v>
      </c>
      <c r="O154" s="720">
        <v>730</v>
      </c>
      <c r="P154" s="716"/>
      <c r="Q154" s="721">
        <v>365</v>
      </c>
    </row>
    <row r="155" spans="1:17" ht="14.4" customHeight="1" x14ac:dyDescent="0.3">
      <c r="A155" s="710" t="s">
        <v>3650</v>
      </c>
      <c r="B155" s="711" t="s">
        <v>3651</v>
      </c>
      <c r="C155" s="711" t="s">
        <v>2907</v>
      </c>
      <c r="D155" s="711" t="s">
        <v>3662</v>
      </c>
      <c r="E155" s="711" t="s">
        <v>3663</v>
      </c>
      <c r="F155" s="720">
        <v>1</v>
      </c>
      <c r="G155" s="720">
        <v>36</v>
      </c>
      <c r="H155" s="720">
        <v>1</v>
      </c>
      <c r="I155" s="720">
        <v>36</v>
      </c>
      <c r="J155" s="720"/>
      <c r="K155" s="720"/>
      <c r="L155" s="720"/>
      <c r="M155" s="720"/>
      <c r="N155" s="720"/>
      <c r="O155" s="720"/>
      <c r="P155" s="716"/>
      <c r="Q155" s="721"/>
    </row>
    <row r="156" spans="1:17" ht="14.4" customHeight="1" x14ac:dyDescent="0.3">
      <c r="A156" s="710" t="s">
        <v>3650</v>
      </c>
      <c r="B156" s="711" t="s">
        <v>3651</v>
      </c>
      <c r="C156" s="711" t="s">
        <v>2907</v>
      </c>
      <c r="D156" s="711" t="s">
        <v>3363</v>
      </c>
      <c r="E156" s="711" t="s">
        <v>3364</v>
      </c>
      <c r="F156" s="720"/>
      <c r="G156" s="720"/>
      <c r="H156" s="720"/>
      <c r="I156" s="720"/>
      <c r="J156" s="720"/>
      <c r="K156" s="720"/>
      <c r="L156" s="720"/>
      <c r="M156" s="720"/>
      <c r="N156" s="720">
        <v>2</v>
      </c>
      <c r="O156" s="720">
        <v>1328</v>
      </c>
      <c r="P156" s="716"/>
      <c r="Q156" s="721">
        <v>664</v>
      </c>
    </row>
    <row r="157" spans="1:17" ht="14.4" customHeight="1" x14ac:dyDescent="0.3">
      <c r="A157" s="710" t="s">
        <v>3650</v>
      </c>
      <c r="B157" s="711" t="s">
        <v>3651</v>
      </c>
      <c r="C157" s="711" t="s">
        <v>2907</v>
      </c>
      <c r="D157" s="711" t="s">
        <v>3664</v>
      </c>
      <c r="E157" s="711" t="s">
        <v>3665</v>
      </c>
      <c r="F157" s="720"/>
      <c r="G157" s="720"/>
      <c r="H157" s="720"/>
      <c r="I157" s="720"/>
      <c r="J157" s="720">
        <v>1</v>
      </c>
      <c r="K157" s="720">
        <v>281</v>
      </c>
      <c r="L157" s="720"/>
      <c r="M157" s="720">
        <v>281</v>
      </c>
      <c r="N157" s="720">
        <v>1</v>
      </c>
      <c r="O157" s="720">
        <v>281</v>
      </c>
      <c r="P157" s="716"/>
      <c r="Q157" s="721">
        <v>281</v>
      </c>
    </row>
    <row r="158" spans="1:17" ht="14.4" customHeight="1" x14ac:dyDescent="0.3">
      <c r="A158" s="710" t="s">
        <v>3650</v>
      </c>
      <c r="B158" s="711" t="s">
        <v>3651</v>
      </c>
      <c r="C158" s="711" t="s">
        <v>2907</v>
      </c>
      <c r="D158" s="711" t="s">
        <v>3666</v>
      </c>
      <c r="E158" s="711" t="s">
        <v>3667</v>
      </c>
      <c r="F158" s="720">
        <v>5</v>
      </c>
      <c r="G158" s="720">
        <v>2265</v>
      </c>
      <c r="H158" s="720">
        <v>1</v>
      </c>
      <c r="I158" s="720">
        <v>453</v>
      </c>
      <c r="J158" s="720"/>
      <c r="K158" s="720"/>
      <c r="L158" s="720"/>
      <c r="M158" s="720"/>
      <c r="N158" s="720">
        <v>2</v>
      </c>
      <c r="O158" s="720">
        <v>912</v>
      </c>
      <c r="P158" s="716">
        <v>0.40264900662251657</v>
      </c>
      <c r="Q158" s="721">
        <v>456</v>
      </c>
    </row>
    <row r="159" spans="1:17" ht="14.4" customHeight="1" x14ac:dyDescent="0.3">
      <c r="A159" s="710" t="s">
        <v>3650</v>
      </c>
      <c r="B159" s="711" t="s">
        <v>3651</v>
      </c>
      <c r="C159" s="711" t="s">
        <v>2907</v>
      </c>
      <c r="D159" s="711" t="s">
        <v>3668</v>
      </c>
      <c r="E159" s="711" t="s">
        <v>3669</v>
      </c>
      <c r="F159" s="720">
        <v>5</v>
      </c>
      <c r="G159" s="720">
        <v>1725</v>
      </c>
      <c r="H159" s="720">
        <v>1</v>
      </c>
      <c r="I159" s="720">
        <v>345</v>
      </c>
      <c r="J159" s="720">
        <v>1</v>
      </c>
      <c r="K159" s="720">
        <v>348</v>
      </c>
      <c r="L159" s="720">
        <v>0.20173913043478262</v>
      </c>
      <c r="M159" s="720">
        <v>348</v>
      </c>
      <c r="N159" s="720">
        <v>3</v>
      </c>
      <c r="O159" s="720">
        <v>1044</v>
      </c>
      <c r="P159" s="716">
        <v>0.60521739130434782</v>
      </c>
      <c r="Q159" s="721">
        <v>348</v>
      </c>
    </row>
    <row r="160" spans="1:17" ht="14.4" customHeight="1" x14ac:dyDescent="0.3">
      <c r="A160" s="710" t="s">
        <v>3650</v>
      </c>
      <c r="B160" s="711" t="s">
        <v>3651</v>
      </c>
      <c r="C160" s="711" t="s">
        <v>2907</v>
      </c>
      <c r="D160" s="711" t="s">
        <v>3670</v>
      </c>
      <c r="E160" s="711" t="s">
        <v>3671</v>
      </c>
      <c r="F160" s="720">
        <v>4</v>
      </c>
      <c r="G160" s="720">
        <v>408</v>
      </c>
      <c r="H160" s="720">
        <v>1</v>
      </c>
      <c r="I160" s="720">
        <v>102</v>
      </c>
      <c r="J160" s="720"/>
      <c r="K160" s="720"/>
      <c r="L160" s="720"/>
      <c r="M160" s="720"/>
      <c r="N160" s="720"/>
      <c r="O160" s="720"/>
      <c r="P160" s="716"/>
      <c r="Q160" s="721"/>
    </row>
    <row r="161" spans="1:17" ht="14.4" customHeight="1" x14ac:dyDescent="0.3">
      <c r="A161" s="710" t="s">
        <v>3650</v>
      </c>
      <c r="B161" s="711" t="s">
        <v>3651</v>
      </c>
      <c r="C161" s="711" t="s">
        <v>2907</v>
      </c>
      <c r="D161" s="711" t="s">
        <v>3367</v>
      </c>
      <c r="E161" s="711" t="s">
        <v>3368</v>
      </c>
      <c r="F161" s="720"/>
      <c r="G161" s="720"/>
      <c r="H161" s="720"/>
      <c r="I161" s="720"/>
      <c r="J161" s="720">
        <v>1</v>
      </c>
      <c r="K161" s="720">
        <v>457</v>
      </c>
      <c r="L161" s="720"/>
      <c r="M161" s="720">
        <v>457</v>
      </c>
      <c r="N161" s="720"/>
      <c r="O161" s="720"/>
      <c r="P161" s="716"/>
      <c r="Q161" s="721"/>
    </row>
    <row r="162" spans="1:17" ht="14.4" customHeight="1" x14ac:dyDescent="0.3">
      <c r="A162" s="710" t="s">
        <v>3650</v>
      </c>
      <c r="B162" s="711" t="s">
        <v>3651</v>
      </c>
      <c r="C162" s="711" t="s">
        <v>2907</v>
      </c>
      <c r="D162" s="711" t="s">
        <v>3672</v>
      </c>
      <c r="E162" s="711" t="s">
        <v>3673</v>
      </c>
      <c r="F162" s="720">
        <v>6</v>
      </c>
      <c r="G162" s="720">
        <v>2550</v>
      </c>
      <c r="H162" s="720">
        <v>1</v>
      </c>
      <c r="I162" s="720">
        <v>425</v>
      </c>
      <c r="J162" s="720"/>
      <c r="K162" s="720"/>
      <c r="L162" s="720"/>
      <c r="M162" s="720"/>
      <c r="N162" s="720">
        <v>1</v>
      </c>
      <c r="O162" s="720">
        <v>429</v>
      </c>
      <c r="P162" s="716">
        <v>0.16823529411764707</v>
      </c>
      <c r="Q162" s="721">
        <v>429</v>
      </c>
    </row>
    <row r="163" spans="1:17" ht="14.4" customHeight="1" x14ac:dyDescent="0.3">
      <c r="A163" s="710" t="s">
        <v>3650</v>
      </c>
      <c r="B163" s="711" t="s">
        <v>3651</v>
      </c>
      <c r="C163" s="711" t="s">
        <v>2907</v>
      </c>
      <c r="D163" s="711" t="s">
        <v>3674</v>
      </c>
      <c r="E163" s="711" t="s">
        <v>3675</v>
      </c>
      <c r="F163" s="720">
        <v>14</v>
      </c>
      <c r="G163" s="720">
        <v>742</v>
      </c>
      <c r="H163" s="720">
        <v>1</v>
      </c>
      <c r="I163" s="720">
        <v>53</v>
      </c>
      <c r="J163" s="720"/>
      <c r="K163" s="720"/>
      <c r="L163" s="720"/>
      <c r="M163" s="720"/>
      <c r="N163" s="720">
        <v>6</v>
      </c>
      <c r="O163" s="720">
        <v>318</v>
      </c>
      <c r="P163" s="716">
        <v>0.42857142857142855</v>
      </c>
      <c r="Q163" s="721">
        <v>53</v>
      </c>
    </row>
    <row r="164" spans="1:17" ht="14.4" customHeight="1" x14ac:dyDescent="0.3">
      <c r="A164" s="710" t="s">
        <v>3650</v>
      </c>
      <c r="B164" s="711" t="s">
        <v>3651</v>
      </c>
      <c r="C164" s="711" t="s">
        <v>2907</v>
      </c>
      <c r="D164" s="711" t="s">
        <v>3676</v>
      </c>
      <c r="E164" s="711" t="s">
        <v>3677</v>
      </c>
      <c r="F164" s="720"/>
      <c r="G164" s="720"/>
      <c r="H164" s="720"/>
      <c r="I164" s="720"/>
      <c r="J164" s="720"/>
      <c r="K164" s="720"/>
      <c r="L164" s="720"/>
      <c r="M164" s="720"/>
      <c r="N164" s="720">
        <v>1</v>
      </c>
      <c r="O164" s="720">
        <v>2164</v>
      </c>
      <c r="P164" s="716"/>
      <c r="Q164" s="721">
        <v>2164</v>
      </c>
    </row>
    <row r="165" spans="1:17" ht="14.4" customHeight="1" x14ac:dyDescent="0.3">
      <c r="A165" s="710" t="s">
        <v>3650</v>
      </c>
      <c r="B165" s="711" t="s">
        <v>3651</v>
      </c>
      <c r="C165" s="711" t="s">
        <v>2907</v>
      </c>
      <c r="D165" s="711" t="s">
        <v>3678</v>
      </c>
      <c r="E165" s="711" t="s">
        <v>3679</v>
      </c>
      <c r="F165" s="720">
        <v>26</v>
      </c>
      <c r="G165" s="720">
        <v>4264</v>
      </c>
      <c r="H165" s="720">
        <v>1</v>
      </c>
      <c r="I165" s="720">
        <v>164</v>
      </c>
      <c r="J165" s="720"/>
      <c r="K165" s="720"/>
      <c r="L165" s="720"/>
      <c r="M165" s="720"/>
      <c r="N165" s="720">
        <v>3</v>
      </c>
      <c r="O165" s="720">
        <v>495</v>
      </c>
      <c r="P165" s="716">
        <v>0.11608818011257035</v>
      </c>
      <c r="Q165" s="721">
        <v>165</v>
      </c>
    </row>
    <row r="166" spans="1:17" ht="14.4" customHeight="1" x14ac:dyDescent="0.3">
      <c r="A166" s="710" t="s">
        <v>3650</v>
      </c>
      <c r="B166" s="711" t="s">
        <v>3651</v>
      </c>
      <c r="C166" s="711" t="s">
        <v>2907</v>
      </c>
      <c r="D166" s="711" t="s">
        <v>3369</v>
      </c>
      <c r="E166" s="711" t="s">
        <v>3370</v>
      </c>
      <c r="F166" s="720">
        <v>4</v>
      </c>
      <c r="G166" s="720">
        <v>312</v>
      </c>
      <c r="H166" s="720">
        <v>1</v>
      </c>
      <c r="I166" s="720">
        <v>78</v>
      </c>
      <c r="J166" s="720">
        <v>10</v>
      </c>
      <c r="K166" s="720">
        <v>790</v>
      </c>
      <c r="L166" s="720">
        <v>2.5320512820512819</v>
      </c>
      <c r="M166" s="720">
        <v>79</v>
      </c>
      <c r="N166" s="720">
        <v>4</v>
      </c>
      <c r="O166" s="720">
        <v>316</v>
      </c>
      <c r="P166" s="716">
        <v>1.0128205128205128</v>
      </c>
      <c r="Q166" s="721">
        <v>79</v>
      </c>
    </row>
    <row r="167" spans="1:17" ht="14.4" customHeight="1" x14ac:dyDescent="0.3">
      <c r="A167" s="710" t="s">
        <v>3650</v>
      </c>
      <c r="B167" s="711" t="s">
        <v>3651</v>
      </c>
      <c r="C167" s="711" t="s">
        <v>2907</v>
      </c>
      <c r="D167" s="711" t="s">
        <v>3373</v>
      </c>
      <c r="E167" s="711" t="s">
        <v>3374</v>
      </c>
      <c r="F167" s="720"/>
      <c r="G167" s="720"/>
      <c r="H167" s="720"/>
      <c r="I167" s="720"/>
      <c r="J167" s="720">
        <v>1</v>
      </c>
      <c r="K167" s="720">
        <v>167</v>
      </c>
      <c r="L167" s="720"/>
      <c r="M167" s="720">
        <v>167</v>
      </c>
      <c r="N167" s="720"/>
      <c r="O167" s="720"/>
      <c r="P167" s="716"/>
      <c r="Q167" s="721"/>
    </row>
    <row r="168" spans="1:17" ht="14.4" customHeight="1" x14ac:dyDescent="0.3">
      <c r="A168" s="710" t="s">
        <v>3650</v>
      </c>
      <c r="B168" s="711" t="s">
        <v>3651</v>
      </c>
      <c r="C168" s="711" t="s">
        <v>2907</v>
      </c>
      <c r="D168" s="711" t="s">
        <v>3680</v>
      </c>
      <c r="E168" s="711" t="s">
        <v>3681</v>
      </c>
      <c r="F168" s="720">
        <v>1</v>
      </c>
      <c r="G168" s="720">
        <v>242</v>
      </c>
      <c r="H168" s="720">
        <v>1</v>
      </c>
      <c r="I168" s="720">
        <v>242</v>
      </c>
      <c r="J168" s="720"/>
      <c r="K168" s="720"/>
      <c r="L168" s="720"/>
      <c r="M168" s="720"/>
      <c r="N168" s="720">
        <v>2</v>
      </c>
      <c r="O168" s="720">
        <v>486</v>
      </c>
      <c r="P168" s="716">
        <v>2.0082644628099175</v>
      </c>
      <c r="Q168" s="721">
        <v>243</v>
      </c>
    </row>
    <row r="169" spans="1:17" ht="14.4" customHeight="1" x14ac:dyDescent="0.3">
      <c r="A169" s="710" t="s">
        <v>3650</v>
      </c>
      <c r="B169" s="711" t="s">
        <v>3651</v>
      </c>
      <c r="C169" s="711" t="s">
        <v>2907</v>
      </c>
      <c r="D169" s="711" t="s">
        <v>3682</v>
      </c>
      <c r="E169" s="711" t="s">
        <v>3683</v>
      </c>
      <c r="F169" s="720"/>
      <c r="G169" s="720"/>
      <c r="H169" s="720"/>
      <c r="I169" s="720"/>
      <c r="J169" s="720"/>
      <c r="K169" s="720"/>
      <c r="L169" s="720"/>
      <c r="M169" s="720"/>
      <c r="N169" s="720">
        <v>12</v>
      </c>
      <c r="O169" s="720">
        <v>23916</v>
      </c>
      <c r="P169" s="716"/>
      <c r="Q169" s="721">
        <v>1993</v>
      </c>
    </row>
    <row r="170" spans="1:17" ht="14.4" customHeight="1" x14ac:dyDescent="0.3">
      <c r="A170" s="710" t="s">
        <v>3650</v>
      </c>
      <c r="B170" s="711" t="s">
        <v>3651</v>
      </c>
      <c r="C170" s="711" t="s">
        <v>2907</v>
      </c>
      <c r="D170" s="711" t="s">
        <v>3684</v>
      </c>
      <c r="E170" s="711" t="s">
        <v>3685</v>
      </c>
      <c r="F170" s="720">
        <v>2</v>
      </c>
      <c r="G170" s="720">
        <v>798</v>
      </c>
      <c r="H170" s="720">
        <v>1</v>
      </c>
      <c r="I170" s="720">
        <v>399</v>
      </c>
      <c r="J170" s="720"/>
      <c r="K170" s="720"/>
      <c r="L170" s="720"/>
      <c r="M170" s="720"/>
      <c r="N170" s="720"/>
      <c r="O170" s="720"/>
      <c r="P170" s="716"/>
      <c r="Q170" s="721"/>
    </row>
    <row r="171" spans="1:17" ht="14.4" customHeight="1" x14ac:dyDescent="0.3">
      <c r="A171" s="710" t="s">
        <v>3650</v>
      </c>
      <c r="B171" s="711" t="s">
        <v>3651</v>
      </c>
      <c r="C171" s="711" t="s">
        <v>2907</v>
      </c>
      <c r="D171" s="711" t="s">
        <v>3686</v>
      </c>
      <c r="E171" s="711" t="s">
        <v>3687</v>
      </c>
      <c r="F171" s="720"/>
      <c r="G171" s="720"/>
      <c r="H171" s="720"/>
      <c r="I171" s="720"/>
      <c r="J171" s="720"/>
      <c r="K171" s="720"/>
      <c r="L171" s="720"/>
      <c r="M171" s="720"/>
      <c r="N171" s="720">
        <v>2</v>
      </c>
      <c r="O171" s="720">
        <v>532</v>
      </c>
      <c r="P171" s="716"/>
      <c r="Q171" s="721">
        <v>266</v>
      </c>
    </row>
    <row r="172" spans="1:17" ht="14.4" customHeight="1" x14ac:dyDescent="0.3">
      <c r="A172" s="710" t="s">
        <v>3688</v>
      </c>
      <c r="B172" s="711" t="s">
        <v>573</v>
      </c>
      <c r="C172" s="711" t="s">
        <v>2907</v>
      </c>
      <c r="D172" s="711" t="s">
        <v>3689</v>
      </c>
      <c r="E172" s="711" t="s">
        <v>3690</v>
      </c>
      <c r="F172" s="720">
        <v>49</v>
      </c>
      <c r="G172" s="720">
        <v>7742</v>
      </c>
      <c r="H172" s="720">
        <v>1</v>
      </c>
      <c r="I172" s="720">
        <v>158</v>
      </c>
      <c r="J172" s="720">
        <v>62</v>
      </c>
      <c r="K172" s="720">
        <v>9858</v>
      </c>
      <c r="L172" s="720">
        <v>1.273314389046758</v>
      </c>
      <c r="M172" s="720">
        <v>159</v>
      </c>
      <c r="N172" s="720">
        <v>29</v>
      </c>
      <c r="O172" s="720">
        <v>4611</v>
      </c>
      <c r="P172" s="716">
        <v>0.5955825368121932</v>
      </c>
      <c r="Q172" s="721">
        <v>159</v>
      </c>
    </row>
    <row r="173" spans="1:17" ht="14.4" customHeight="1" x14ac:dyDescent="0.3">
      <c r="A173" s="710" t="s">
        <v>3688</v>
      </c>
      <c r="B173" s="711" t="s">
        <v>573</v>
      </c>
      <c r="C173" s="711" t="s">
        <v>2907</v>
      </c>
      <c r="D173" s="711" t="s">
        <v>3691</v>
      </c>
      <c r="E173" s="711" t="s">
        <v>3692</v>
      </c>
      <c r="F173" s="720"/>
      <c r="G173" s="720"/>
      <c r="H173" s="720"/>
      <c r="I173" s="720"/>
      <c r="J173" s="720">
        <v>1</v>
      </c>
      <c r="K173" s="720">
        <v>1165</v>
      </c>
      <c r="L173" s="720"/>
      <c r="M173" s="720">
        <v>1165</v>
      </c>
      <c r="N173" s="720"/>
      <c r="O173" s="720"/>
      <c r="P173" s="716"/>
      <c r="Q173" s="721"/>
    </row>
    <row r="174" spans="1:17" ht="14.4" customHeight="1" x14ac:dyDescent="0.3">
      <c r="A174" s="710" t="s">
        <v>3688</v>
      </c>
      <c r="B174" s="711" t="s">
        <v>573</v>
      </c>
      <c r="C174" s="711" t="s">
        <v>2907</v>
      </c>
      <c r="D174" s="711" t="s">
        <v>3693</v>
      </c>
      <c r="E174" s="711" t="s">
        <v>3694</v>
      </c>
      <c r="F174" s="720">
        <v>64</v>
      </c>
      <c r="G174" s="720">
        <v>2496</v>
      </c>
      <c r="H174" s="720">
        <v>1</v>
      </c>
      <c r="I174" s="720">
        <v>39</v>
      </c>
      <c r="J174" s="720">
        <v>73</v>
      </c>
      <c r="K174" s="720">
        <v>2847</v>
      </c>
      <c r="L174" s="720">
        <v>1.140625</v>
      </c>
      <c r="M174" s="720">
        <v>39</v>
      </c>
      <c r="N174" s="720">
        <v>56</v>
      </c>
      <c r="O174" s="720">
        <v>2184</v>
      </c>
      <c r="P174" s="716">
        <v>0.875</v>
      </c>
      <c r="Q174" s="721">
        <v>39</v>
      </c>
    </row>
    <row r="175" spans="1:17" ht="14.4" customHeight="1" x14ac:dyDescent="0.3">
      <c r="A175" s="710" t="s">
        <v>3688</v>
      </c>
      <c r="B175" s="711" t="s">
        <v>573</v>
      </c>
      <c r="C175" s="711" t="s">
        <v>2907</v>
      </c>
      <c r="D175" s="711" t="s">
        <v>3636</v>
      </c>
      <c r="E175" s="711" t="s">
        <v>3637</v>
      </c>
      <c r="F175" s="720">
        <v>5</v>
      </c>
      <c r="G175" s="720">
        <v>1910</v>
      </c>
      <c r="H175" s="720">
        <v>1</v>
      </c>
      <c r="I175" s="720">
        <v>382</v>
      </c>
      <c r="J175" s="720">
        <v>4</v>
      </c>
      <c r="K175" s="720">
        <v>1528</v>
      </c>
      <c r="L175" s="720">
        <v>0.8</v>
      </c>
      <c r="M175" s="720">
        <v>382</v>
      </c>
      <c r="N175" s="720"/>
      <c r="O175" s="720"/>
      <c r="P175" s="716"/>
      <c r="Q175" s="721"/>
    </row>
    <row r="176" spans="1:17" ht="14.4" customHeight="1" x14ac:dyDescent="0.3">
      <c r="A176" s="710" t="s">
        <v>3688</v>
      </c>
      <c r="B176" s="711" t="s">
        <v>573</v>
      </c>
      <c r="C176" s="711" t="s">
        <v>2907</v>
      </c>
      <c r="D176" s="711" t="s">
        <v>3695</v>
      </c>
      <c r="E176" s="711" t="s">
        <v>3696</v>
      </c>
      <c r="F176" s="720">
        <v>9</v>
      </c>
      <c r="G176" s="720">
        <v>324</v>
      </c>
      <c r="H176" s="720">
        <v>1</v>
      </c>
      <c r="I176" s="720">
        <v>36</v>
      </c>
      <c r="J176" s="720"/>
      <c r="K176" s="720"/>
      <c r="L176" s="720"/>
      <c r="M176" s="720"/>
      <c r="N176" s="720"/>
      <c r="O176" s="720"/>
      <c r="P176" s="716"/>
      <c r="Q176" s="721"/>
    </row>
    <row r="177" spans="1:17" ht="14.4" customHeight="1" x14ac:dyDescent="0.3">
      <c r="A177" s="710" t="s">
        <v>3688</v>
      </c>
      <c r="B177" s="711" t="s">
        <v>573</v>
      </c>
      <c r="C177" s="711" t="s">
        <v>2907</v>
      </c>
      <c r="D177" s="711" t="s">
        <v>3697</v>
      </c>
      <c r="E177" s="711" t="s">
        <v>3698</v>
      </c>
      <c r="F177" s="720">
        <v>3</v>
      </c>
      <c r="G177" s="720">
        <v>1332</v>
      </c>
      <c r="H177" s="720">
        <v>1</v>
      </c>
      <c r="I177" s="720">
        <v>444</v>
      </c>
      <c r="J177" s="720"/>
      <c r="K177" s="720"/>
      <c r="L177" s="720"/>
      <c r="M177" s="720"/>
      <c r="N177" s="720">
        <v>3</v>
      </c>
      <c r="O177" s="720">
        <v>1332</v>
      </c>
      <c r="P177" s="716">
        <v>1</v>
      </c>
      <c r="Q177" s="721">
        <v>444</v>
      </c>
    </row>
    <row r="178" spans="1:17" ht="14.4" customHeight="1" x14ac:dyDescent="0.3">
      <c r="A178" s="710" t="s">
        <v>3688</v>
      </c>
      <c r="B178" s="711" t="s">
        <v>573</v>
      </c>
      <c r="C178" s="711" t="s">
        <v>2907</v>
      </c>
      <c r="D178" s="711" t="s">
        <v>3699</v>
      </c>
      <c r="E178" s="711" t="s">
        <v>3700</v>
      </c>
      <c r="F178" s="720">
        <v>2</v>
      </c>
      <c r="G178" s="720">
        <v>80</v>
      </c>
      <c r="H178" s="720">
        <v>1</v>
      </c>
      <c r="I178" s="720">
        <v>40</v>
      </c>
      <c r="J178" s="720"/>
      <c r="K178" s="720"/>
      <c r="L178" s="720"/>
      <c r="M178" s="720"/>
      <c r="N178" s="720"/>
      <c r="O178" s="720"/>
      <c r="P178" s="716"/>
      <c r="Q178" s="721"/>
    </row>
    <row r="179" spans="1:17" ht="14.4" customHeight="1" x14ac:dyDescent="0.3">
      <c r="A179" s="710" t="s">
        <v>3688</v>
      </c>
      <c r="B179" s="711" t="s">
        <v>573</v>
      </c>
      <c r="C179" s="711" t="s">
        <v>2907</v>
      </c>
      <c r="D179" s="711" t="s">
        <v>3701</v>
      </c>
      <c r="E179" s="711" t="s">
        <v>3702</v>
      </c>
      <c r="F179" s="720">
        <v>2</v>
      </c>
      <c r="G179" s="720">
        <v>980</v>
      </c>
      <c r="H179" s="720">
        <v>1</v>
      </c>
      <c r="I179" s="720">
        <v>490</v>
      </c>
      <c r="J179" s="720"/>
      <c r="K179" s="720"/>
      <c r="L179" s="720"/>
      <c r="M179" s="720"/>
      <c r="N179" s="720">
        <v>5</v>
      </c>
      <c r="O179" s="720">
        <v>2450</v>
      </c>
      <c r="P179" s="716">
        <v>2.5</v>
      </c>
      <c r="Q179" s="721">
        <v>490</v>
      </c>
    </row>
    <row r="180" spans="1:17" ht="14.4" customHeight="1" x14ac:dyDescent="0.3">
      <c r="A180" s="710" t="s">
        <v>3688</v>
      </c>
      <c r="B180" s="711" t="s">
        <v>573</v>
      </c>
      <c r="C180" s="711" t="s">
        <v>2907</v>
      </c>
      <c r="D180" s="711" t="s">
        <v>3703</v>
      </c>
      <c r="E180" s="711" t="s">
        <v>3704</v>
      </c>
      <c r="F180" s="720"/>
      <c r="G180" s="720"/>
      <c r="H180" s="720"/>
      <c r="I180" s="720"/>
      <c r="J180" s="720">
        <v>11</v>
      </c>
      <c r="K180" s="720">
        <v>341</v>
      </c>
      <c r="L180" s="720"/>
      <c r="M180" s="720">
        <v>31</v>
      </c>
      <c r="N180" s="720">
        <v>2</v>
      </c>
      <c r="O180" s="720">
        <v>62</v>
      </c>
      <c r="P180" s="716"/>
      <c r="Q180" s="721">
        <v>31</v>
      </c>
    </row>
    <row r="181" spans="1:17" ht="14.4" customHeight="1" x14ac:dyDescent="0.3">
      <c r="A181" s="710" t="s">
        <v>3688</v>
      </c>
      <c r="B181" s="711" t="s">
        <v>573</v>
      </c>
      <c r="C181" s="711" t="s">
        <v>2907</v>
      </c>
      <c r="D181" s="711" t="s">
        <v>3705</v>
      </c>
      <c r="E181" s="711" t="s">
        <v>3706</v>
      </c>
      <c r="F181" s="720">
        <v>119</v>
      </c>
      <c r="G181" s="720">
        <v>13328</v>
      </c>
      <c r="H181" s="720">
        <v>1</v>
      </c>
      <c r="I181" s="720">
        <v>112</v>
      </c>
      <c r="J181" s="720">
        <v>144</v>
      </c>
      <c r="K181" s="720">
        <v>16272</v>
      </c>
      <c r="L181" s="720">
        <v>1.2208883553421368</v>
      </c>
      <c r="M181" s="720">
        <v>113</v>
      </c>
      <c r="N181" s="720">
        <v>109</v>
      </c>
      <c r="O181" s="720">
        <v>12317</v>
      </c>
      <c r="P181" s="716">
        <v>0.92414465786314526</v>
      </c>
      <c r="Q181" s="721">
        <v>113</v>
      </c>
    </row>
    <row r="182" spans="1:17" ht="14.4" customHeight="1" x14ac:dyDescent="0.3">
      <c r="A182" s="710" t="s">
        <v>3688</v>
      </c>
      <c r="B182" s="711" t="s">
        <v>573</v>
      </c>
      <c r="C182" s="711" t="s">
        <v>2907</v>
      </c>
      <c r="D182" s="711" t="s">
        <v>3707</v>
      </c>
      <c r="E182" s="711" t="s">
        <v>3708</v>
      </c>
      <c r="F182" s="720">
        <v>27</v>
      </c>
      <c r="G182" s="720">
        <v>2241</v>
      </c>
      <c r="H182" s="720">
        <v>1</v>
      </c>
      <c r="I182" s="720">
        <v>83</v>
      </c>
      <c r="J182" s="720">
        <v>23</v>
      </c>
      <c r="K182" s="720">
        <v>1932</v>
      </c>
      <c r="L182" s="720">
        <v>0.86211512717536809</v>
      </c>
      <c r="M182" s="720">
        <v>84</v>
      </c>
      <c r="N182" s="720">
        <v>11</v>
      </c>
      <c r="O182" s="720">
        <v>924</v>
      </c>
      <c r="P182" s="716">
        <v>0.41231593038821956</v>
      </c>
      <c r="Q182" s="721">
        <v>84</v>
      </c>
    </row>
    <row r="183" spans="1:17" ht="14.4" customHeight="1" x14ac:dyDescent="0.3">
      <c r="A183" s="710" t="s">
        <v>3688</v>
      </c>
      <c r="B183" s="711" t="s">
        <v>573</v>
      </c>
      <c r="C183" s="711" t="s">
        <v>2907</v>
      </c>
      <c r="D183" s="711" t="s">
        <v>3709</v>
      </c>
      <c r="E183" s="711" t="s">
        <v>3710</v>
      </c>
      <c r="F183" s="720">
        <v>1</v>
      </c>
      <c r="G183" s="720">
        <v>95</v>
      </c>
      <c r="H183" s="720">
        <v>1</v>
      </c>
      <c r="I183" s="720">
        <v>95</v>
      </c>
      <c r="J183" s="720">
        <v>1</v>
      </c>
      <c r="K183" s="720">
        <v>96</v>
      </c>
      <c r="L183" s="720">
        <v>1.0105263157894737</v>
      </c>
      <c r="M183" s="720">
        <v>96</v>
      </c>
      <c r="N183" s="720"/>
      <c r="O183" s="720"/>
      <c r="P183" s="716"/>
      <c r="Q183" s="721"/>
    </row>
    <row r="184" spans="1:17" ht="14.4" customHeight="1" x14ac:dyDescent="0.3">
      <c r="A184" s="710" t="s">
        <v>3688</v>
      </c>
      <c r="B184" s="711" t="s">
        <v>573</v>
      </c>
      <c r="C184" s="711" t="s">
        <v>2907</v>
      </c>
      <c r="D184" s="711" t="s">
        <v>3711</v>
      </c>
      <c r="E184" s="711" t="s">
        <v>3712</v>
      </c>
      <c r="F184" s="720">
        <v>12</v>
      </c>
      <c r="G184" s="720">
        <v>252</v>
      </c>
      <c r="H184" s="720">
        <v>1</v>
      </c>
      <c r="I184" s="720">
        <v>21</v>
      </c>
      <c r="J184" s="720">
        <v>3</v>
      </c>
      <c r="K184" s="720">
        <v>63</v>
      </c>
      <c r="L184" s="720">
        <v>0.25</v>
      </c>
      <c r="M184" s="720">
        <v>21</v>
      </c>
      <c r="N184" s="720">
        <v>1</v>
      </c>
      <c r="O184" s="720">
        <v>21</v>
      </c>
      <c r="P184" s="716">
        <v>8.3333333333333329E-2</v>
      </c>
      <c r="Q184" s="721">
        <v>21</v>
      </c>
    </row>
    <row r="185" spans="1:17" ht="14.4" customHeight="1" x14ac:dyDescent="0.3">
      <c r="A185" s="710" t="s">
        <v>3688</v>
      </c>
      <c r="B185" s="711" t="s">
        <v>573</v>
      </c>
      <c r="C185" s="711" t="s">
        <v>2907</v>
      </c>
      <c r="D185" s="711" t="s">
        <v>3645</v>
      </c>
      <c r="E185" s="711" t="s">
        <v>3646</v>
      </c>
      <c r="F185" s="720">
        <v>18</v>
      </c>
      <c r="G185" s="720">
        <v>8748</v>
      </c>
      <c r="H185" s="720">
        <v>1</v>
      </c>
      <c r="I185" s="720">
        <v>486</v>
      </c>
      <c r="J185" s="720">
        <v>83</v>
      </c>
      <c r="K185" s="720">
        <v>40338</v>
      </c>
      <c r="L185" s="720">
        <v>4.6111111111111107</v>
      </c>
      <c r="M185" s="720">
        <v>486</v>
      </c>
      <c r="N185" s="720">
        <v>35</v>
      </c>
      <c r="O185" s="720">
        <v>17010</v>
      </c>
      <c r="P185" s="716">
        <v>1.9444444444444444</v>
      </c>
      <c r="Q185" s="721">
        <v>486</v>
      </c>
    </row>
    <row r="186" spans="1:17" ht="14.4" customHeight="1" x14ac:dyDescent="0.3">
      <c r="A186" s="710" t="s">
        <v>3688</v>
      </c>
      <c r="B186" s="711" t="s">
        <v>573</v>
      </c>
      <c r="C186" s="711" t="s">
        <v>2907</v>
      </c>
      <c r="D186" s="711" t="s">
        <v>3713</v>
      </c>
      <c r="E186" s="711" t="s">
        <v>3714</v>
      </c>
      <c r="F186" s="720">
        <v>7</v>
      </c>
      <c r="G186" s="720">
        <v>280</v>
      </c>
      <c r="H186" s="720">
        <v>1</v>
      </c>
      <c r="I186" s="720">
        <v>40</v>
      </c>
      <c r="J186" s="720">
        <v>3</v>
      </c>
      <c r="K186" s="720">
        <v>120</v>
      </c>
      <c r="L186" s="720">
        <v>0.42857142857142855</v>
      </c>
      <c r="M186" s="720">
        <v>40</v>
      </c>
      <c r="N186" s="720">
        <v>4</v>
      </c>
      <c r="O186" s="720">
        <v>160</v>
      </c>
      <c r="P186" s="716">
        <v>0.5714285714285714</v>
      </c>
      <c r="Q186" s="721">
        <v>40</v>
      </c>
    </row>
    <row r="187" spans="1:17" ht="14.4" customHeight="1" x14ac:dyDescent="0.3">
      <c r="A187" s="710" t="s">
        <v>3688</v>
      </c>
      <c r="B187" s="711" t="s">
        <v>573</v>
      </c>
      <c r="C187" s="711" t="s">
        <v>2907</v>
      </c>
      <c r="D187" s="711" t="s">
        <v>3715</v>
      </c>
      <c r="E187" s="711" t="s">
        <v>3716</v>
      </c>
      <c r="F187" s="720">
        <v>1</v>
      </c>
      <c r="G187" s="720">
        <v>761</v>
      </c>
      <c r="H187" s="720">
        <v>1</v>
      </c>
      <c r="I187" s="720">
        <v>761</v>
      </c>
      <c r="J187" s="720"/>
      <c r="K187" s="720"/>
      <c r="L187" s="720"/>
      <c r="M187" s="720"/>
      <c r="N187" s="720"/>
      <c r="O187" s="720"/>
      <c r="P187" s="716"/>
      <c r="Q187" s="721"/>
    </row>
    <row r="188" spans="1:17" ht="14.4" customHeight="1" x14ac:dyDescent="0.3">
      <c r="A188" s="710" t="s">
        <v>3688</v>
      </c>
      <c r="B188" s="711" t="s">
        <v>573</v>
      </c>
      <c r="C188" s="711" t="s">
        <v>2907</v>
      </c>
      <c r="D188" s="711" t="s">
        <v>3717</v>
      </c>
      <c r="E188" s="711" t="s">
        <v>3718</v>
      </c>
      <c r="F188" s="720">
        <v>20</v>
      </c>
      <c r="G188" s="720">
        <v>12060</v>
      </c>
      <c r="H188" s="720">
        <v>1</v>
      </c>
      <c r="I188" s="720">
        <v>603</v>
      </c>
      <c r="J188" s="720">
        <v>8</v>
      </c>
      <c r="K188" s="720">
        <v>4832</v>
      </c>
      <c r="L188" s="720">
        <v>0.40066334991708125</v>
      </c>
      <c r="M188" s="720">
        <v>604</v>
      </c>
      <c r="N188" s="720">
        <v>18</v>
      </c>
      <c r="O188" s="720">
        <v>10872</v>
      </c>
      <c r="P188" s="716">
        <v>0.90149253731343282</v>
      </c>
      <c r="Q188" s="721">
        <v>604</v>
      </c>
    </row>
    <row r="189" spans="1:17" ht="14.4" customHeight="1" x14ac:dyDescent="0.3">
      <c r="A189" s="710" t="s">
        <v>3688</v>
      </c>
      <c r="B189" s="711" t="s">
        <v>573</v>
      </c>
      <c r="C189" s="711" t="s">
        <v>2907</v>
      </c>
      <c r="D189" s="711" t="s">
        <v>3719</v>
      </c>
      <c r="E189" s="711" t="s">
        <v>3720</v>
      </c>
      <c r="F189" s="720">
        <v>14</v>
      </c>
      <c r="G189" s="720">
        <v>2114</v>
      </c>
      <c r="H189" s="720">
        <v>1</v>
      </c>
      <c r="I189" s="720">
        <v>151</v>
      </c>
      <c r="J189" s="720">
        <v>2</v>
      </c>
      <c r="K189" s="720">
        <v>304</v>
      </c>
      <c r="L189" s="720">
        <v>0.14380321665089876</v>
      </c>
      <c r="M189" s="720">
        <v>152</v>
      </c>
      <c r="N189" s="720">
        <v>4</v>
      </c>
      <c r="O189" s="720">
        <v>608</v>
      </c>
      <c r="P189" s="716">
        <v>0.28760643330179753</v>
      </c>
      <c r="Q189" s="721">
        <v>152</v>
      </c>
    </row>
    <row r="190" spans="1:17" ht="14.4" customHeight="1" x14ac:dyDescent="0.3">
      <c r="A190" s="710" t="s">
        <v>3721</v>
      </c>
      <c r="B190" s="711" t="s">
        <v>3722</v>
      </c>
      <c r="C190" s="711" t="s">
        <v>2907</v>
      </c>
      <c r="D190" s="711" t="s">
        <v>3723</v>
      </c>
      <c r="E190" s="711" t="s">
        <v>3724</v>
      </c>
      <c r="F190" s="720">
        <v>1</v>
      </c>
      <c r="G190" s="720">
        <v>1178</v>
      </c>
      <c r="H190" s="720">
        <v>1</v>
      </c>
      <c r="I190" s="720">
        <v>1178</v>
      </c>
      <c r="J190" s="720"/>
      <c r="K190" s="720"/>
      <c r="L190" s="720"/>
      <c r="M190" s="720"/>
      <c r="N190" s="720"/>
      <c r="O190" s="720"/>
      <c r="P190" s="716"/>
      <c r="Q190" s="721"/>
    </row>
    <row r="191" spans="1:17" ht="14.4" customHeight="1" x14ac:dyDescent="0.3">
      <c r="A191" s="710" t="s">
        <v>3721</v>
      </c>
      <c r="B191" s="711" t="s">
        <v>3722</v>
      </c>
      <c r="C191" s="711" t="s">
        <v>2907</v>
      </c>
      <c r="D191" s="711" t="s">
        <v>3725</v>
      </c>
      <c r="E191" s="711" t="s">
        <v>3726</v>
      </c>
      <c r="F191" s="720">
        <v>1</v>
      </c>
      <c r="G191" s="720">
        <v>172</v>
      </c>
      <c r="H191" s="720">
        <v>1</v>
      </c>
      <c r="I191" s="720">
        <v>172</v>
      </c>
      <c r="J191" s="720"/>
      <c r="K191" s="720"/>
      <c r="L191" s="720"/>
      <c r="M191" s="720"/>
      <c r="N191" s="720">
        <v>1</v>
      </c>
      <c r="O191" s="720">
        <v>172</v>
      </c>
      <c r="P191" s="716">
        <v>1</v>
      </c>
      <c r="Q191" s="721">
        <v>172</v>
      </c>
    </row>
    <row r="192" spans="1:17" ht="14.4" customHeight="1" x14ac:dyDescent="0.3">
      <c r="A192" s="710" t="s">
        <v>3721</v>
      </c>
      <c r="B192" s="711" t="s">
        <v>3722</v>
      </c>
      <c r="C192" s="711" t="s">
        <v>2907</v>
      </c>
      <c r="D192" s="711" t="s">
        <v>3727</v>
      </c>
      <c r="E192" s="711" t="s">
        <v>3728</v>
      </c>
      <c r="F192" s="720">
        <v>1</v>
      </c>
      <c r="G192" s="720">
        <v>544</v>
      </c>
      <c r="H192" s="720">
        <v>1</v>
      </c>
      <c r="I192" s="720">
        <v>544</v>
      </c>
      <c r="J192" s="720"/>
      <c r="K192" s="720"/>
      <c r="L192" s="720"/>
      <c r="M192" s="720"/>
      <c r="N192" s="720">
        <v>2</v>
      </c>
      <c r="O192" s="720">
        <v>1090</v>
      </c>
      <c r="P192" s="716">
        <v>2.0036764705882355</v>
      </c>
      <c r="Q192" s="721">
        <v>545</v>
      </c>
    </row>
    <row r="193" spans="1:17" ht="14.4" customHeight="1" x14ac:dyDescent="0.3">
      <c r="A193" s="710" t="s">
        <v>3721</v>
      </c>
      <c r="B193" s="711" t="s">
        <v>3722</v>
      </c>
      <c r="C193" s="711" t="s">
        <v>2907</v>
      </c>
      <c r="D193" s="711" t="s">
        <v>3729</v>
      </c>
      <c r="E193" s="711" t="s">
        <v>3730</v>
      </c>
      <c r="F193" s="720"/>
      <c r="G193" s="720"/>
      <c r="H193" s="720"/>
      <c r="I193" s="720"/>
      <c r="J193" s="720"/>
      <c r="K193" s="720"/>
      <c r="L193" s="720"/>
      <c r="M193" s="720"/>
      <c r="N193" s="720">
        <v>1</v>
      </c>
      <c r="O193" s="720">
        <v>674</v>
      </c>
      <c r="P193" s="716"/>
      <c r="Q193" s="721">
        <v>674</v>
      </c>
    </row>
    <row r="194" spans="1:17" ht="14.4" customHeight="1" x14ac:dyDescent="0.3">
      <c r="A194" s="710" t="s">
        <v>3721</v>
      </c>
      <c r="B194" s="711" t="s">
        <v>3722</v>
      </c>
      <c r="C194" s="711" t="s">
        <v>2907</v>
      </c>
      <c r="D194" s="711" t="s">
        <v>3731</v>
      </c>
      <c r="E194" s="711" t="s">
        <v>3732</v>
      </c>
      <c r="F194" s="720">
        <v>2</v>
      </c>
      <c r="G194" s="720">
        <v>1016</v>
      </c>
      <c r="H194" s="720">
        <v>1</v>
      </c>
      <c r="I194" s="720">
        <v>508</v>
      </c>
      <c r="J194" s="720"/>
      <c r="K194" s="720"/>
      <c r="L194" s="720"/>
      <c r="M194" s="720"/>
      <c r="N194" s="720"/>
      <c r="O194" s="720"/>
      <c r="P194" s="716"/>
      <c r="Q194" s="721"/>
    </row>
    <row r="195" spans="1:17" ht="14.4" customHeight="1" x14ac:dyDescent="0.3">
      <c r="A195" s="710" t="s">
        <v>3721</v>
      </c>
      <c r="B195" s="711" t="s">
        <v>3722</v>
      </c>
      <c r="C195" s="711" t="s">
        <v>2907</v>
      </c>
      <c r="D195" s="711" t="s">
        <v>3733</v>
      </c>
      <c r="E195" s="711" t="s">
        <v>3734</v>
      </c>
      <c r="F195" s="720">
        <v>2</v>
      </c>
      <c r="G195" s="720">
        <v>836</v>
      </c>
      <c r="H195" s="720">
        <v>1</v>
      </c>
      <c r="I195" s="720">
        <v>418</v>
      </c>
      <c r="J195" s="720"/>
      <c r="K195" s="720"/>
      <c r="L195" s="720"/>
      <c r="M195" s="720"/>
      <c r="N195" s="720"/>
      <c r="O195" s="720"/>
      <c r="P195" s="716"/>
      <c r="Q195" s="721"/>
    </row>
    <row r="196" spans="1:17" ht="14.4" customHeight="1" x14ac:dyDescent="0.3">
      <c r="A196" s="710" t="s">
        <v>3721</v>
      </c>
      <c r="B196" s="711" t="s">
        <v>3722</v>
      </c>
      <c r="C196" s="711" t="s">
        <v>2907</v>
      </c>
      <c r="D196" s="711" t="s">
        <v>3735</v>
      </c>
      <c r="E196" s="711" t="s">
        <v>3736</v>
      </c>
      <c r="F196" s="720">
        <v>1</v>
      </c>
      <c r="G196" s="720">
        <v>343</v>
      </c>
      <c r="H196" s="720">
        <v>1</v>
      </c>
      <c r="I196" s="720">
        <v>343</v>
      </c>
      <c r="J196" s="720"/>
      <c r="K196" s="720"/>
      <c r="L196" s="720"/>
      <c r="M196" s="720"/>
      <c r="N196" s="720">
        <v>2</v>
      </c>
      <c r="O196" s="720">
        <v>688</v>
      </c>
      <c r="P196" s="716">
        <v>2.0058309037900877</v>
      </c>
      <c r="Q196" s="721">
        <v>344</v>
      </c>
    </row>
    <row r="197" spans="1:17" ht="14.4" customHeight="1" x14ac:dyDescent="0.3">
      <c r="A197" s="710" t="s">
        <v>3721</v>
      </c>
      <c r="B197" s="711" t="s">
        <v>3722</v>
      </c>
      <c r="C197" s="711" t="s">
        <v>2907</v>
      </c>
      <c r="D197" s="711" t="s">
        <v>3737</v>
      </c>
      <c r="E197" s="711" t="s">
        <v>3738</v>
      </c>
      <c r="F197" s="720"/>
      <c r="G197" s="720"/>
      <c r="H197" s="720"/>
      <c r="I197" s="720"/>
      <c r="J197" s="720"/>
      <c r="K197" s="720"/>
      <c r="L197" s="720"/>
      <c r="M197" s="720"/>
      <c r="N197" s="720">
        <v>1</v>
      </c>
      <c r="O197" s="720">
        <v>110</v>
      </c>
      <c r="P197" s="716"/>
      <c r="Q197" s="721">
        <v>110</v>
      </c>
    </row>
    <row r="198" spans="1:17" ht="14.4" customHeight="1" x14ac:dyDescent="0.3">
      <c r="A198" s="710" t="s">
        <v>3721</v>
      </c>
      <c r="B198" s="711" t="s">
        <v>3722</v>
      </c>
      <c r="C198" s="711" t="s">
        <v>2907</v>
      </c>
      <c r="D198" s="711" t="s">
        <v>3739</v>
      </c>
      <c r="E198" s="711" t="s">
        <v>3740</v>
      </c>
      <c r="F198" s="720"/>
      <c r="G198" s="720"/>
      <c r="H198" s="720"/>
      <c r="I198" s="720"/>
      <c r="J198" s="720"/>
      <c r="K198" s="720"/>
      <c r="L198" s="720"/>
      <c r="M198" s="720"/>
      <c r="N198" s="720">
        <v>2</v>
      </c>
      <c r="O198" s="720">
        <v>408</v>
      </c>
      <c r="P198" s="716"/>
      <c r="Q198" s="721">
        <v>204</v>
      </c>
    </row>
    <row r="199" spans="1:17" ht="14.4" customHeight="1" x14ac:dyDescent="0.3">
      <c r="A199" s="710" t="s">
        <v>3721</v>
      </c>
      <c r="B199" s="711" t="s">
        <v>3722</v>
      </c>
      <c r="C199" s="711" t="s">
        <v>2907</v>
      </c>
      <c r="D199" s="711" t="s">
        <v>3741</v>
      </c>
      <c r="E199" s="711" t="s">
        <v>3742</v>
      </c>
      <c r="F199" s="720">
        <v>1</v>
      </c>
      <c r="G199" s="720">
        <v>38</v>
      </c>
      <c r="H199" s="720">
        <v>1</v>
      </c>
      <c r="I199" s="720">
        <v>38</v>
      </c>
      <c r="J199" s="720"/>
      <c r="K199" s="720"/>
      <c r="L199" s="720"/>
      <c r="M199" s="720"/>
      <c r="N199" s="720">
        <v>1</v>
      </c>
      <c r="O199" s="720">
        <v>38</v>
      </c>
      <c r="P199" s="716">
        <v>1</v>
      </c>
      <c r="Q199" s="721">
        <v>38</v>
      </c>
    </row>
    <row r="200" spans="1:17" ht="14.4" customHeight="1" x14ac:dyDescent="0.3">
      <c r="A200" s="710" t="s">
        <v>3721</v>
      </c>
      <c r="B200" s="711" t="s">
        <v>3722</v>
      </c>
      <c r="C200" s="711" t="s">
        <v>2907</v>
      </c>
      <c r="D200" s="711" t="s">
        <v>3743</v>
      </c>
      <c r="E200" s="711" t="s">
        <v>3744</v>
      </c>
      <c r="F200" s="720"/>
      <c r="G200" s="720"/>
      <c r="H200" s="720"/>
      <c r="I200" s="720"/>
      <c r="J200" s="720"/>
      <c r="K200" s="720"/>
      <c r="L200" s="720"/>
      <c r="M200" s="720"/>
      <c r="N200" s="720">
        <v>1</v>
      </c>
      <c r="O200" s="720">
        <v>4993</v>
      </c>
      <c r="P200" s="716"/>
      <c r="Q200" s="721">
        <v>4993</v>
      </c>
    </row>
    <row r="201" spans="1:17" ht="14.4" customHeight="1" x14ac:dyDescent="0.3">
      <c r="A201" s="710" t="s">
        <v>3721</v>
      </c>
      <c r="B201" s="711" t="s">
        <v>3722</v>
      </c>
      <c r="C201" s="711" t="s">
        <v>2907</v>
      </c>
      <c r="D201" s="711" t="s">
        <v>3745</v>
      </c>
      <c r="E201" s="711" t="s">
        <v>3746</v>
      </c>
      <c r="F201" s="720"/>
      <c r="G201" s="720"/>
      <c r="H201" s="720"/>
      <c r="I201" s="720"/>
      <c r="J201" s="720"/>
      <c r="K201" s="720"/>
      <c r="L201" s="720"/>
      <c r="M201" s="720"/>
      <c r="N201" s="720">
        <v>1</v>
      </c>
      <c r="O201" s="720">
        <v>674</v>
      </c>
      <c r="P201" s="716"/>
      <c r="Q201" s="721">
        <v>674</v>
      </c>
    </row>
    <row r="202" spans="1:17" ht="14.4" customHeight="1" x14ac:dyDescent="0.3">
      <c r="A202" s="710" t="s">
        <v>3721</v>
      </c>
      <c r="B202" s="711" t="s">
        <v>3722</v>
      </c>
      <c r="C202" s="711" t="s">
        <v>2907</v>
      </c>
      <c r="D202" s="711" t="s">
        <v>3747</v>
      </c>
      <c r="E202" s="711" t="s">
        <v>3748</v>
      </c>
      <c r="F202" s="720"/>
      <c r="G202" s="720"/>
      <c r="H202" s="720"/>
      <c r="I202" s="720"/>
      <c r="J202" s="720"/>
      <c r="K202" s="720"/>
      <c r="L202" s="720"/>
      <c r="M202" s="720"/>
      <c r="N202" s="720">
        <v>1</v>
      </c>
      <c r="O202" s="720">
        <v>473</v>
      </c>
      <c r="P202" s="716"/>
      <c r="Q202" s="721">
        <v>473</v>
      </c>
    </row>
    <row r="203" spans="1:17" ht="14.4" customHeight="1" x14ac:dyDescent="0.3">
      <c r="A203" s="710" t="s">
        <v>3721</v>
      </c>
      <c r="B203" s="711" t="s">
        <v>3722</v>
      </c>
      <c r="C203" s="711" t="s">
        <v>2907</v>
      </c>
      <c r="D203" s="711" t="s">
        <v>3749</v>
      </c>
      <c r="E203" s="711" t="s">
        <v>3750</v>
      </c>
      <c r="F203" s="720">
        <v>2</v>
      </c>
      <c r="G203" s="720">
        <v>572</v>
      </c>
      <c r="H203" s="720">
        <v>1</v>
      </c>
      <c r="I203" s="720">
        <v>286</v>
      </c>
      <c r="J203" s="720"/>
      <c r="K203" s="720"/>
      <c r="L203" s="720"/>
      <c r="M203" s="720"/>
      <c r="N203" s="720"/>
      <c r="O203" s="720"/>
      <c r="P203" s="716"/>
      <c r="Q203" s="721"/>
    </row>
    <row r="204" spans="1:17" ht="14.4" customHeight="1" x14ac:dyDescent="0.3">
      <c r="A204" s="710" t="s">
        <v>3721</v>
      </c>
      <c r="B204" s="711" t="s">
        <v>3722</v>
      </c>
      <c r="C204" s="711" t="s">
        <v>2907</v>
      </c>
      <c r="D204" s="711" t="s">
        <v>3751</v>
      </c>
      <c r="E204" s="711" t="s">
        <v>3752</v>
      </c>
      <c r="F204" s="720">
        <v>1</v>
      </c>
      <c r="G204" s="720">
        <v>166</v>
      </c>
      <c r="H204" s="720">
        <v>1</v>
      </c>
      <c r="I204" s="720">
        <v>166</v>
      </c>
      <c r="J204" s="720"/>
      <c r="K204" s="720"/>
      <c r="L204" s="720"/>
      <c r="M204" s="720"/>
      <c r="N204" s="720">
        <v>1</v>
      </c>
      <c r="O204" s="720">
        <v>166</v>
      </c>
      <c r="P204" s="716">
        <v>1</v>
      </c>
      <c r="Q204" s="721">
        <v>166</v>
      </c>
    </row>
    <row r="205" spans="1:17" ht="14.4" customHeight="1" thickBot="1" x14ac:dyDescent="0.35">
      <c r="A205" s="702" t="s">
        <v>3753</v>
      </c>
      <c r="B205" s="703" t="s">
        <v>3397</v>
      </c>
      <c r="C205" s="703" t="s">
        <v>2907</v>
      </c>
      <c r="D205" s="703" t="s">
        <v>3398</v>
      </c>
      <c r="E205" s="703" t="s">
        <v>3399</v>
      </c>
      <c r="F205" s="722"/>
      <c r="G205" s="722"/>
      <c r="H205" s="722"/>
      <c r="I205" s="722"/>
      <c r="J205" s="722"/>
      <c r="K205" s="722"/>
      <c r="L205" s="722"/>
      <c r="M205" s="722"/>
      <c r="N205" s="722">
        <v>3</v>
      </c>
      <c r="O205" s="722">
        <v>28011</v>
      </c>
      <c r="P205" s="708"/>
      <c r="Q205" s="723">
        <v>9337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9" t="s">
        <v>185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4.4" customHeight="1" thickBot="1" x14ac:dyDescent="0.35">
      <c r="A2" s="389" t="s">
        <v>298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163</v>
      </c>
      <c r="C3" s="196">
        <f>SUBTOTAL(9,C6:C1048576)</f>
        <v>2134</v>
      </c>
      <c r="D3" s="197">
        <f>SUBTOTAL(9,D6:D1048576)</f>
        <v>1969</v>
      </c>
      <c r="E3" s="197">
        <f>SUBTOTAL(9,E6:E1048576)</f>
        <v>1893</v>
      </c>
      <c r="F3" s="198">
        <f>IF(OR(E3=0,C3=0),"",E3/C3)</f>
        <v>0.88706654170571697</v>
      </c>
      <c r="G3" s="199">
        <f>SUBTOTAL(9,G6:G1048576)</f>
        <v>2099074</v>
      </c>
      <c r="H3" s="200">
        <f>SUBTOTAL(9,H6:H1048576)</f>
        <v>1983609</v>
      </c>
      <c r="I3" s="200">
        <f>SUBTOTAL(9,I6:I1048576)</f>
        <v>1872552</v>
      </c>
      <c r="J3" s="198">
        <f>IF(OR(I3=0,G3=0),"",I3/G3)</f>
        <v>0.8920847954860095</v>
      </c>
      <c r="K3" s="199">
        <f>SUBTOTAL(9,K6:K1048576)</f>
        <v>170720</v>
      </c>
      <c r="L3" s="200">
        <f>SUBTOTAL(9,L6:L1048576)</f>
        <v>157520</v>
      </c>
      <c r="M3" s="200">
        <f>SUBTOTAL(9,M6:M1048576)</f>
        <v>151440</v>
      </c>
      <c r="N3" s="201">
        <f>IF(OR(M3=0,E3=0),"",M3/E3)</f>
        <v>80</v>
      </c>
    </row>
    <row r="4" spans="1:14" ht="14.4" customHeight="1" x14ac:dyDescent="0.3">
      <c r="A4" s="581" t="s">
        <v>93</v>
      </c>
      <c r="B4" s="582" t="s">
        <v>14</v>
      </c>
      <c r="C4" s="583" t="s">
        <v>94</v>
      </c>
      <c r="D4" s="583"/>
      <c r="E4" s="583"/>
      <c r="F4" s="584"/>
      <c r="G4" s="585" t="s">
        <v>17</v>
      </c>
      <c r="H4" s="583"/>
      <c r="I4" s="583"/>
      <c r="J4" s="584"/>
      <c r="K4" s="585" t="s">
        <v>95</v>
      </c>
      <c r="L4" s="583"/>
      <c r="M4" s="583"/>
      <c r="N4" s="586"/>
    </row>
    <row r="5" spans="1:14" ht="14.4" customHeight="1" thickBot="1" x14ac:dyDescent="0.35">
      <c r="A5" s="848"/>
      <c r="B5" s="849"/>
      <c r="C5" s="852">
        <v>2012</v>
      </c>
      <c r="D5" s="852">
        <v>2013</v>
      </c>
      <c r="E5" s="852">
        <v>2014</v>
      </c>
      <c r="F5" s="853" t="s">
        <v>5</v>
      </c>
      <c r="G5" s="857">
        <v>2012</v>
      </c>
      <c r="H5" s="852">
        <v>2013</v>
      </c>
      <c r="I5" s="852">
        <v>2014</v>
      </c>
      <c r="J5" s="853" t="s">
        <v>5</v>
      </c>
      <c r="K5" s="857">
        <v>2012</v>
      </c>
      <c r="L5" s="852">
        <v>2013</v>
      </c>
      <c r="M5" s="852">
        <v>2014</v>
      </c>
      <c r="N5" s="860" t="s">
        <v>96</v>
      </c>
    </row>
    <row r="6" spans="1:14" ht="14.4" customHeight="1" thickBot="1" x14ac:dyDescent="0.35">
      <c r="A6" s="850" t="s">
        <v>3025</v>
      </c>
      <c r="B6" s="851" t="s">
        <v>3755</v>
      </c>
      <c r="C6" s="854">
        <v>2134</v>
      </c>
      <c r="D6" s="855">
        <v>1969</v>
      </c>
      <c r="E6" s="855">
        <v>1893</v>
      </c>
      <c r="F6" s="856">
        <v>0.88706654170571697</v>
      </c>
      <c r="G6" s="858">
        <v>2099074</v>
      </c>
      <c r="H6" s="859">
        <v>1983609</v>
      </c>
      <c r="I6" s="859">
        <v>1872552</v>
      </c>
      <c r="J6" s="856">
        <v>0.8920847954860095</v>
      </c>
      <c r="K6" s="858">
        <v>170720</v>
      </c>
      <c r="L6" s="859">
        <v>157520</v>
      </c>
      <c r="M6" s="859">
        <v>151440</v>
      </c>
      <c r="N6" s="861">
        <v>80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60" bestFit="1" customWidth="1"/>
    <col min="2" max="3" width="9.5546875" style="260" customWidth="1"/>
    <col min="4" max="4" width="2.44140625" style="260" customWidth="1"/>
    <col min="5" max="8" width="9.5546875" style="260" customWidth="1"/>
    <col min="9" max="16384" width="8.88671875" style="260"/>
  </cols>
  <sheetData>
    <row r="1" spans="1:8" ht="18.600000000000001" customHeight="1" thickBot="1" x14ac:dyDescent="0.4">
      <c r="A1" s="462" t="s">
        <v>179</v>
      </c>
      <c r="B1" s="462"/>
      <c r="C1" s="462"/>
      <c r="D1" s="462"/>
      <c r="E1" s="462"/>
      <c r="F1" s="462"/>
      <c r="G1" s="463"/>
      <c r="H1" s="463"/>
    </row>
    <row r="2" spans="1:8" ht="14.4" customHeight="1" thickBot="1" x14ac:dyDescent="0.35">
      <c r="A2" s="389" t="s">
        <v>298</v>
      </c>
      <c r="B2" s="230"/>
      <c r="C2" s="230"/>
      <c r="D2" s="230"/>
      <c r="E2" s="230"/>
      <c r="F2" s="230"/>
    </row>
    <row r="3" spans="1:8" ht="14.4" customHeight="1" x14ac:dyDescent="0.3">
      <c r="A3" s="464"/>
      <c r="B3" s="226">
        <v>2012</v>
      </c>
      <c r="C3" s="44">
        <v>2013</v>
      </c>
      <c r="D3" s="11"/>
      <c r="E3" s="468">
        <v>2014</v>
      </c>
      <c r="F3" s="469"/>
      <c r="G3" s="469"/>
      <c r="H3" s="470"/>
    </row>
    <row r="4" spans="1:8" ht="14.4" customHeight="1" thickBot="1" x14ac:dyDescent="0.35">
      <c r="A4" s="465"/>
      <c r="B4" s="466" t="s">
        <v>97</v>
      </c>
      <c r="C4" s="467"/>
      <c r="D4" s="11"/>
      <c r="E4" s="247" t="s">
        <v>97</v>
      </c>
      <c r="F4" s="228" t="s">
        <v>98</v>
      </c>
      <c r="G4" s="228" t="s">
        <v>72</v>
      </c>
      <c r="H4" s="229" t="s">
        <v>99</v>
      </c>
    </row>
    <row r="5" spans="1:8" ht="14.4" customHeight="1" x14ac:dyDescent="0.3">
      <c r="A5" s="231" t="str">
        <f>HYPERLINK("#'Léky Žádanky'!A1","Léky (Kč)")</f>
        <v>Léky (Kč)</v>
      </c>
      <c r="B5" s="31">
        <v>479.17097000000001</v>
      </c>
      <c r="C5" s="33">
        <v>477.65661</v>
      </c>
      <c r="D5" s="12"/>
      <c r="E5" s="236">
        <v>371.00069000000099</v>
      </c>
      <c r="F5" s="32">
        <v>450</v>
      </c>
      <c r="G5" s="235">
        <f>E5-F5</f>
        <v>-78.999309999999014</v>
      </c>
      <c r="H5" s="241">
        <f>IF(F5&lt;0.00000001,"",E5/F5)</f>
        <v>0.82444597777777995</v>
      </c>
    </row>
    <row r="6" spans="1:8" ht="14.4" customHeight="1" x14ac:dyDescent="0.3">
      <c r="A6" s="231" t="str">
        <f>HYPERLINK("#'Materiál Žádanky'!A1","Materiál - SZM (Kč)")</f>
        <v>Materiál - SZM (Kč)</v>
      </c>
      <c r="B6" s="14">
        <v>116.03749999999999</v>
      </c>
      <c r="C6" s="35">
        <v>94.435310000000001</v>
      </c>
      <c r="D6" s="12"/>
      <c r="E6" s="237">
        <v>107.49028</v>
      </c>
      <c r="F6" s="34">
        <v>131</v>
      </c>
      <c r="G6" s="238">
        <f>E6-F6</f>
        <v>-23.509720000000002</v>
      </c>
      <c r="H6" s="242">
        <f>IF(F6&lt;0.00000001,"",E6/F6)</f>
        <v>0.82053648854961836</v>
      </c>
    </row>
    <row r="7" spans="1:8" ht="14.4" customHeight="1" x14ac:dyDescent="0.3">
      <c r="A7" s="454" t="str">
        <f>HYPERLINK("#'Osobní náklady'!A1","Osobní náklady (Kč) *")</f>
        <v>Osobní náklady (Kč) *</v>
      </c>
      <c r="B7" s="14">
        <v>3550.50423</v>
      </c>
      <c r="C7" s="35">
        <v>3300.7545399999999</v>
      </c>
      <c r="D7" s="12"/>
      <c r="E7" s="237">
        <v>3502.6962400000102</v>
      </c>
      <c r="F7" s="34">
        <v>3956</v>
      </c>
      <c r="G7" s="238">
        <f>E7-F7</f>
        <v>-453.30375999998978</v>
      </c>
      <c r="H7" s="242">
        <f>IF(F7&lt;0.00000001,"",E7/F7)</f>
        <v>0.88541360970677707</v>
      </c>
    </row>
    <row r="8" spans="1:8" ht="14.4" customHeight="1" thickBot="1" x14ac:dyDescent="0.35">
      <c r="A8" s="1" t="s">
        <v>100</v>
      </c>
      <c r="B8" s="15">
        <v>949.928640000001</v>
      </c>
      <c r="C8" s="37">
        <v>770.91548999999998</v>
      </c>
      <c r="D8" s="12"/>
      <c r="E8" s="239">
        <v>759.09876000000202</v>
      </c>
      <c r="F8" s="36">
        <v>852</v>
      </c>
      <c r="G8" s="240">
        <f>E8-F8</f>
        <v>-92.901239999997983</v>
      </c>
      <c r="H8" s="243">
        <f>IF(F8&lt;0.00000001,"",E8/F8)</f>
        <v>0.89096098591549533</v>
      </c>
    </row>
    <row r="9" spans="1:8" ht="14.4" customHeight="1" thickBot="1" x14ac:dyDescent="0.35">
      <c r="A9" s="2" t="s">
        <v>101</v>
      </c>
      <c r="B9" s="3">
        <v>5095.6413400000001</v>
      </c>
      <c r="C9" s="39">
        <v>4643.7619500000001</v>
      </c>
      <c r="D9" s="12"/>
      <c r="E9" s="3">
        <v>4740.2859700000099</v>
      </c>
      <c r="F9" s="38">
        <v>5389</v>
      </c>
      <c r="G9" s="38">
        <f>E9-F9</f>
        <v>-648.71402999999009</v>
      </c>
      <c r="H9" s="244">
        <f>IF(F9&lt;0.00000001,"",E9/F9)</f>
        <v>0.8796225589163128</v>
      </c>
    </row>
    <row r="10" spans="1:8" ht="14.4" customHeight="1" thickBot="1" x14ac:dyDescent="0.35">
      <c r="A10" s="16"/>
      <c r="B10" s="16"/>
      <c r="C10" s="227"/>
      <c r="D10" s="12"/>
      <c r="E10" s="16"/>
      <c r="F10" s="17"/>
    </row>
    <row r="11" spans="1:8" ht="14.4" customHeight="1" x14ac:dyDescent="0.3">
      <c r="A11" s="263" t="str">
        <f>HYPERLINK("#'ZV Vykáz.-A'!A1","Ambulance *")</f>
        <v>Ambulance *</v>
      </c>
      <c r="B11" s="13">
        <f>IF(ISERROR(VLOOKUP("Celkem:",'ZV Vykáz.-A'!A:F,2,0)),0,VLOOKUP("Celkem:",'ZV Vykáz.-A'!A:F,2,0)/1000)</f>
        <v>37.012999999999998</v>
      </c>
      <c r="C11" s="33">
        <f>IF(ISERROR(VLOOKUP("Celkem:",'ZV Vykáz.-A'!A:F,4,0)),0,VLOOKUP("Celkem:",'ZV Vykáz.-A'!A:F,4,0)/1000)</f>
        <v>22.45</v>
      </c>
      <c r="D11" s="12"/>
      <c r="E11" s="236">
        <f>IF(ISERROR(VLOOKUP("Celkem:",'ZV Vykáz.-A'!A:F,6,0)),0,VLOOKUP("Celkem:",'ZV Vykáz.-A'!A:F,6,0)/1000)</f>
        <v>41.183999999999997</v>
      </c>
      <c r="F11" s="32">
        <f>B11</f>
        <v>37.012999999999998</v>
      </c>
      <c r="G11" s="235">
        <f>E11-F11</f>
        <v>4.1709999999999994</v>
      </c>
      <c r="H11" s="241">
        <f>IF(F11&lt;0.00000001,"",E11/F11)</f>
        <v>1.112690135898198</v>
      </c>
    </row>
    <row r="12" spans="1:8" ht="14.4" customHeight="1" thickBot="1" x14ac:dyDescent="0.35">
      <c r="A12" s="264" t="str">
        <f>HYPERLINK("#CaseMix!A1","Hospitalizace *")</f>
        <v>Hospitalizace *</v>
      </c>
      <c r="B12" s="15">
        <f>IF(ISERROR(VLOOKUP("Celkem",CaseMix!A:D,2,0)),0,VLOOKUP("Celkem",CaseMix!A:D,2,0)*30)</f>
        <v>8220.7800000000007</v>
      </c>
      <c r="C12" s="37">
        <f>IF(ISERROR(VLOOKUP("Celkem",CaseMix!A:D,3,0)),0,VLOOKUP("Celkem",CaseMix!A:D,3,0)*30)</f>
        <v>6573.18</v>
      </c>
      <c r="D12" s="12"/>
      <c r="E12" s="239">
        <f>IF(ISERROR(VLOOKUP("Celkem",CaseMix!A:D,4,0)),0,VLOOKUP("Celkem",CaseMix!A:D,4,0)*30)</f>
        <v>8736.2099999999991</v>
      </c>
      <c r="F12" s="36">
        <f>B12</f>
        <v>8220.7800000000007</v>
      </c>
      <c r="G12" s="240">
        <f>E12-F12</f>
        <v>515.42999999999847</v>
      </c>
      <c r="H12" s="243">
        <f>IF(F12&lt;0.00000001,"",E12/F12)</f>
        <v>1.0626984300759781</v>
      </c>
    </row>
    <row r="13" spans="1:8" ht="14.4" customHeight="1" thickBot="1" x14ac:dyDescent="0.35">
      <c r="A13" s="4" t="s">
        <v>104</v>
      </c>
      <c r="B13" s="9">
        <f>SUM(B11:B12)</f>
        <v>8257.7930000000015</v>
      </c>
      <c r="C13" s="41">
        <f>SUM(C11:C12)</f>
        <v>6595.63</v>
      </c>
      <c r="D13" s="12"/>
      <c r="E13" s="9">
        <f>SUM(E11:E12)</f>
        <v>8777.3939999999984</v>
      </c>
      <c r="F13" s="40">
        <f>SUM(F11:F12)</f>
        <v>8257.7930000000015</v>
      </c>
      <c r="G13" s="40">
        <f>E13-F13</f>
        <v>519.60099999999693</v>
      </c>
      <c r="H13" s="245">
        <f>IF(F13&lt;0.00000001,"",E13/F13)</f>
        <v>1.0629225024168076</v>
      </c>
    </row>
    <row r="14" spans="1:8" ht="14.4" customHeight="1" thickBot="1" x14ac:dyDescent="0.35">
      <c r="A14" s="16"/>
      <c r="B14" s="16"/>
      <c r="C14" s="227"/>
      <c r="D14" s="12"/>
      <c r="E14" s="16"/>
      <c r="F14" s="17"/>
    </row>
    <row r="15" spans="1:8" ht="14.4" customHeight="1" thickBot="1" x14ac:dyDescent="0.35">
      <c r="A15" s="265" t="str">
        <f>HYPERLINK("#'HI Graf'!A1","Hospodářský index (Výnosy / Náklady) *")</f>
        <v>Hospodářský index (Výnosy / Náklady) *</v>
      </c>
      <c r="B15" s="10">
        <f>IF(B9=0,"",B13/B9)</f>
        <v>1.6205600922454251</v>
      </c>
      <c r="C15" s="43">
        <f>IF(C9=0,"",C13/C9)</f>
        <v>1.42032043653745</v>
      </c>
      <c r="D15" s="12"/>
      <c r="E15" s="10">
        <f>IF(E9=0,"",E13/E9)</f>
        <v>1.851659173212282</v>
      </c>
      <c r="F15" s="42">
        <f>IF(F9=0,"",F13/F9)</f>
        <v>1.5323423640749678</v>
      </c>
      <c r="G15" s="42">
        <f>IF(ISERROR(F15-E15),"",E15-F15)</f>
        <v>0.31931680913731419</v>
      </c>
      <c r="H15" s="246">
        <f>IF(ISERROR(F15-E15),"",IF(F15&lt;0.00000001,"",E15/F15))</f>
        <v>1.2083847687198004</v>
      </c>
    </row>
    <row r="17" spans="1:8" ht="14.4" customHeight="1" x14ac:dyDescent="0.3">
      <c r="A17" s="232" t="s">
        <v>207</v>
      </c>
    </row>
    <row r="18" spans="1:8" ht="14.4" customHeight="1" x14ac:dyDescent="0.3">
      <c r="A18" s="456" t="s">
        <v>295</v>
      </c>
      <c r="B18" s="457"/>
      <c r="C18" s="457"/>
      <c r="D18" s="457"/>
      <c r="E18" s="457"/>
      <c r="F18" s="457"/>
      <c r="G18" s="457"/>
      <c r="H18" s="457"/>
    </row>
    <row r="19" spans="1:8" x14ac:dyDescent="0.3">
      <c r="A19" s="455" t="s">
        <v>294</v>
      </c>
      <c r="B19" s="457"/>
      <c r="C19" s="457"/>
      <c r="D19" s="457"/>
      <c r="E19" s="457"/>
      <c r="F19" s="457"/>
      <c r="G19" s="457"/>
      <c r="H19" s="457"/>
    </row>
    <row r="20" spans="1:8" ht="14.4" customHeight="1" x14ac:dyDescent="0.3">
      <c r="A20" s="233" t="s">
        <v>208</v>
      </c>
    </row>
    <row r="21" spans="1:8" ht="14.4" customHeight="1" x14ac:dyDescent="0.3">
      <c r="A21" s="233" t="s">
        <v>209</v>
      </c>
    </row>
    <row r="22" spans="1:8" ht="14.4" customHeight="1" x14ac:dyDescent="0.3">
      <c r="A22" s="234" t="s">
        <v>210</v>
      </c>
    </row>
    <row r="23" spans="1:8" ht="14.4" customHeight="1" x14ac:dyDescent="0.3">
      <c r="A23" s="234" t="s">
        <v>211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4" operator="greaterThan">
      <formula>0</formula>
    </cfRule>
  </conditionalFormatting>
  <conditionalFormatting sqref="G11:G13 G15">
    <cfRule type="cellIs" dxfId="68" priority="3" operator="lessThan">
      <formula>0</formula>
    </cfRule>
  </conditionalFormatting>
  <conditionalFormatting sqref="H5:H9">
    <cfRule type="cellIs" dxfId="67" priority="2" operator="greaterThan">
      <formula>1</formula>
    </cfRule>
  </conditionalFormatting>
  <conditionalFormatting sqref="H11:H13 H15">
    <cfRule type="cellIs" dxfId="6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60"/>
    <col min="2" max="13" width="8.88671875" style="260" customWidth="1"/>
    <col min="14" max="16384" width="8.88671875" style="260"/>
  </cols>
  <sheetData>
    <row r="1" spans="1:13" ht="18.600000000000001" customHeight="1" thickBot="1" x14ac:dyDescent="0.4">
      <c r="A1" s="462" t="s">
        <v>132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x14ac:dyDescent="0.3">
      <c r="A2" s="389" t="s">
        <v>298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4.4" customHeight="1" x14ac:dyDescent="0.3">
      <c r="A3" s="334"/>
      <c r="B3" s="335" t="s">
        <v>106</v>
      </c>
      <c r="C3" s="336" t="s">
        <v>107</v>
      </c>
      <c r="D3" s="336" t="s">
        <v>108</v>
      </c>
      <c r="E3" s="335" t="s">
        <v>109</v>
      </c>
      <c r="F3" s="336" t="s">
        <v>110</v>
      </c>
      <c r="G3" s="336" t="s">
        <v>111</v>
      </c>
      <c r="H3" s="336" t="s">
        <v>112</v>
      </c>
      <c r="I3" s="336" t="s">
        <v>113</v>
      </c>
      <c r="J3" s="336" t="s">
        <v>114</v>
      </c>
      <c r="K3" s="336" t="s">
        <v>115</v>
      </c>
      <c r="L3" s="336" t="s">
        <v>116</v>
      </c>
      <c r="M3" s="336" t="s">
        <v>117</v>
      </c>
    </row>
    <row r="4" spans="1:13" ht="14.4" customHeight="1" x14ac:dyDescent="0.3">
      <c r="A4" s="334" t="s">
        <v>105</v>
      </c>
      <c r="B4" s="337">
        <f>(B10+B8)/B6</f>
        <v>1.096122081238619</v>
      </c>
      <c r="C4" s="337">
        <f t="shared" ref="C4:M4" si="0">(C10+C8)/C6</f>
        <v>1.851659173212282</v>
      </c>
      <c r="D4" s="337">
        <f t="shared" si="0"/>
        <v>8.6880834322322353E-3</v>
      </c>
      <c r="E4" s="337">
        <f t="shared" si="0"/>
        <v>8.6880834322322353E-3</v>
      </c>
      <c r="F4" s="337">
        <f t="shared" si="0"/>
        <v>8.6880834322322353E-3</v>
      </c>
      <c r="G4" s="337">
        <f t="shared" si="0"/>
        <v>8.6880834322322353E-3</v>
      </c>
      <c r="H4" s="337">
        <f t="shared" si="0"/>
        <v>8.6880834322322353E-3</v>
      </c>
      <c r="I4" s="337">
        <f t="shared" si="0"/>
        <v>8.6880834322322353E-3</v>
      </c>
      <c r="J4" s="337">
        <f t="shared" si="0"/>
        <v>8.6880834322322353E-3</v>
      </c>
      <c r="K4" s="337">
        <f t="shared" si="0"/>
        <v>8.6880834322322353E-3</v>
      </c>
      <c r="L4" s="337">
        <f t="shared" si="0"/>
        <v>8.6880834322322353E-3</v>
      </c>
      <c r="M4" s="337">
        <f t="shared" si="0"/>
        <v>8.6880834322322353E-3</v>
      </c>
    </row>
    <row r="5" spans="1:13" ht="14.4" customHeight="1" x14ac:dyDescent="0.3">
      <c r="A5" s="338" t="s">
        <v>56</v>
      </c>
      <c r="B5" s="337">
        <f>IF(ISERROR(VLOOKUP($A5,'Man Tab'!$A:$Q,COLUMN()+2,0)),0,VLOOKUP($A5,'Man Tab'!$A:$Q,COLUMN()+2,0))</f>
        <v>2467.1813900000102</v>
      </c>
      <c r="C5" s="337">
        <f>IF(ISERROR(VLOOKUP($A5,'Man Tab'!$A:$Q,COLUMN()+2,0)),0,VLOOKUP($A5,'Man Tab'!$A:$Q,COLUMN()+2,0))</f>
        <v>2273.1045800000002</v>
      </c>
      <c r="D5" s="337">
        <f>IF(ISERROR(VLOOKUP($A5,'Man Tab'!$A:$Q,COLUMN()+2,0)),0,VLOOKUP($A5,'Man Tab'!$A:$Q,COLUMN()+2,0))</f>
        <v>4.9406564584124654E-324</v>
      </c>
      <c r="E5" s="337">
        <f>IF(ISERROR(VLOOKUP($A5,'Man Tab'!$A:$Q,COLUMN()+2,0)),0,VLOOKUP($A5,'Man Tab'!$A:$Q,COLUMN()+2,0))</f>
        <v>4.9406564584124654E-324</v>
      </c>
      <c r="F5" s="337">
        <f>IF(ISERROR(VLOOKUP($A5,'Man Tab'!$A:$Q,COLUMN()+2,0)),0,VLOOKUP($A5,'Man Tab'!$A:$Q,COLUMN()+2,0))</f>
        <v>4.9406564584124654E-324</v>
      </c>
      <c r="G5" s="337">
        <f>IF(ISERROR(VLOOKUP($A5,'Man Tab'!$A:$Q,COLUMN()+2,0)),0,VLOOKUP($A5,'Man Tab'!$A:$Q,COLUMN()+2,0))</f>
        <v>4.9406564584124654E-324</v>
      </c>
      <c r="H5" s="337">
        <f>IF(ISERROR(VLOOKUP($A5,'Man Tab'!$A:$Q,COLUMN()+2,0)),0,VLOOKUP($A5,'Man Tab'!$A:$Q,COLUMN()+2,0))</f>
        <v>4.9406564584124654E-324</v>
      </c>
      <c r="I5" s="337">
        <f>IF(ISERROR(VLOOKUP($A5,'Man Tab'!$A:$Q,COLUMN()+2,0)),0,VLOOKUP($A5,'Man Tab'!$A:$Q,COLUMN()+2,0))</f>
        <v>4.9406564584124654E-324</v>
      </c>
      <c r="J5" s="337">
        <f>IF(ISERROR(VLOOKUP($A5,'Man Tab'!$A:$Q,COLUMN()+2,0)),0,VLOOKUP($A5,'Man Tab'!$A:$Q,COLUMN()+2,0))</f>
        <v>4.9406564584124654E-324</v>
      </c>
      <c r="K5" s="337">
        <f>IF(ISERROR(VLOOKUP($A5,'Man Tab'!$A:$Q,COLUMN()+2,0)),0,VLOOKUP($A5,'Man Tab'!$A:$Q,COLUMN()+2,0))</f>
        <v>4.9406564584124654E-324</v>
      </c>
      <c r="L5" s="337">
        <f>IF(ISERROR(VLOOKUP($A5,'Man Tab'!$A:$Q,COLUMN()+2,0)),0,VLOOKUP($A5,'Man Tab'!$A:$Q,COLUMN()+2,0))</f>
        <v>4.9406564584124654E-324</v>
      </c>
      <c r="M5" s="337">
        <f>IF(ISERROR(VLOOKUP($A5,'Man Tab'!$A:$Q,COLUMN()+2,0)),0,VLOOKUP($A5,'Man Tab'!$A:$Q,COLUMN()+2,0))</f>
        <v>4.9406564584124654E-324</v>
      </c>
    </row>
    <row r="6" spans="1:13" ht="14.4" customHeight="1" x14ac:dyDescent="0.3">
      <c r="A6" s="338" t="s">
        <v>101</v>
      </c>
      <c r="B6" s="339">
        <f>B5</f>
        <v>2467.1813900000102</v>
      </c>
      <c r="C6" s="339">
        <f t="shared" ref="C6:M6" si="1">C5+B6</f>
        <v>4740.2859700000099</v>
      </c>
      <c r="D6" s="339">
        <f t="shared" si="1"/>
        <v>4740.2859700000099</v>
      </c>
      <c r="E6" s="339">
        <f t="shared" si="1"/>
        <v>4740.2859700000099</v>
      </c>
      <c r="F6" s="339">
        <f t="shared" si="1"/>
        <v>4740.2859700000099</v>
      </c>
      <c r="G6" s="339">
        <f t="shared" si="1"/>
        <v>4740.2859700000099</v>
      </c>
      <c r="H6" s="339">
        <f t="shared" si="1"/>
        <v>4740.2859700000099</v>
      </c>
      <c r="I6" s="339">
        <f t="shared" si="1"/>
        <v>4740.2859700000099</v>
      </c>
      <c r="J6" s="339">
        <f t="shared" si="1"/>
        <v>4740.2859700000099</v>
      </c>
      <c r="K6" s="339">
        <f t="shared" si="1"/>
        <v>4740.2859700000099</v>
      </c>
      <c r="L6" s="339">
        <f t="shared" si="1"/>
        <v>4740.2859700000099</v>
      </c>
      <c r="M6" s="339">
        <f t="shared" si="1"/>
        <v>4740.2859700000099</v>
      </c>
    </row>
    <row r="7" spans="1:13" ht="14.4" customHeight="1" x14ac:dyDescent="0.3">
      <c r="A7" s="338" t="s">
        <v>130</v>
      </c>
      <c r="B7" s="338">
        <v>89.210999999999999</v>
      </c>
      <c r="C7" s="338">
        <v>291.20699999999999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</row>
    <row r="8" spans="1:13" ht="14.4" customHeight="1" x14ac:dyDescent="0.3">
      <c r="A8" s="338" t="s">
        <v>102</v>
      </c>
      <c r="B8" s="339">
        <f>B7*30</f>
        <v>2676.33</v>
      </c>
      <c r="C8" s="339">
        <f t="shared" ref="C8:M8" si="2">C7*30</f>
        <v>8736.2099999999991</v>
      </c>
      <c r="D8" s="339">
        <f t="shared" si="2"/>
        <v>0</v>
      </c>
      <c r="E8" s="339">
        <f t="shared" si="2"/>
        <v>0</v>
      </c>
      <c r="F8" s="339">
        <f t="shared" si="2"/>
        <v>0</v>
      </c>
      <c r="G8" s="339">
        <f t="shared" si="2"/>
        <v>0</v>
      </c>
      <c r="H8" s="339">
        <f t="shared" si="2"/>
        <v>0</v>
      </c>
      <c r="I8" s="339">
        <f t="shared" si="2"/>
        <v>0</v>
      </c>
      <c r="J8" s="339">
        <f t="shared" si="2"/>
        <v>0</v>
      </c>
      <c r="K8" s="339">
        <f t="shared" si="2"/>
        <v>0</v>
      </c>
      <c r="L8" s="339">
        <f t="shared" si="2"/>
        <v>0</v>
      </c>
      <c r="M8" s="339">
        <f t="shared" si="2"/>
        <v>0</v>
      </c>
    </row>
    <row r="9" spans="1:13" ht="14.4" customHeight="1" x14ac:dyDescent="0.3">
      <c r="A9" s="338" t="s">
        <v>131</v>
      </c>
      <c r="B9" s="338">
        <v>28002</v>
      </c>
      <c r="C9" s="338">
        <v>13182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</row>
    <row r="10" spans="1:13" ht="14.4" customHeight="1" x14ac:dyDescent="0.3">
      <c r="A10" s="338" t="s">
        <v>103</v>
      </c>
      <c r="B10" s="339">
        <f>B9/1000</f>
        <v>28.001999999999999</v>
      </c>
      <c r="C10" s="339">
        <f t="shared" ref="C10:M10" si="3">C9/1000+B10</f>
        <v>41.183999999999997</v>
      </c>
      <c r="D10" s="339">
        <f t="shared" si="3"/>
        <v>41.183999999999997</v>
      </c>
      <c r="E10" s="339">
        <f t="shared" si="3"/>
        <v>41.183999999999997</v>
      </c>
      <c r="F10" s="339">
        <f t="shared" si="3"/>
        <v>41.183999999999997</v>
      </c>
      <c r="G10" s="339">
        <f t="shared" si="3"/>
        <v>41.183999999999997</v>
      </c>
      <c r="H10" s="339">
        <f t="shared" si="3"/>
        <v>41.183999999999997</v>
      </c>
      <c r="I10" s="339">
        <f t="shared" si="3"/>
        <v>41.183999999999997</v>
      </c>
      <c r="J10" s="339">
        <f t="shared" si="3"/>
        <v>41.183999999999997</v>
      </c>
      <c r="K10" s="339">
        <f t="shared" si="3"/>
        <v>41.183999999999997</v>
      </c>
      <c r="L10" s="339">
        <f t="shared" si="3"/>
        <v>41.183999999999997</v>
      </c>
      <c r="M10" s="339">
        <f t="shared" si="3"/>
        <v>41.183999999999997</v>
      </c>
    </row>
    <row r="11" spans="1:13" ht="14.4" customHeight="1" x14ac:dyDescent="0.3">
      <c r="A11" s="334"/>
      <c r="B11" s="334" t="s">
        <v>119</v>
      </c>
      <c r="C11" s="334">
        <f>COUNTIF(B7:M7,"&lt;&gt;")</f>
        <v>2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</row>
    <row r="12" spans="1:13" ht="14.4" customHeight="1" x14ac:dyDescent="0.3">
      <c r="A12" s="334">
        <v>0</v>
      </c>
      <c r="B12" s="337">
        <f>IF(ISERROR(HI!F15),#REF!,HI!F15)</f>
        <v>1.5323423640749678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</row>
    <row r="13" spans="1:13" ht="14.4" customHeight="1" x14ac:dyDescent="0.3">
      <c r="A13" s="334">
        <v>1</v>
      </c>
      <c r="B13" s="337">
        <f>IF(ISERROR(HI!F15),#REF!,HI!F15)</f>
        <v>1.5323423640749678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60" bestFit="1" customWidth="1"/>
    <col min="2" max="2" width="12.77734375" style="260" bestFit="1" customWidth="1"/>
    <col min="3" max="3" width="13.6640625" style="260" bestFit="1" customWidth="1"/>
    <col min="4" max="15" width="7.77734375" style="260" bestFit="1" customWidth="1"/>
    <col min="16" max="16" width="8.88671875" style="260" customWidth="1"/>
    <col min="17" max="17" width="6.6640625" style="260" bestFit="1" customWidth="1"/>
    <col min="18" max="16384" width="8.88671875" style="260"/>
  </cols>
  <sheetData>
    <row r="1" spans="1:17" s="340" customFormat="1" ht="18.600000000000001" customHeight="1" thickBot="1" x14ac:dyDescent="0.4">
      <c r="A1" s="471" t="s">
        <v>300</v>
      </c>
      <c r="B1" s="471"/>
      <c r="C1" s="471"/>
      <c r="D1" s="471"/>
      <c r="E1" s="471"/>
      <c r="F1" s="471"/>
      <c r="G1" s="471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s="340" customFormat="1" ht="14.4" customHeight="1" thickBot="1" x14ac:dyDescent="0.3">
      <c r="A2" s="389" t="s">
        <v>298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4" customHeight="1" x14ac:dyDescent="0.3">
      <c r="A3" s="101"/>
      <c r="B3" s="472" t="s">
        <v>32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269"/>
      <c r="Q3" s="271"/>
    </row>
    <row r="4" spans="1:17" ht="14.4" customHeight="1" x14ac:dyDescent="0.3">
      <c r="A4" s="102"/>
      <c r="B4" s="24">
        <v>2014</v>
      </c>
      <c r="C4" s="270" t="s">
        <v>33</v>
      </c>
      <c r="D4" s="248" t="s">
        <v>215</v>
      </c>
      <c r="E4" s="248" t="s">
        <v>216</v>
      </c>
      <c r="F4" s="248" t="s">
        <v>217</v>
      </c>
      <c r="G4" s="248" t="s">
        <v>218</v>
      </c>
      <c r="H4" s="248" t="s">
        <v>219</v>
      </c>
      <c r="I4" s="248" t="s">
        <v>220</v>
      </c>
      <c r="J4" s="248" t="s">
        <v>221</v>
      </c>
      <c r="K4" s="248" t="s">
        <v>222</v>
      </c>
      <c r="L4" s="248" t="s">
        <v>223</v>
      </c>
      <c r="M4" s="248" t="s">
        <v>224</v>
      </c>
      <c r="N4" s="248" t="s">
        <v>225</v>
      </c>
      <c r="O4" s="248" t="s">
        <v>226</v>
      </c>
      <c r="P4" s="474" t="s">
        <v>6</v>
      </c>
      <c r="Q4" s="475"/>
    </row>
    <row r="5" spans="1:17" ht="14.4" customHeight="1" thickBot="1" x14ac:dyDescent="0.35">
      <c r="A5" s="103"/>
      <c r="B5" s="25" t="s">
        <v>34</v>
      </c>
      <c r="C5" s="26" t="s">
        <v>34</v>
      </c>
      <c r="D5" s="26" t="s">
        <v>35</v>
      </c>
      <c r="E5" s="26" t="s">
        <v>35</v>
      </c>
      <c r="F5" s="26" t="s">
        <v>35</v>
      </c>
      <c r="G5" s="26" t="s">
        <v>35</v>
      </c>
      <c r="H5" s="26" t="s">
        <v>35</v>
      </c>
      <c r="I5" s="26" t="s">
        <v>35</v>
      </c>
      <c r="J5" s="26" t="s">
        <v>35</v>
      </c>
      <c r="K5" s="26" t="s">
        <v>35</v>
      </c>
      <c r="L5" s="26" t="s">
        <v>35</v>
      </c>
      <c r="M5" s="26" t="s">
        <v>35</v>
      </c>
      <c r="N5" s="26" t="s">
        <v>35</v>
      </c>
      <c r="O5" s="26" t="s">
        <v>35</v>
      </c>
      <c r="P5" s="26" t="s">
        <v>35</v>
      </c>
      <c r="Q5" s="27" t="s">
        <v>36</v>
      </c>
    </row>
    <row r="6" spans="1:17" ht="14.4" customHeight="1" x14ac:dyDescent="0.3">
      <c r="A6" s="18" t="s">
        <v>37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9.8813129168249309E-324</v>
      </c>
      <c r="Q6" s="188" t="s">
        <v>299</v>
      </c>
    </row>
    <row r="7" spans="1:17" ht="14.4" customHeight="1" x14ac:dyDescent="0.3">
      <c r="A7" s="19" t="s">
        <v>38</v>
      </c>
      <c r="B7" s="55">
        <v>2475.1675394508202</v>
      </c>
      <c r="C7" s="56">
        <v>206.26396162090199</v>
      </c>
      <c r="D7" s="56">
        <v>211.26257000000101</v>
      </c>
      <c r="E7" s="56">
        <v>159.73812000000001</v>
      </c>
      <c r="F7" s="56">
        <v>4.9406564584124654E-324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371.00069000000099</v>
      </c>
      <c r="Q7" s="189">
        <v>0.89933473371799999</v>
      </c>
    </row>
    <row r="8" spans="1:17" ht="14.4" customHeight="1" x14ac:dyDescent="0.3">
      <c r="A8" s="19" t="s">
        <v>39</v>
      </c>
      <c r="B8" s="55">
        <v>85.884516960048003</v>
      </c>
      <c r="C8" s="56">
        <v>7.1570430800039997</v>
      </c>
      <c r="D8" s="56">
        <v>1.8129999999999999</v>
      </c>
      <c r="E8" s="56">
        <v>9.0649999999999995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10.878</v>
      </c>
      <c r="Q8" s="189">
        <v>0.75995071417000004</v>
      </c>
    </row>
    <row r="9" spans="1:17" ht="14.4" customHeight="1" x14ac:dyDescent="0.3">
      <c r="A9" s="19" t="s">
        <v>40</v>
      </c>
      <c r="B9" s="55">
        <v>696.65321912178501</v>
      </c>
      <c r="C9" s="56">
        <v>58.054434926814999</v>
      </c>
      <c r="D9" s="56">
        <v>54.470680000000002</v>
      </c>
      <c r="E9" s="56">
        <v>53.019599999999997</v>
      </c>
      <c r="F9" s="56">
        <v>4.9406564584124654E-324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107.49028</v>
      </c>
      <c r="Q9" s="189">
        <v>0.92577147754</v>
      </c>
    </row>
    <row r="10" spans="1:17" ht="14.4" customHeight="1" x14ac:dyDescent="0.3">
      <c r="A10" s="19" t="s">
        <v>41</v>
      </c>
      <c r="B10" s="55">
        <v>863.99695285234304</v>
      </c>
      <c r="C10" s="56">
        <v>71.999746071028</v>
      </c>
      <c r="D10" s="56">
        <v>96.402100000000004</v>
      </c>
      <c r="E10" s="56">
        <v>88.223339999999993</v>
      </c>
      <c r="F10" s="56">
        <v>4.9406564584124654E-324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184.62544</v>
      </c>
      <c r="Q10" s="189">
        <v>1.2821256328999999</v>
      </c>
    </row>
    <row r="11" spans="1:17" ht="14.4" customHeight="1" x14ac:dyDescent="0.3">
      <c r="A11" s="19" t="s">
        <v>42</v>
      </c>
      <c r="B11" s="55">
        <v>422.15010020812099</v>
      </c>
      <c r="C11" s="56">
        <v>35.179175017342999</v>
      </c>
      <c r="D11" s="56">
        <v>32.326250000000002</v>
      </c>
      <c r="E11" s="56">
        <v>30.39969</v>
      </c>
      <c r="F11" s="56">
        <v>4.9406564584124654E-324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62.725940000000001</v>
      </c>
      <c r="Q11" s="189">
        <v>0.89152090646000004</v>
      </c>
    </row>
    <row r="12" spans="1:17" ht="14.4" customHeight="1" x14ac:dyDescent="0.3">
      <c r="A12" s="19" t="s">
        <v>43</v>
      </c>
      <c r="B12" s="55">
        <v>25.06181392197</v>
      </c>
      <c r="C12" s="56">
        <v>2.0884844934969999</v>
      </c>
      <c r="D12" s="56">
        <v>5.7055199999999999</v>
      </c>
      <c r="E12" s="56">
        <v>0.52854999999999996</v>
      </c>
      <c r="F12" s="56">
        <v>4.9406564584124654E-324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6.23407</v>
      </c>
      <c r="Q12" s="189">
        <v>1.492486542133</v>
      </c>
    </row>
    <row r="13" spans="1:17" ht="14.4" customHeight="1" x14ac:dyDescent="0.3">
      <c r="A13" s="19" t="s">
        <v>44</v>
      </c>
      <c r="B13" s="55">
        <v>275.15136867539599</v>
      </c>
      <c r="C13" s="56">
        <v>22.929280722948999</v>
      </c>
      <c r="D13" s="56">
        <v>30.438179999999999</v>
      </c>
      <c r="E13" s="56">
        <v>23.839600000000001</v>
      </c>
      <c r="F13" s="56">
        <v>4.9406564584124654E-324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54.27778</v>
      </c>
      <c r="Q13" s="189">
        <v>1.183590986909</v>
      </c>
    </row>
    <row r="14" spans="1:17" ht="14.4" customHeight="1" x14ac:dyDescent="0.3">
      <c r="A14" s="19" t="s">
        <v>45</v>
      </c>
      <c r="B14" s="55">
        <v>1003.6063739863999</v>
      </c>
      <c r="C14" s="56">
        <v>83.633864498866998</v>
      </c>
      <c r="D14" s="56">
        <v>113.017000000001</v>
      </c>
      <c r="E14" s="56">
        <v>93.459000000000003</v>
      </c>
      <c r="F14" s="56">
        <v>4.9406564584124654E-324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206.47600000000099</v>
      </c>
      <c r="Q14" s="189">
        <v>1.2344042765280001</v>
      </c>
    </row>
    <row r="15" spans="1:17" ht="14.4" customHeight="1" x14ac:dyDescent="0.3">
      <c r="A15" s="19" t="s">
        <v>46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9.8813129168249309E-324</v>
      </c>
      <c r="Q15" s="189" t="s">
        <v>299</v>
      </c>
    </row>
    <row r="16" spans="1:17" ht="14.4" customHeight="1" x14ac:dyDescent="0.3">
      <c r="A16" s="19" t="s">
        <v>47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9.8813129168249309E-324</v>
      </c>
      <c r="Q16" s="189" t="s">
        <v>299</v>
      </c>
    </row>
    <row r="17" spans="1:17" ht="14.4" customHeight="1" x14ac:dyDescent="0.3">
      <c r="A17" s="19" t="s">
        <v>48</v>
      </c>
      <c r="B17" s="55">
        <v>328.21866403586199</v>
      </c>
      <c r="C17" s="56">
        <v>27.351555336320999</v>
      </c>
      <c r="D17" s="56">
        <v>2.3359999999999999</v>
      </c>
      <c r="E17" s="56">
        <v>24.167860000000001</v>
      </c>
      <c r="F17" s="56">
        <v>4.9406564584124654E-324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26.50386</v>
      </c>
      <c r="Q17" s="189">
        <v>0.48450370872999998</v>
      </c>
    </row>
    <row r="18" spans="1:17" ht="14.4" customHeight="1" x14ac:dyDescent="0.3">
      <c r="A18" s="19" t="s">
        <v>49</v>
      </c>
      <c r="B18" s="55">
        <v>0</v>
      </c>
      <c r="C18" s="56">
        <v>0</v>
      </c>
      <c r="D18" s="56">
        <v>4.9406564584124654E-324</v>
      </c>
      <c r="E18" s="56">
        <v>8.4550000000000001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8.4550000000000001</v>
      </c>
      <c r="Q18" s="189" t="s">
        <v>299</v>
      </c>
    </row>
    <row r="19" spans="1:17" ht="14.4" customHeight="1" x14ac:dyDescent="0.3">
      <c r="A19" s="19" t="s">
        <v>50</v>
      </c>
      <c r="B19" s="55">
        <v>1125.9780034257101</v>
      </c>
      <c r="C19" s="56">
        <v>93.831500285475997</v>
      </c>
      <c r="D19" s="56">
        <v>113.81420000000099</v>
      </c>
      <c r="E19" s="56">
        <v>10.54363</v>
      </c>
      <c r="F19" s="56">
        <v>4.9406564584124654E-324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124.357830000001</v>
      </c>
      <c r="Q19" s="189">
        <v>0.66266568061700004</v>
      </c>
    </row>
    <row r="20" spans="1:17" ht="14.4" customHeight="1" x14ac:dyDescent="0.3">
      <c r="A20" s="19" t="s">
        <v>51</v>
      </c>
      <c r="B20" s="55">
        <v>21767.1076236515</v>
      </c>
      <c r="C20" s="56">
        <v>1813.9256353042899</v>
      </c>
      <c r="D20" s="56">
        <v>1769.03989000001</v>
      </c>
      <c r="E20" s="56">
        <v>1733.65635</v>
      </c>
      <c r="F20" s="56">
        <v>4.9406564584124654E-324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3502.6962400000102</v>
      </c>
      <c r="Q20" s="189">
        <v>0.96550160927899997</v>
      </c>
    </row>
    <row r="21" spans="1:17" ht="14.4" customHeight="1" x14ac:dyDescent="0.3">
      <c r="A21" s="20" t="s">
        <v>52</v>
      </c>
      <c r="B21" s="55">
        <v>439.99345881805601</v>
      </c>
      <c r="C21" s="56">
        <v>36.666121568171</v>
      </c>
      <c r="D21" s="56">
        <v>36.555999999999997</v>
      </c>
      <c r="E21" s="56">
        <v>36.555999999999997</v>
      </c>
      <c r="F21" s="56">
        <v>1.4821969375237396E-323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73.111999999999995</v>
      </c>
      <c r="Q21" s="189">
        <v>0.99699663985499998</v>
      </c>
    </row>
    <row r="22" spans="1:17" ht="14.4" customHeight="1" x14ac:dyDescent="0.3">
      <c r="A22" s="19" t="s">
        <v>53</v>
      </c>
      <c r="B22" s="55">
        <v>0</v>
      </c>
      <c r="C22" s="56">
        <v>0</v>
      </c>
      <c r="D22" s="56">
        <v>4.9406564584124654E-324</v>
      </c>
      <c r="E22" s="56">
        <v>1.452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1.452</v>
      </c>
      <c r="Q22" s="189" t="s">
        <v>299</v>
      </c>
    </row>
    <row r="23" spans="1:17" ht="14.4" customHeight="1" x14ac:dyDescent="0.3">
      <c r="A23" s="20" t="s">
        <v>54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3.9525251667299724E-323</v>
      </c>
      <c r="Q23" s="189" t="s">
        <v>299</v>
      </c>
    </row>
    <row r="24" spans="1:17" ht="14.4" customHeight="1" x14ac:dyDescent="0.3">
      <c r="A24" s="20" t="s">
        <v>55</v>
      </c>
      <c r="B24" s="55">
        <v>0</v>
      </c>
      <c r="C24" s="56">
        <v>0</v>
      </c>
      <c r="D24" s="56">
        <v>4.5474735088646402E-13</v>
      </c>
      <c r="E24" s="56">
        <v>8.3999999900000004E-4</v>
      </c>
      <c r="F24" s="56">
        <v>-1.0869444208507424E-322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8.4000000000000003E-4</v>
      </c>
      <c r="Q24" s="189"/>
    </row>
    <row r="25" spans="1:17" ht="14.4" customHeight="1" x14ac:dyDescent="0.3">
      <c r="A25" s="21" t="s">
        <v>56</v>
      </c>
      <c r="B25" s="58">
        <v>29508.969635107998</v>
      </c>
      <c r="C25" s="59">
        <v>2459.08080292567</v>
      </c>
      <c r="D25" s="59">
        <v>2467.1813900000102</v>
      </c>
      <c r="E25" s="59">
        <v>2273.1045800000002</v>
      </c>
      <c r="F25" s="59">
        <v>4.9406564584124654E-324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4740.2859700000099</v>
      </c>
      <c r="Q25" s="190">
        <v>0.963832901375</v>
      </c>
    </row>
    <row r="26" spans="1:17" ht="14.4" customHeight="1" x14ac:dyDescent="0.3">
      <c r="A26" s="19" t="s">
        <v>57</v>
      </c>
      <c r="B26" s="55">
        <v>4861.0141763538404</v>
      </c>
      <c r="C26" s="56">
        <v>405.08451469615301</v>
      </c>
      <c r="D26" s="56">
        <v>442.24950000000001</v>
      </c>
      <c r="E26" s="56">
        <v>405.25518</v>
      </c>
      <c r="F26" s="56">
        <v>4.9406564584124654E-324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847.50468000000001</v>
      </c>
      <c r="Q26" s="189">
        <v>1.0460837791290001</v>
      </c>
    </row>
    <row r="27" spans="1:17" ht="14.4" customHeight="1" x14ac:dyDescent="0.3">
      <c r="A27" s="22" t="s">
        <v>58</v>
      </c>
      <c r="B27" s="58">
        <v>34369.983811461898</v>
      </c>
      <c r="C27" s="59">
        <v>2864.1653176218201</v>
      </c>
      <c r="D27" s="59">
        <v>2909.4308900000101</v>
      </c>
      <c r="E27" s="59">
        <v>2678.3597599999998</v>
      </c>
      <c r="F27" s="59">
        <v>9.8813129168249309E-324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5587.7906500000099</v>
      </c>
      <c r="Q27" s="190">
        <v>0.97546580422899998</v>
      </c>
    </row>
    <row r="28" spans="1:17" ht="14.4" customHeight="1" x14ac:dyDescent="0.3">
      <c r="A28" s="20" t="s">
        <v>59</v>
      </c>
      <c r="B28" s="55">
        <v>1.2351641146031164E-322</v>
      </c>
      <c r="C28" s="56">
        <v>0</v>
      </c>
      <c r="D28" s="56">
        <v>1.2351641146031164E-322</v>
      </c>
      <c r="E28" s="56">
        <v>1.2351641146031164E-322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2.4703282292062327E-322</v>
      </c>
      <c r="Q28" s="189">
        <v>0</v>
      </c>
    </row>
    <row r="29" spans="1:17" ht="14.4" customHeight="1" x14ac:dyDescent="0.3">
      <c r="A29" s="20" t="s">
        <v>60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1.9762625833649862E-323</v>
      </c>
      <c r="Q29" s="189" t="s">
        <v>299</v>
      </c>
    </row>
    <row r="30" spans="1:17" ht="14.4" customHeight="1" x14ac:dyDescent="0.3">
      <c r="A30" s="20" t="s">
        <v>61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9.8813129168249309E-323</v>
      </c>
      <c r="Q30" s="189">
        <v>0</v>
      </c>
    </row>
    <row r="31" spans="1:17" ht="14.4" customHeight="1" thickBot="1" x14ac:dyDescent="0.35">
      <c r="A31" s="23" t="s">
        <v>62</v>
      </c>
      <c r="B31" s="61">
        <v>1.4821969375237396E-323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4.9406564584124654E-323</v>
      </c>
      <c r="Q31" s="191" t="s">
        <v>299</v>
      </c>
    </row>
    <row r="32" spans="1:17" ht="14.4" customHeight="1" x14ac:dyDescent="0.3"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</row>
    <row r="33" spans="1:17" ht="14.4" customHeight="1" x14ac:dyDescent="0.3">
      <c r="A33" s="232" t="s">
        <v>207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17" ht="14.4" customHeight="1" x14ac:dyDescent="0.3">
      <c r="A34" s="266" t="s">
        <v>243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17" ht="14.4" customHeight="1" x14ac:dyDescent="0.3">
      <c r="A35" s="267" t="s">
        <v>63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60" customWidth="1"/>
    <col min="2" max="11" width="10" style="260" customWidth="1"/>
    <col min="12" max="16384" width="8.88671875" style="260"/>
  </cols>
  <sheetData>
    <row r="1" spans="1:11" s="64" customFormat="1" ht="18.600000000000001" customHeight="1" thickBot="1" x14ac:dyDescent="0.4">
      <c r="A1" s="471" t="s">
        <v>64</v>
      </c>
      <c r="B1" s="471"/>
      <c r="C1" s="471"/>
      <c r="D1" s="471"/>
      <c r="E1" s="471"/>
      <c r="F1" s="471"/>
      <c r="G1" s="471"/>
      <c r="H1" s="476"/>
      <c r="I1" s="476"/>
      <c r="J1" s="476"/>
      <c r="K1" s="476"/>
    </row>
    <row r="2" spans="1:11" s="64" customFormat="1" ht="14.4" customHeight="1" thickBot="1" x14ac:dyDescent="0.35">
      <c r="A2" s="389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2" t="s">
        <v>65</v>
      </c>
      <c r="C3" s="473"/>
      <c r="D3" s="473"/>
      <c r="E3" s="473"/>
      <c r="F3" s="479" t="s">
        <v>66</v>
      </c>
      <c r="G3" s="473"/>
      <c r="H3" s="473"/>
      <c r="I3" s="473"/>
      <c r="J3" s="473"/>
      <c r="K3" s="480"/>
    </row>
    <row r="4" spans="1:11" ht="14.4" customHeight="1" x14ac:dyDescent="0.3">
      <c r="A4" s="102"/>
      <c r="B4" s="477"/>
      <c r="C4" s="478"/>
      <c r="D4" s="478"/>
      <c r="E4" s="478"/>
      <c r="F4" s="481" t="s">
        <v>231</v>
      </c>
      <c r="G4" s="483" t="s">
        <v>67</v>
      </c>
      <c r="H4" s="272" t="s">
        <v>187</v>
      </c>
      <c r="I4" s="481" t="s">
        <v>68</v>
      </c>
      <c r="J4" s="483" t="s">
        <v>233</v>
      </c>
      <c r="K4" s="484" t="s">
        <v>234</v>
      </c>
    </row>
    <row r="5" spans="1:11" ht="42" thickBot="1" x14ac:dyDescent="0.35">
      <c r="A5" s="103"/>
      <c r="B5" s="28" t="s">
        <v>227</v>
      </c>
      <c r="C5" s="29" t="s">
        <v>228</v>
      </c>
      <c r="D5" s="30" t="s">
        <v>229</v>
      </c>
      <c r="E5" s="30" t="s">
        <v>230</v>
      </c>
      <c r="F5" s="482"/>
      <c r="G5" s="482"/>
      <c r="H5" s="29" t="s">
        <v>232</v>
      </c>
      <c r="I5" s="482"/>
      <c r="J5" s="482"/>
      <c r="K5" s="485"/>
    </row>
    <row r="6" spans="1:11" ht="14.4" customHeight="1" thickBot="1" x14ac:dyDescent="0.35">
      <c r="A6" s="605" t="s">
        <v>301</v>
      </c>
      <c r="B6" s="587">
        <v>28284.0730238703</v>
      </c>
      <c r="C6" s="587">
        <v>30861.031040000002</v>
      </c>
      <c r="D6" s="588">
        <v>2576.9580161296999</v>
      </c>
      <c r="E6" s="589">
        <v>1.0911098629230001</v>
      </c>
      <c r="F6" s="587">
        <v>29508.969635107998</v>
      </c>
      <c r="G6" s="588">
        <v>4918.16160585134</v>
      </c>
      <c r="H6" s="590">
        <v>2273.1045800000002</v>
      </c>
      <c r="I6" s="587">
        <v>4740.2859700000099</v>
      </c>
      <c r="J6" s="588">
        <v>-177.875635851326</v>
      </c>
      <c r="K6" s="591">
        <v>0.16063881689500001</v>
      </c>
    </row>
    <row r="7" spans="1:11" ht="14.4" customHeight="1" thickBot="1" x14ac:dyDescent="0.35">
      <c r="A7" s="606" t="s">
        <v>302</v>
      </c>
      <c r="B7" s="587">
        <v>5988.6501041128504</v>
      </c>
      <c r="C7" s="587">
        <v>6136.3606399999999</v>
      </c>
      <c r="D7" s="588">
        <v>147.71053588714801</v>
      </c>
      <c r="E7" s="589">
        <v>1.0246650803299999</v>
      </c>
      <c r="F7" s="587">
        <v>5847.6718851768901</v>
      </c>
      <c r="G7" s="588">
        <v>974.61198086281502</v>
      </c>
      <c r="H7" s="590">
        <v>458.27373999999998</v>
      </c>
      <c r="I7" s="587">
        <v>1003.70904</v>
      </c>
      <c r="J7" s="588">
        <v>29.097059137186999</v>
      </c>
      <c r="K7" s="591">
        <v>0.17164250315400001</v>
      </c>
    </row>
    <row r="8" spans="1:11" ht="14.4" customHeight="1" thickBot="1" x14ac:dyDescent="0.35">
      <c r="A8" s="607" t="s">
        <v>303</v>
      </c>
      <c r="B8" s="587">
        <v>4968.7499076644399</v>
      </c>
      <c r="C8" s="587">
        <v>5142.5806400000001</v>
      </c>
      <c r="D8" s="588">
        <v>173.830732335557</v>
      </c>
      <c r="E8" s="589">
        <v>1.034984802126</v>
      </c>
      <c r="F8" s="587">
        <v>4844.0655111904898</v>
      </c>
      <c r="G8" s="588">
        <v>807.34425186508099</v>
      </c>
      <c r="H8" s="590">
        <v>364.81473999999997</v>
      </c>
      <c r="I8" s="587">
        <v>797.23304000000201</v>
      </c>
      <c r="J8" s="588">
        <v>-10.111211865077999</v>
      </c>
      <c r="K8" s="591">
        <v>0.16457932663300001</v>
      </c>
    </row>
    <row r="9" spans="1:11" ht="14.4" customHeight="1" thickBot="1" x14ac:dyDescent="0.35">
      <c r="A9" s="608" t="s">
        <v>304</v>
      </c>
      <c r="B9" s="592">
        <v>4.9406564584124654E-324</v>
      </c>
      <c r="C9" s="592">
        <v>4.0000000000000002E-4</v>
      </c>
      <c r="D9" s="593">
        <v>4.0000000000000002E-4</v>
      </c>
      <c r="E9" s="594" t="s">
        <v>305</v>
      </c>
      <c r="F9" s="592">
        <v>0</v>
      </c>
      <c r="G9" s="593">
        <v>0</v>
      </c>
      <c r="H9" s="595">
        <v>8.4000000000000003E-4</v>
      </c>
      <c r="I9" s="592">
        <v>8.4000000000000003E-4</v>
      </c>
      <c r="J9" s="593">
        <v>8.4000000000000003E-4</v>
      </c>
      <c r="K9" s="596" t="s">
        <v>299</v>
      </c>
    </row>
    <row r="10" spans="1:11" ht="14.4" customHeight="1" thickBot="1" x14ac:dyDescent="0.35">
      <c r="A10" s="609" t="s">
        <v>306</v>
      </c>
      <c r="B10" s="587">
        <v>4.9406564584124654E-324</v>
      </c>
      <c r="C10" s="587">
        <v>4.0000000000000002E-4</v>
      </c>
      <c r="D10" s="588">
        <v>4.0000000000000002E-4</v>
      </c>
      <c r="E10" s="597" t="s">
        <v>305</v>
      </c>
      <c r="F10" s="587">
        <v>0</v>
      </c>
      <c r="G10" s="588">
        <v>0</v>
      </c>
      <c r="H10" s="590">
        <v>8.4000000000000003E-4</v>
      </c>
      <c r="I10" s="587">
        <v>8.4000000000000003E-4</v>
      </c>
      <c r="J10" s="588">
        <v>8.4000000000000003E-4</v>
      </c>
      <c r="K10" s="598" t="s">
        <v>299</v>
      </c>
    </row>
    <row r="11" spans="1:11" ht="14.4" customHeight="1" thickBot="1" x14ac:dyDescent="0.35">
      <c r="A11" s="608" t="s">
        <v>307</v>
      </c>
      <c r="B11" s="592">
        <v>2716.2425378017701</v>
      </c>
      <c r="C11" s="592">
        <v>2573.1899600000002</v>
      </c>
      <c r="D11" s="593">
        <v>-143.05257780177399</v>
      </c>
      <c r="E11" s="599">
        <v>0.94733438718700003</v>
      </c>
      <c r="F11" s="592">
        <v>2475.1675394508202</v>
      </c>
      <c r="G11" s="593">
        <v>412.52792324180399</v>
      </c>
      <c r="H11" s="595">
        <v>159.73812000000001</v>
      </c>
      <c r="I11" s="592">
        <v>371.00069000000099</v>
      </c>
      <c r="J11" s="593">
        <v>-41.527233241802001</v>
      </c>
      <c r="K11" s="600">
        <v>0.14988912228599999</v>
      </c>
    </row>
    <row r="12" spans="1:11" ht="14.4" customHeight="1" thickBot="1" x14ac:dyDescent="0.35">
      <c r="A12" s="609" t="s">
        <v>308</v>
      </c>
      <c r="B12" s="587">
        <v>1956.4422272587001</v>
      </c>
      <c r="C12" s="587">
        <v>1841.3282300000001</v>
      </c>
      <c r="D12" s="588">
        <v>-115.11399725870299</v>
      </c>
      <c r="E12" s="589">
        <v>0.94116156579700005</v>
      </c>
      <c r="F12" s="587">
        <v>1835.1436582746401</v>
      </c>
      <c r="G12" s="588">
        <v>305.85727637910702</v>
      </c>
      <c r="H12" s="590">
        <v>128.63882000000001</v>
      </c>
      <c r="I12" s="587">
        <v>294.475020000001</v>
      </c>
      <c r="J12" s="588">
        <v>-11.382256379106</v>
      </c>
      <c r="K12" s="591">
        <v>0.16046428772599999</v>
      </c>
    </row>
    <row r="13" spans="1:11" ht="14.4" customHeight="1" thickBot="1" x14ac:dyDescent="0.35">
      <c r="A13" s="609" t="s">
        <v>309</v>
      </c>
      <c r="B13" s="587">
        <v>183.75249637707</v>
      </c>
      <c r="C13" s="587">
        <v>186.04150999999999</v>
      </c>
      <c r="D13" s="588">
        <v>2.2890136229290001</v>
      </c>
      <c r="E13" s="589">
        <v>1.0124570477570001</v>
      </c>
      <c r="F13" s="587">
        <v>185.76356121835599</v>
      </c>
      <c r="G13" s="588">
        <v>30.960593536392</v>
      </c>
      <c r="H13" s="590">
        <v>11.787660000000001</v>
      </c>
      <c r="I13" s="587">
        <v>23.541239999999998</v>
      </c>
      <c r="J13" s="588">
        <v>-7.4193535363920002</v>
      </c>
      <c r="K13" s="591">
        <v>0.126726898674</v>
      </c>
    </row>
    <row r="14" spans="1:11" ht="14.4" customHeight="1" thickBot="1" x14ac:dyDescent="0.35">
      <c r="A14" s="609" t="s">
        <v>310</v>
      </c>
      <c r="B14" s="587">
        <v>465.004886170276</v>
      </c>
      <c r="C14" s="587">
        <v>453.86637000000002</v>
      </c>
      <c r="D14" s="588">
        <v>-11.138516170276</v>
      </c>
      <c r="E14" s="589">
        <v>0.97604645348499997</v>
      </c>
      <c r="F14" s="587">
        <v>368.04175590283398</v>
      </c>
      <c r="G14" s="588">
        <v>61.340292650472001</v>
      </c>
      <c r="H14" s="590">
        <v>13.93712</v>
      </c>
      <c r="I14" s="587">
        <v>37.535060000000001</v>
      </c>
      <c r="J14" s="588">
        <v>-23.805232650472</v>
      </c>
      <c r="K14" s="591">
        <v>0.101985873608</v>
      </c>
    </row>
    <row r="15" spans="1:11" ht="14.4" customHeight="1" thickBot="1" x14ac:dyDescent="0.35">
      <c r="A15" s="609" t="s">
        <v>311</v>
      </c>
      <c r="B15" s="587">
        <v>72.147744008809994</v>
      </c>
      <c r="C15" s="587">
        <v>57.758929999999999</v>
      </c>
      <c r="D15" s="588">
        <v>-14.38881400881</v>
      </c>
      <c r="E15" s="589">
        <v>0.80056460244799998</v>
      </c>
      <c r="F15" s="587">
        <v>53.503559661673997</v>
      </c>
      <c r="G15" s="588">
        <v>8.9172599436120006</v>
      </c>
      <c r="H15" s="590">
        <v>2.0520299999999998</v>
      </c>
      <c r="I15" s="587">
        <v>10.167210000000001</v>
      </c>
      <c r="J15" s="588">
        <v>1.2499500563870001</v>
      </c>
      <c r="K15" s="591">
        <v>0.19002866471400001</v>
      </c>
    </row>
    <row r="16" spans="1:11" ht="14.4" customHeight="1" thickBot="1" x14ac:dyDescent="0.35">
      <c r="A16" s="609" t="s">
        <v>312</v>
      </c>
      <c r="B16" s="587">
        <v>38.895183986913999</v>
      </c>
      <c r="C16" s="587">
        <v>34.194920000000003</v>
      </c>
      <c r="D16" s="588">
        <v>-4.7002639869139999</v>
      </c>
      <c r="E16" s="589">
        <v>0.87915563046300005</v>
      </c>
      <c r="F16" s="587">
        <v>32.715004393313997</v>
      </c>
      <c r="G16" s="588">
        <v>5.4525007322189998</v>
      </c>
      <c r="H16" s="590">
        <v>3.3224900000000002</v>
      </c>
      <c r="I16" s="587">
        <v>5.2821600000000002</v>
      </c>
      <c r="J16" s="588">
        <v>-0.17034073221900001</v>
      </c>
      <c r="K16" s="591">
        <v>0.161459859106</v>
      </c>
    </row>
    <row r="17" spans="1:11" ht="14.4" customHeight="1" thickBot="1" x14ac:dyDescent="0.35">
      <c r="A17" s="608" t="s">
        <v>313</v>
      </c>
      <c r="B17" s="592">
        <v>70.001257341978999</v>
      </c>
      <c r="C17" s="592">
        <v>85.126999999999995</v>
      </c>
      <c r="D17" s="593">
        <v>15.12574265802</v>
      </c>
      <c r="E17" s="599">
        <v>1.216078156769</v>
      </c>
      <c r="F17" s="592">
        <v>85.884516960048003</v>
      </c>
      <c r="G17" s="593">
        <v>14.314086160007999</v>
      </c>
      <c r="H17" s="595">
        <v>9.0649999999999995</v>
      </c>
      <c r="I17" s="592">
        <v>10.878</v>
      </c>
      <c r="J17" s="593">
        <v>-3.4360861600080002</v>
      </c>
      <c r="K17" s="600">
        <v>0.12665845236100001</v>
      </c>
    </row>
    <row r="18" spans="1:11" ht="14.4" customHeight="1" thickBot="1" x14ac:dyDescent="0.35">
      <c r="A18" s="609" t="s">
        <v>314</v>
      </c>
      <c r="B18" s="587">
        <v>68.940632230736995</v>
      </c>
      <c r="C18" s="587">
        <v>84.245999999999995</v>
      </c>
      <c r="D18" s="588">
        <v>15.305367769262</v>
      </c>
      <c r="E18" s="589">
        <v>1.222007940368</v>
      </c>
      <c r="F18" s="587">
        <v>84.999496365460004</v>
      </c>
      <c r="G18" s="588">
        <v>14.166582727575999</v>
      </c>
      <c r="H18" s="590">
        <v>9.0649999999999995</v>
      </c>
      <c r="I18" s="587">
        <v>10.878</v>
      </c>
      <c r="J18" s="588">
        <v>-3.2885827275759998</v>
      </c>
      <c r="K18" s="591">
        <v>0.127977228867</v>
      </c>
    </row>
    <row r="19" spans="1:11" ht="14.4" customHeight="1" thickBot="1" x14ac:dyDescent="0.35">
      <c r="A19" s="609" t="s">
        <v>315</v>
      </c>
      <c r="B19" s="587">
        <v>1.060625111242</v>
      </c>
      <c r="C19" s="587">
        <v>0.88100000000000001</v>
      </c>
      <c r="D19" s="588">
        <v>-0.17962511124200001</v>
      </c>
      <c r="E19" s="589">
        <v>0.83064222283800004</v>
      </c>
      <c r="F19" s="587">
        <v>0.885020594587</v>
      </c>
      <c r="G19" s="588">
        <v>0.147503432431</v>
      </c>
      <c r="H19" s="590">
        <v>4.9406564584124654E-324</v>
      </c>
      <c r="I19" s="587">
        <v>9.8813129168249309E-324</v>
      </c>
      <c r="J19" s="588">
        <v>-0.147503432431</v>
      </c>
      <c r="K19" s="591">
        <v>9.8813129168249309E-324</v>
      </c>
    </row>
    <row r="20" spans="1:11" ht="14.4" customHeight="1" thickBot="1" x14ac:dyDescent="0.35">
      <c r="A20" s="608" t="s">
        <v>316</v>
      </c>
      <c r="B20" s="592">
        <v>698.67405283565904</v>
      </c>
      <c r="C20" s="592">
        <v>695.68505000000005</v>
      </c>
      <c r="D20" s="593">
        <v>-2.9890028356579998</v>
      </c>
      <c r="E20" s="599">
        <v>0.99572189231300001</v>
      </c>
      <c r="F20" s="592">
        <v>696.65321912178501</v>
      </c>
      <c r="G20" s="593">
        <v>116.10886985363101</v>
      </c>
      <c r="H20" s="595">
        <v>53.019599999999997</v>
      </c>
      <c r="I20" s="592">
        <v>107.49028</v>
      </c>
      <c r="J20" s="593">
        <v>-8.6185898536300005</v>
      </c>
      <c r="K20" s="600">
        <v>0.154295246256</v>
      </c>
    </row>
    <row r="21" spans="1:11" ht="14.4" customHeight="1" thickBot="1" x14ac:dyDescent="0.35">
      <c r="A21" s="609" t="s">
        <v>317</v>
      </c>
      <c r="B21" s="587">
        <v>16.370278495316001</v>
      </c>
      <c r="C21" s="587">
        <v>7.7480500000000001</v>
      </c>
      <c r="D21" s="588">
        <v>-8.6222284953159996</v>
      </c>
      <c r="E21" s="589">
        <v>0.473299828235</v>
      </c>
      <c r="F21" s="587">
        <v>7.7480417936380004</v>
      </c>
      <c r="G21" s="588">
        <v>1.2913402989389999</v>
      </c>
      <c r="H21" s="590">
        <v>4.9406564584124654E-324</v>
      </c>
      <c r="I21" s="587">
        <v>0.15246000000000001</v>
      </c>
      <c r="J21" s="588">
        <v>-1.1388802989389999</v>
      </c>
      <c r="K21" s="591">
        <v>1.9677229944999999E-2</v>
      </c>
    </row>
    <row r="22" spans="1:11" ht="14.4" customHeight="1" thickBot="1" x14ac:dyDescent="0.35">
      <c r="A22" s="609" t="s">
        <v>318</v>
      </c>
      <c r="B22" s="587">
        <v>1.000068998852</v>
      </c>
      <c r="C22" s="587">
        <v>1.29864</v>
      </c>
      <c r="D22" s="588">
        <v>0.29857100114700003</v>
      </c>
      <c r="E22" s="589">
        <v>1.298550401512</v>
      </c>
      <c r="F22" s="587">
        <v>1.298722097712</v>
      </c>
      <c r="G22" s="588">
        <v>0.21645368295199999</v>
      </c>
      <c r="H22" s="590">
        <v>4.9406564584124654E-324</v>
      </c>
      <c r="I22" s="587">
        <v>9.8813129168249309E-324</v>
      </c>
      <c r="J22" s="588">
        <v>-0.21645368295199999</v>
      </c>
      <c r="K22" s="591">
        <v>9.8813129168249309E-324</v>
      </c>
    </row>
    <row r="23" spans="1:11" ht="14.4" customHeight="1" thickBot="1" x14ac:dyDescent="0.35">
      <c r="A23" s="609" t="s">
        <v>319</v>
      </c>
      <c r="B23" s="587">
        <v>234.36341287002901</v>
      </c>
      <c r="C23" s="587">
        <v>234.79848999999999</v>
      </c>
      <c r="D23" s="588">
        <v>0.43507712997100001</v>
      </c>
      <c r="E23" s="589">
        <v>1.0018564208659999</v>
      </c>
      <c r="F23" s="587">
        <v>241.33243061914399</v>
      </c>
      <c r="G23" s="588">
        <v>40.222071769857003</v>
      </c>
      <c r="H23" s="590">
        <v>23.859310000000001</v>
      </c>
      <c r="I23" s="587">
        <v>45.951390000000004</v>
      </c>
      <c r="J23" s="588">
        <v>5.7293182301419998</v>
      </c>
      <c r="K23" s="591">
        <v>0.19040702437699999</v>
      </c>
    </row>
    <row r="24" spans="1:11" ht="14.4" customHeight="1" thickBot="1" x14ac:dyDescent="0.35">
      <c r="A24" s="609" t="s">
        <v>320</v>
      </c>
      <c r="B24" s="587">
        <v>275.27534248056901</v>
      </c>
      <c r="C24" s="587">
        <v>293.76218999999998</v>
      </c>
      <c r="D24" s="588">
        <v>18.486847519430999</v>
      </c>
      <c r="E24" s="589">
        <v>1.0671576587739999</v>
      </c>
      <c r="F24" s="587">
        <v>285.76012715214603</v>
      </c>
      <c r="G24" s="588">
        <v>47.626687858691</v>
      </c>
      <c r="H24" s="590">
        <v>18.27779</v>
      </c>
      <c r="I24" s="587">
        <v>35.954630000000002</v>
      </c>
      <c r="J24" s="588">
        <v>-11.672057858691</v>
      </c>
      <c r="K24" s="591">
        <v>0.12582101764199999</v>
      </c>
    </row>
    <row r="25" spans="1:11" ht="14.4" customHeight="1" thickBot="1" x14ac:dyDescent="0.35">
      <c r="A25" s="609" t="s">
        <v>321</v>
      </c>
      <c r="B25" s="587">
        <v>45.138494198925997</v>
      </c>
      <c r="C25" s="587">
        <v>49.550249999999998</v>
      </c>
      <c r="D25" s="588">
        <v>4.4117558010730002</v>
      </c>
      <c r="E25" s="589">
        <v>1.0977382138980001</v>
      </c>
      <c r="F25" s="587">
        <v>48.540632627628</v>
      </c>
      <c r="G25" s="588">
        <v>8.090105437938</v>
      </c>
      <c r="H25" s="590">
        <v>3.2679999999999998</v>
      </c>
      <c r="I25" s="587">
        <v>6.7462999999999997</v>
      </c>
      <c r="J25" s="588">
        <v>-1.343805437938</v>
      </c>
      <c r="K25" s="591">
        <v>0.138982531434</v>
      </c>
    </row>
    <row r="26" spans="1:11" ht="14.4" customHeight="1" thickBot="1" x14ac:dyDescent="0.35">
      <c r="A26" s="609" t="s">
        <v>322</v>
      </c>
      <c r="B26" s="587">
        <v>4.9406564584124654E-324</v>
      </c>
      <c r="C26" s="587">
        <v>1.2554799999999999</v>
      </c>
      <c r="D26" s="588">
        <v>1.2554799999999999</v>
      </c>
      <c r="E26" s="597" t="s">
        <v>305</v>
      </c>
      <c r="F26" s="587">
        <v>1.230897419271</v>
      </c>
      <c r="G26" s="588">
        <v>0.20514956987800001</v>
      </c>
      <c r="H26" s="590">
        <v>4.9406564584124654E-324</v>
      </c>
      <c r="I26" s="587">
        <v>9.8813129168249309E-324</v>
      </c>
      <c r="J26" s="588">
        <v>-0.20514956987800001</v>
      </c>
      <c r="K26" s="591">
        <v>9.8813129168249309E-324</v>
      </c>
    </row>
    <row r="27" spans="1:11" ht="14.4" customHeight="1" thickBot="1" x14ac:dyDescent="0.35">
      <c r="A27" s="609" t="s">
        <v>323</v>
      </c>
      <c r="B27" s="587">
        <v>3.3254790026459999</v>
      </c>
      <c r="C27" s="587">
        <v>4.0490000000000004</v>
      </c>
      <c r="D27" s="588">
        <v>0.72352099735300002</v>
      </c>
      <c r="E27" s="589">
        <v>1.2175689567650001</v>
      </c>
      <c r="F27" s="587">
        <v>4.1535280340809999</v>
      </c>
      <c r="G27" s="588">
        <v>0.69225467234600002</v>
      </c>
      <c r="H27" s="590">
        <v>0.36199999999999999</v>
      </c>
      <c r="I27" s="587">
        <v>0.57299999999999995</v>
      </c>
      <c r="J27" s="588">
        <v>-0.119254672346</v>
      </c>
      <c r="K27" s="591">
        <v>0.13795500964400001</v>
      </c>
    </row>
    <row r="28" spans="1:11" ht="14.4" customHeight="1" thickBot="1" x14ac:dyDescent="0.35">
      <c r="A28" s="609" t="s">
        <v>324</v>
      </c>
      <c r="B28" s="587">
        <v>101.03033119305501</v>
      </c>
      <c r="C28" s="587">
        <v>96.528300000000002</v>
      </c>
      <c r="D28" s="588">
        <v>-4.502031193054</v>
      </c>
      <c r="E28" s="589">
        <v>0.95543881584900003</v>
      </c>
      <c r="F28" s="587">
        <v>99.894220835886998</v>
      </c>
      <c r="G28" s="588">
        <v>16.649036805981002</v>
      </c>
      <c r="H28" s="590">
        <v>7.2525000000000004</v>
      </c>
      <c r="I28" s="587">
        <v>18.112500000000001</v>
      </c>
      <c r="J28" s="588">
        <v>1.4634631940180001</v>
      </c>
      <c r="K28" s="591">
        <v>0.18131679539000001</v>
      </c>
    </row>
    <row r="29" spans="1:11" ht="14.4" customHeight="1" thickBot="1" x14ac:dyDescent="0.35">
      <c r="A29" s="609" t="s">
        <v>325</v>
      </c>
      <c r="B29" s="587">
        <v>22.170645596265</v>
      </c>
      <c r="C29" s="587">
        <v>6.6946500000000002</v>
      </c>
      <c r="D29" s="588">
        <v>-15.475995596264999</v>
      </c>
      <c r="E29" s="589">
        <v>0.30196008370299998</v>
      </c>
      <c r="F29" s="587">
        <v>6.694618542273</v>
      </c>
      <c r="G29" s="588">
        <v>1.115769757045</v>
      </c>
      <c r="H29" s="590">
        <v>4.9406564584124654E-324</v>
      </c>
      <c r="I29" s="587">
        <v>9.8813129168249309E-324</v>
      </c>
      <c r="J29" s="588">
        <v>-1.115769757045</v>
      </c>
      <c r="K29" s="591">
        <v>0</v>
      </c>
    </row>
    <row r="30" spans="1:11" ht="14.4" customHeight="1" thickBot="1" x14ac:dyDescent="0.35">
      <c r="A30" s="608" t="s">
        <v>326</v>
      </c>
      <c r="B30" s="592">
        <v>869.04724194019104</v>
      </c>
      <c r="C30" s="592">
        <v>1034.1706999999999</v>
      </c>
      <c r="D30" s="593">
        <v>165.12345805980999</v>
      </c>
      <c r="E30" s="599">
        <v>1.1900051574770001</v>
      </c>
      <c r="F30" s="592">
        <v>863.99695285234304</v>
      </c>
      <c r="G30" s="593">
        <v>143.99949214205699</v>
      </c>
      <c r="H30" s="595">
        <v>88.223339999999993</v>
      </c>
      <c r="I30" s="592">
        <v>184.62544</v>
      </c>
      <c r="J30" s="593">
        <v>40.625947857942997</v>
      </c>
      <c r="K30" s="600">
        <v>0.213687605483</v>
      </c>
    </row>
    <row r="31" spans="1:11" ht="14.4" customHeight="1" thickBot="1" x14ac:dyDescent="0.35">
      <c r="A31" s="609" t="s">
        <v>327</v>
      </c>
      <c r="B31" s="587">
        <v>757.05111717538102</v>
      </c>
      <c r="C31" s="587">
        <v>858.60894000000098</v>
      </c>
      <c r="D31" s="588">
        <v>101.55782282462</v>
      </c>
      <c r="E31" s="589">
        <v>1.1341492278659999</v>
      </c>
      <c r="F31" s="587">
        <v>731.99741838879004</v>
      </c>
      <c r="G31" s="588">
        <v>121.999569731465</v>
      </c>
      <c r="H31" s="590">
        <v>71.450029999999998</v>
      </c>
      <c r="I31" s="587">
        <v>146.79613000000001</v>
      </c>
      <c r="J31" s="588">
        <v>24.796560268535</v>
      </c>
      <c r="K31" s="591">
        <v>0.200541868471</v>
      </c>
    </row>
    <row r="32" spans="1:11" ht="14.4" customHeight="1" thickBot="1" x14ac:dyDescent="0.35">
      <c r="A32" s="609" t="s">
        <v>328</v>
      </c>
      <c r="B32" s="587">
        <v>111.996124764811</v>
      </c>
      <c r="C32" s="587">
        <v>172.58811</v>
      </c>
      <c r="D32" s="588">
        <v>60.591985235189</v>
      </c>
      <c r="E32" s="589">
        <v>1.5410185875839999</v>
      </c>
      <c r="F32" s="587">
        <v>131.99953446355201</v>
      </c>
      <c r="G32" s="588">
        <v>21.999922410591999</v>
      </c>
      <c r="H32" s="590">
        <v>16.773309999999999</v>
      </c>
      <c r="I32" s="587">
        <v>37.82931</v>
      </c>
      <c r="J32" s="588">
        <v>15.829387589408</v>
      </c>
      <c r="K32" s="591">
        <v>0.28658669254899999</v>
      </c>
    </row>
    <row r="33" spans="1:11" ht="14.4" customHeight="1" thickBot="1" x14ac:dyDescent="0.35">
      <c r="A33" s="609" t="s">
        <v>329</v>
      </c>
      <c r="B33" s="587">
        <v>0</v>
      </c>
      <c r="C33" s="587">
        <v>2.9736500000000001</v>
      </c>
      <c r="D33" s="588">
        <v>2.9736500000000001</v>
      </c>
      <c r="E33" s="597" t="s">
        <v>299</v>
      </c>
      <c r="F33" s="587">
        <v>0</v>
      </c>
      <c r="G33" s="588">
        <v>0</v>
      </c>
      <c r="H33" s="590">
        <v>4.9406564584124654E-324</v>
      </c>
      <c r="I33" s="587">
        <v>9.8813129168249309E-324</v>
      </c>
      <c r="J33" s="588">
        <v>9.8813129168249309E-324</v>
      </c>
      <c r="K33" s="598" t="s">
        <v>299</v>
      </c>
    </row>
    <row r="34" spans="1:11" ht="14.4" customHeight="1" thickBot="1" x14ac:dyDescent="0.35">
      <c r="A34" s="608" t="s">
        <v>330</v>
      </c>
      <c r="B34" s="592">
        <v>312.12865197041202</v>
      </c>
      <c r="C34" s="592">
        <v>430.58033999999998</v>
      </c>
      <c r="D34" s="593">
        <v>118.451688029588</v>
      </c>
      <c r="E34" s="599">
        <v>1.379496362419</v>
      </c>
      <c r="F34" s="592">
        <v>422.15010020812099</v>
      </c>
      <c r="G34" s="593">
        <v>70.358350034685998</v>
      </c>
      <c r="H34" s="595">
        <v>30.39969</v>
      </c>
      <c r="I34" s="592">
        <v>62.725940000000001</v>
      </c>
      <c r="J34" s="593">
        <v>-7.632410034686</v>
      </c>
      <c r="K34" s="600">
        <v>0.148586817743</v>
      </c>
    </row>
    <row r="35" spans="1:11" ht="14.4" customHeight="1" thickBot="1" x14ac:dyDescent="0.35">
      <c r="A35" s="609" t="s">
        <v>331</v>
      </c>
      <c r="B35" s="587">
        <v>70.870309874604004</v>
      </c>
      <c r="C35" s="587">
        <v>49.001460000000002</v>
      </c>
      <c r="D35" s="588">
        <v>-21.868849874603999</v>
      </c>
      <c r="E35" s="589">
        <v>0.69142437907599996</v>
      </c>
      <c r="F35" s="587">
        <v>56.552839052244998</v>
      </c>
      <c r="G35" s="588">
        <v>9.425473175374</v>
      </c>
      <c r="H35" s="590">
        <v>-0.57733999999999996</v>
      </c>
      <c r="I35" s="587">
        <v>-0.57733999999999996</v>
      </c>
      <c r="J35" s="588">
        <v>-10.002813175373999</v>
      </c>
      <c r="K35" s="591">
        <v>-1.0208859708E-2</v>
      </c>
    </row>
    <row r="36" spans="1:11" ht="14.4" customHeight="1" thickBot="1" x14ac:dyDescent="0.35">
      <c r="A36" s="609" t="s">
        <v>332</v>
      </c>
      <c r="B36" s="587">
        <v>33.799595601424997</v>
      </c>
      <c r="C36" s="587">
        <v>35.983150000000002</v>
      </c>
      <c r="D36" s="588">
        <v>2.183554398574</v>
      </c>
      <c r="E36" s="589">
        <v>1.06460297408</v>
      </c>
      <c r="F36" s="587">
        <v>36.219127282948001</v>
      </c>
      <c r="G36" s="588">
        <v>6.0365212138239999</v>
      </c>
      <c r="H36" s="590">
        <v>3.24613</v>
      </c>
      <c r="I36" s="587">
        <v>5.54244</v>
      </c>
      <c r="J36" s="588">
        <v>-0.494081213824</v>
      </c>
      <c r="K36" s="591">
        <v>0.153025222189</v>
      </c>
    </row>
    <row r="37" spans="1:11" ht="14.4" customHeight="1" thickBot="1" x14ac:dyDescent="0.35">
      <c r="A37" s="609" t="s">
        <v>333</v>
      </c>
      <c r="B37" s="587">
        <v>137.79274675309699</v>
      </c>
      <c r="C37" s="587">
        <v>198.12479999999999</v>
      </c>
      <c r="D37" s="588">
        <v>60.332053246901999</v>
      </c>
      <c r="E37" s="589">
        <v>1.4378463646919999</v>
      </c>
      <c r="F37" s="587">
        <v>203.80070914297801</v>
      </c>
      <c r="G37" s="588">
        <v>33.966784857162999</v>
      </c>
      <c r="H37" s="590">
        <v>15.94483</v>
      </c>
      <c r="I37" s="587">
        <v>36.890329999999999</v>
      </c>
      <c r="J37" s="588">
        <v>2.9235451428369998</v>
      </c>
      <c r="K37" s="591">
        <v>0.18101178428199999</v>
      </c>
    </row>
    <row r="38" spans="1:11" ht="14.4" customHeight="1" thickBot="1" x14ac:dyDescent="0.35">
      <c r="A38" s="609" t="s">
        <v>334</v>
      </c>
      <c r="B38" s="587">
        <v>42.497492180624</v>
      </c>
      <c r="C38" s="587">
        <v>39.553930000000001</v>
      </c>
      <c r="D38" s="588">
        <v>-2.9435621806240002</v>
      </c>
      <c r="E38" s="589">
        <v>0.93073562627799999</v>
      </c>
      <c r="F38" s="587">
        <v>37.154000890782001</v>
      </c>
      <c r="G38" s="588">
        <v>6.1923334817970002</v>
      </c>
      <c r="H38" s="590">
        <v>2.10473</v>
      </c>
      <c r="I38" s="587">
        <v>3.6056499999999998</v>
      </c>
      <c r="J38" s="588">
        <v>-2.5866834817969999</v>
      </c>
      <c r="K38" s="591">
        <v>9.7046076157000005E-2</v>
      </c>
    </row>
    <row r="39" spans="1:11" ht="14.4" customHeight="1" thickBot="1" x14ac:dyDescent="0.35">
      <c r="A39" s="609" t="s">
        <v>335</v>
      </c>
      <c r="B39" s="587">
        <v>11.780642507915999</v>
      </c>
      <c r="C39" s="587">
        <v>17.157440000000001</v>
      </c>
      <c r="D39" s="588">
        <v>5.376797492083</v>
      </c>
      <c r="E39" s="589">
        <v>1.456409528467</v>
      </c>
      <c r="F39" s="587">
        <v>14.998784608359999</v>
      </c>
      <c r="G39" s="588">
        <v>2.4997974347260001</v>
      </c>
      <c r="H39" s="590">
        <v>3.1049799999999999</v>
      </c>
      <c r="I39" s="587">
        <v>3.907</v>
      </c>
      <c r="J39" s="588">
        <v>1.407202565273</v>
      </c>
      <c r="K39" s="591">
        <v>0.26048777297699999</v>
      </c>
    </row>
    <row r="40" spans="1:11" ht="14.4" customHeight="1" thickBot="1" x14ac:dyDescent="0.35">
      <c r="A40" s="609" t="s">
        <v>336</v>
      </c>
      <c r="B40" s="587">
        <v>3.5562690591999999E-2</v>
      </c>
      <c r="C40" s="587">
        <v>0.188</v>
      </c>
      <c r="D40" s="588">
        <v>0.15243730940700001</v>
      </c>
      <c r="E40" s="589">
        <v>5.2864391547830003</v>
      </c>
      <c r="F40" s="587">
        <v>0.32646894179300001</v>
      </c>
      <c r="G40" s="588">
        <v>5.4411490298E-2</v>
      </c>
      <c r="H40" s="590">
        <v>2.8000000000000001E-2</v>
      </c>
      <c r="I40" s="587">
        <v>8.6499999999999994E-2</v>
      </c>
      <c r="J40" s="588">
        <v>3.2088509701000002E-2</v>
      </c>
      <c r="K40" s="591">
        <v>0.26495629117000002</v>
      </c>
    </row>
    <row r="41" spans="1:11" ht="14.4" customHeight="1" thickBot="1" x14ac:dyDescent="0.35">
      <c r="A41" s="609" t="s">
        <v>337</v>
      </c>
      <c r="B41" s="587">
        <v>1.264226739465</v>
      </c>
      <c r="C41" s="587">
        <v>0.88537999999999994</v>
      </c>
      <c r="D41" s="588">
        <v>-0.37884673946500003</v>
      </c>
      <c r="E41" s="589">
        <v>0.70033323324100005</v>
      </c>
      <c r="F41" s="587">
        <v>0.494237551577</v>
      </c>
      <c r="G41" s="588">
        <v>8.2372925262000005E-2</v>
      </c>
      <c r="H41" s="590">
        <v>4.9406564584124654E-324</v>
      </c>
      <c r="I41" s="587">
        <v>9.8813129168249309E-324</v>
      </c>
      <c r="J41" s="588">
        <v>-8.2372925262000005E-2</v>
      </c>
      <c r="K41" s="591">
        <v>1.9762625833649862E-323</v>
      </c>
    </row>
    <row r="42" spans="1:11" ht="14.4" customHeight="1" thickBot="1" x14ac:dyDescent="0.35">
      <c r="A42" s="609" t="s">
        <v>338</v>
      </c>
      <c r="B42" s="587">
        <v>14.088075622684</v>
      </c>
      <c r="C42" s="587">
        <v>20.22034</v>
      </c>
      <c r="D42" s="588">
        <v>6.1322643773149998</v>
      </c>
      <c r="E42" s="589">
        <v>1.4352804841160001</v>
      </c>
      <c r="F42" s="587">
        <v>22.608177499697</v>
      </c>
      <c r="G42" s="588">
        <v>3.7680295832819999</v>
      </c>
      <c r="H42" s="590">
        <v>2.1124800000000001</v>
      </c>
      <c r="I42" s="587">
        <v>5.3764599999999998</v>
      </c>
      <c r="J42" s="588">
        <v>1.608430416717</v>
      </c>
      <c r="K42" s="591">
        <v>0.237810411744</v>
      </c>
    </row>
    <row r="43" spans="1:11" ht="14.4" customHeight="1" thickBot="1" x14ac:dyDescent="0.35">
      <c r="A43" s="609" t="s">
        <v>339</v>
      </c>
      <c r="B43" s="587">
        <v>4.9406564584124654E-324</v>
      </c>
      <c r="C43" s="587">
        <v>0.84699999999999998</v>
      </c>
      <c r="D43" s="588">
        <v>0.84699999999999998</v>
      </c>
      <c r="E43" s="597" t="s">
        <v>305</v>
      </c>
      <c r="F43" s="587">
        <v>0</v>
      </c>
      <c r="G43" s="588">
        <v>0</v>
      </c>
      <c r="H43" s="590">
        <v>4.9406564584124654E-324</v>
      </c>
      <c r="I43" s="587">
        <v>9.8813129168249309E-324</v>
      </c>
      <c r="J43" s="588">
        <v>9.8813129168249309E-324</v>
      </c>
      <c r="K43" s="598" t="s">
        <v>299</v>
      </c>
    </row>
    <row r="44" spans="1:11" ht="14.4" customHeight="1" thickBot="1" x14ac:dyDescent="0.35">
      <c r="A44" s="609" t="s">
        <v>340</v>
      </c>
      <c r="B44" s="587">
        <v>4.9406564584124654E-324</v>
      </c>
      <c r="C44" s="587">
        <v>1.86002</v>
      </c>
      <c r="D44" s="588">
        <v>1.86002</v>
      </c>
      <c r="E44" s="597" t="s">
        <v>305</v>
      </c>
      <c r="F44" s="587">
        <v>0</v>
      </c>
      <c r="G44" s="588">
        <v>0</v>
      </c>
      <c r="H44" s="590">
        <v>4.9406564584124654E-324</v>
      </c>
      <c r="I44" s="587">
        <v>9.8813129168249309E-324</v>
      </c>
      <c r="J44" s="588">
        <v>9.8813129168249309E-324</v>
      </c>
      <c r="K44" s="598" t="s">
        <v>299</v>
      </c>
    </row>
    <row r="45" spans="1:11" ht="14.4" customHeight="1" thickBot="1" x14ac:dyDescent="0.35">
      <c r="A45" s="609" t="s">
        <v>341</v>
      </c>
      <c r="B45" s="587">
        <v>4.9406564584124654E-324</v>
      </c>
      <c r="C45" s="587">
        <v>5.3007999999999997</v>
      </c>
      <c r="D45" s="588">
        <v>5.3007999999999997</v>
      </c>
      <c r="E45" s="597" t="s">
        <v>305</v>
      </c>
      <c r="F45" s="587">
        <v>0</v>
      </c>
      <c r="G45" s="588">
        <v>0</v>
      </c>
      <c r="H45" s="590">
        <v>4.9406564584124654E-324</v>
      </c>
      <c r="I45" s="587">
        <v>9.8813129168249309E-324</v>
      </c>
      <c r="J45" s="588">
        <v>9.8813129168249309E-324</v>
      </c>
      <c r="K45" s="598" t="s">
        <v>299</v>
      </c>
    </row>
    <row r="46" spans="1:11" ht="14.4" customHeight="1" thickBot="1" x14ac:dyDescent="0.35">
      <c r="A46" s="609" t="s">
        <v>342</v>
      </c>
      <c r="B46" s="587">
        <v>4.9406564584124654E-324</v>
      </c>
      <c r="C46" s="587">
        <v>61.458019999999998</v>
      </c>
      <c r="D46" s="588">
        <v>61.458019999999998</v>
      </c>
      <c r="E46" s="597" t="s">
        <v>305</v>
      </c>
      <c r="F46" s="587">
        <v>49.995755237737001</v>
      </c>
      <c r="G46" s="588">
        <v>8.3326258729559992</v>
      </c>
      <c r="H46" s="590">
        <v>4.43588</v>
      </c>
      <c r="I46" s="587">
        <v>7.8948999999999998</v>
      </c>
      <c r="J46" s="588">
        <v>-0.43772587295600002</v>
      </c>
      <c r="K46" s="591">
        <v>0.15791140592700001</v>
      </c>
    </row>
    <row r="47" spans="1:11" ht="14.4" customHeight="1" thickBot="1" x14ac:dyDescent="0.35">
      <c r="A47" s="608" t="s">
        <v>343</v>
      </c>
      <c r="B47" s="592">
        <v>24.511956895849998</v>
      </c>
      <c r="C47" s="592">
        <v>37.886620000000001</v>
      </c>
      <c r="D47" s="593">
        <v>13.374663104149001</v>
      </c>
      <c r="E47" s="599">
        <v>1.545638325041</v>
      </c>
      <c r="F47" s="592">
        <v>25.06181392197</v>
      </c>
      <c r="G47" s="593">
        <v>4.176968986995</v>
      </c>
      <c r="H47" s="595">
        <v>0.52854999999999996</v>
      </c>
      <c r="I47" s="592">
        <v>6.23407</v>
      </c>
      <c r="J47" s="593">
        <v>2.0571010130039999</v>
      </c>
      <c r="K47" s="600">
        <v>0.248747757022</v>
      </c>
    </row>
    <row r="48" spans="1:11" ht="14.4" customHeight="1" thickBot="1" x14ac:dyDescent="0.35">
      <c r="A48" s="609" t="s">
        <v>344</v>
      </c>
      <c r="B48" s="587">
        <v>10.111196963909</v>
      </c>
      <c r="C48" s="587">
        <v>1.07436</v>
      </c>
      <c r="D48" s="588">
        <v>-9.0368369639089998</v>
      </c>
      <c r="E48" s="589">
        <v>0.106254482415</v>
      </c>
      <c r="F48" s="587">
        <v>0</v>
      </c>
      <c r="G48" s="588">
        <v>0</v>
      </c>
      <c r="H48" s="590">
        <v>8.9520000000000002E-2</v>
      </c>
      <c r="I48" s="587">
        <v>0.54903999999999997</v>
      </c>
      <c r="J48" s="588">
        <v>0.54903999999999997</v>
      </c>
      <c r="K48" s="598" t="s">
        <v>299</v>
      </c>
    </row>
    <row r="49" spans="1:11" ht="14.4" customHeight="1" thickBot="1" x14ac:dyDescent="0.35">
      <c r="A49" s="609" t="s">
        <v>345</v>
      </c>
      <c r="B49" s="587">
        <v>4.9406564584124654E-324</v>
      </c>
      <c r="C49" s="587">
        <v>4.9406564584124654E-324</v>
      </c>
      <c r="D49" s="588">
        <v>0</v>
      </c>
      <c r="E49" s="589">
        <v>1</v>
      </c>
      <c r="F49" s="587">
        <v>4.9406564584124654E-324</v>
      </c>
      <c r="G49" s="588">
        <v>0</v>
      </c>
      <c r="H49" s="590">
        <v>4.9406564584124654E-324</v>
      </c>
      <c r="I49" s="587">
        <v>0.45700000000000002</v>
      </c>
      <c r="J49" s="588">
        <v>0.45700000000000002</v>
      </c>
      <c r="K49" s="598" t="s">
        <v>305</v>
      </c>
    </row>
    <row r="50" spans="1:11" ht="14.4" customHeight="1" thickBot="1" x14ac:dyDescent="0.35">
      <c r="A50" s="609" t="s">
        <v>346</v>
      </c>
      <c r="B50" s="587">
        <v>7.1735380265430004</v>
      </c>
      <c r="C50" s="587">
        <v>28.290140000000001</v>
      </c>
      <c r="D50" s="588">
        <v>21.116601973456</v>
      </c>
      <c r="E50" s="589">
        <v>3.9436802168349998</v>
      </c>
      <c r="F50" s="587">
        <v>18.857982393172001</v>
      </c>
      <c r="G50" s="588">
        <v>3.1429970655280002</v>
      </c>
      <c r="H50" s="590">
        <v>0.219</v>
      </c>
      <c r="I50" s="587">
        <v>5.008</v>
      </c>
      <c r="J50" s="588">
        <v>1.865002934471</v>
      </c>
      <c r="K50" s="591">
        <v>0.26556393444300003</v>
      </c>
    </row>
    <row r="51" spans="1:11" ht="14.4" customHeight="1" thickBot="1" x14ac:dyDescent="0.35">
      <c r="A51" s="609" t="s">
        <v>347</v>
      </c>
      <c r="B51" s="587">
        <v>7.2272219053970002</v>
      </c>
      <c r="C51" s="587">
        <v>8.5221199999999993</v>
      </c>
      <c r="D51" s="588">
        <v>1.2948980946019999</v>
      </c>
      <c r="E51" s="589">
        <v>1.179169549731</v>
      </c>
      <c r="F51" s="587">
        <v>6.2038315287980002</v>
      </c>
      <c r="G51" s="588">
        <v>1.0339719214659999</v>
      </c>
      <c r="H51" s="590">
        <v>0.22003</v>
      </c>
      <c r="I51" s="587">
        <v>0.22003</v>
      </c>
      <c r="J51" s="588">
        <v>-0.81394192146599997</v>
      </c>
      <c r="K51" s="591">
        <v>3.5466791607000003E-2</v>
      </c>
    </row>
    <row r="52" spans="1:11" ht="14.4" customHeight="1" thickBot="1" x14ac:dyDescent="0.35">
      <c r="A52" s="608" t="s">
        <v>348</v>
      </c>
      <c r="B52" s="592">
        <v>278.14420887857699</v>
      </c>
      <c r="C52" s="592">
        <v>283.80856999999997</v>
      </c>
      <c r="D52" s="593">
        <v>5.6643611214230001</v>
      </c>
      <c r="E52" s="599">
        <v>1.0203648357240001</v>
      </c>
      <c r="F52" s="592">
        <v>275.15136867539599</v>
      </c>
      <c r="G52" s="593">
        <v>45.858561445898999</v>
      </c>
      <c r="H52" s="595">
        <v>23.839600000000001</v>
      </c>
      <c r="I52" s="592">
        <v>54.27778</v>
      </c>
      <c r="J52" s="593">
        <v>8.4192185541000004</v>
      </c>
      <c r="K52" s="600">
        <v>0.197265164484</v>
      </c>
    </row>
    <row r="53" spans="1:11" ht="14.4" customHeight="1" thickBot="1" x14ac:dyDescent="0.35">
      <c r="A53" s="609" t="s">
        <v>349</v>
      </c>
      <c r="B53" s="587">
        <v>23.426320871689001</v>
      </c>
      <c r="C53" s="587">
        <v>39.329500000000003</v>
      </c>
      <c r="D53" s="588">
        <v>15.903179128310001</v>
      </c>
      <c r="E53" s="589">
        <v>1.6788594425650001</v>
      </c>
      <c r="F53" s="587">
        <v>35.181433127143002</v>
      </c>
      <c r="G53" s="588">
        <v>5.8635721878569997</v>
      </c>
      <c r="H53" s="590">
        <v>4.9148500000000004</v>
      </c>
      <c r="I53" s="587">
        <v>5.5593300000000001</v>
      </c>
      <c r="J53" s="588">
        <v>-0.30424218785700002</v>
      </c>
      <c r="K53" s="591">
        <v>0.15801886125299999</v>
      </c>
    </row>
    <row r="54" spans="1:11" ht="14.4" customHeight="1" thickBot="1" x14ac:dyDescent="0.35">
      <c r="A54" s="609" t="s">
        <v>350</v>
      </c>
      <c r="B54" s="587">
        <v>11.170625878379999</v>
      </c>
      <c r="C54" s="587">
        <v>5.2885599999990003</v>
      </c>
      <c r="D54" s="588">
        <v>-5.8820658783799997</v>
      </c>
      <c r="E54" s="589">
        <v>0.47343452887699999</v>
      </c>
      <c r="F54" s="587">
        <v>0</v>
      </c>
      <c r="G54" s="588">
        <v>0</v>
      </c>
      <c r="H54" s="590">
        <v>4.9406564584124654E-324</v>
      </c>
      <c r="I54" s="587">
        <v>4.4353300000000004</v>
      </c>
      <c r="J54" s="588">
        <v>4.4353300000000004</v>
      </c>
      <c r="K54" s="598" t="s">
        <v>299</v>
      </c>
    </row>
    <row r="55" spans="1:11" ht="14.4" customHeight="1" thickBot="1" x14ac:dyDescent="0.35">
      <c r="A55" s="609" t="s">
        <v>351</v>
      </c>
      <c r="B55" s="587">
        <v>242.828397907648</v>
      </c>
      <c r="C55" s="587">
        <v>239.19050999999999</v>
      </c>
      <c r="D55" s="588">
        <v>-3.6378879076469999</v>
      </c>
      <c r="E55" s="589">
        <v>0.98501868834499995</v>
      </c>
      <c r="F55" s="587">
        <v>0</v>
      </c>
      <c r="G55" s="588">
        <v>0</v>
      </c>
      <c r="H55" s="590">
        <v>4.9406564584124654E-324</v>
      </c>
      <c r="I55" s="587">
        <v>9.8813129168249309E-324</v>
      </c>
      <c r="J55" s="588">
        <v>9.8813129168249309E-324</v>
      </c>
      <c r="K55" s="598" t="s">
        <v>299</v>
      </c>
    </row>
    <row r="56" spans="1:11" ht="14.4" customHeight="1" thickBot="1" x14ac:dyDescent="0.35">
      <c r="A56" s="609" t="s">
        <v>352</v>
      </c>
      <c r="B56" s="587">
        <v>4.9406564584124654E-324</v>
      </c>
      <c r="C56" s="587">
        <v>4.9406564584124654E-324</v>
      </c>
      <c r="D56" s="588">
        <v>0</v>
      </c>
      <c r="E56" s="589">
        <v>1</v>
      </c>
      <c r="F56" s="587">
        <v>10.000961940572999</v>
      </c>
      <c r="G56" s="588">
        <v>1.6668269900949999</v>
      </c>
      <c r="H56" s="590">
        <v>0.45495999999999998</v>
      </c>
      <c r="I56" s="587">
        <v>0.79618</v>
      </c>
      <c r="J56" s="588">
        <v>-0.87064699009500002</v>
      </c>
      <c r="K56" s="591">
        <v>7.9610341958E-2</v>
      </c>
    </row>
    <row r="57" spans="1:11" ht="14.4" customHeight="1" thickBot="1" x14ac:dyDescent="0.35">
      <c r="A57" s="609" t="s">
        <v>353</v>
      </c>
      <c r="B57" s="587">
        <v>4.9406564584124654E-324</v>
      </c>
      <c r="C57" s="587">
        <v>4.9406564584124654E-324</v>
      </c>
      <c r="D57" s="588">
        <v>0</v>
      </c>
      <c r="E57" s="589">
        <v>1</v>
      </c>
      <c r="F57" s="587">
        <v>1.999961165073</v>
      </c>
      <c r="G57" s="588">
        <v>0.33332686084500002</v>
      </c>
      <c r="H57" s="590">
        <v>4.9406564584124654E-324</v>
      </c>
      <c r="I57" s="587">
        <v>9.8813129168249309E-324</v>
      </c>
      <c r="J57" s="588">
        <v>-0.33332686084500002</v>
      </c>
      <c r="K57" s="591">
        <v>4.9406564584124654E-324</v>
      </c>
    </row>
    <row r="58" spans="1:11" ht="14.4" customHeight="1" thickBot="1" x14ac:dyDescent="0.35">
      <c r="A58" s="609" t="s">
        <v>354</v>
      </c>
      <c r="B58" s="587">
        <v>4.9406564584124654E-324</v>
      </c>
      <c r="C58" s="587">
        <v>4.9406564584124654E-324</v>
      </c>
      <c r="D58" s="588">
        <v>0</v>
      </c>
      <c r="E58" s="589">
        <v>1</v>
      </c>
      <c r="F58" s="587">
        <v>227.96901244260599</v>
      </c>
      <c r="G58" s="588">
        <v>37.994835407101</v>
      </c>
      <c r="H58" s="590">
        <v>18.46979</v>
      </c>
      <c r="I58" s="587">
        <v>43.486939999999997</v>
      </c>
      <c r="J58" s="588">
        <v>5.4921045928990004</v>
      </c>
      <c r="K58" s="591">
        <v>0.19075811898299999</v>
      </c>
    </row>
    <row r="59" spans="1:11" ht="14.4" customHeight="1" thickBot="1" x14ac:dyDescent="0.35">
      <c r="A59" s="608" t="s">
        <v>355</v>
      </c>
      <c r="B59" s="592">
        <v>0</v>
      </c>
      <c r="C59" s="592">
        <v>2.1320000000000001</v>
      </c>
      <c r="D59" s="593">
        <v>2.1320000000000001</v>
      </c>
      <c r="E59" s="594" t="s">
        <v>299</v>
      </c>
      <c r="F59" s="592">
        <v>0</v>
      </c>
      <c r="G59" s="593">
        <v>0</v>
      </c>
      <c r="H59" s="595">
        <v>4.9406564584124654E-324</v>
      </c>
      <c r="I59" s="592">
        <v>9.8813129168249309E-324</v>
      </c>
      <c r="J59" s="593">
        <v>9.8813129168249309E-324</v>
      </c>
      <c r="K59" s="596" t="s">
        <v>299</v>
      </c>
    </row>
    <row r="60" spans="1:11" ht="14.4" customHeight="1" thickBot="1" x14ac:dyDescent="0.35">
      <c r="A60" s="609" t="s">
        <v>356</v>
      </c>
      <c r="B60" s="587">
        <v>0</v>
      </c>
      <c r="C60" s="587">
        <v>2.1320000000000001</v>
      </c>
      <c r="D60" s="588">
        <v>2.1320000000000001</v>
      </c>
      <c r="E60" s="597" t="s">
        <v>299</v>
      </c>
      <c r="F60" s="587">
        <v>0</v>
      </c>
      <c r="G60" s="588">
        <v>0</v>
      </c>
      <c r="H60" s="590">
        <v>4.9406564584124654E-324</v>
      </c>
      <c r="I60" s="587">
        <v>9.8813129168249309E-324</v>
      </c>
      <c r="J60" s="588">
        <v>9.8813129168249309E-324</v>
      </c>
      <c r="K60" s="598" t="s">
        <v>299</v>
      </c>
    </row>
    <row r="61" spans="1:11" ht="14.4" customHeight="1" thickBot="1" x14ac:dyDescent="0.35">
      <c r="A61" s="607" t="s">
        <v>45</v>
      </c>
      <c r="B61" s="587">
        <v>1019.90019644841</v>
      </c>
      <c r="C61" s="587">
        <v>993.78</v>
      </c>
      <c r="D61" s="588">
        <v>-26.120196448407</v>
      </c>
      <c r="E61" s="589">
        <v>0.97438945836099999</v>
      </c>
      <c r="F61" s="587">
        <v>1003.6063739863999</v>
      </c>
      <c r="G61" s="588">
        <v>167.267728997734</v>
      </c>
      <c r="H61" s="590">
        <v>93.459000000000003</v>
      </c>
      <c r="I61" s="587">
        <v>206.47600000000099</v>
      </c>
      <c r="J61" s="588">
        <v>39.208271002266002</v>
      </c>
      <c r="K61" s="591">
        <v>0.205734046088</v>
      </c>
    </row>
    <row r="62" spans="1:11" ht="14.4" customHeight="1" thickBot="1" x14ac:dyDescent="0.35">
      <c r="A62" s="608" t="s">
        <v>357</v>
      </c>
      <c r="B62" s="592">
        <v>1019.90019644841</v>
      </c>
      <c r="C62" s="592">
        <v>993.78</v>
      </c>
      <c r="D62" s="593">
        <v>-26.120196448407</v>
      </c>
      <c r="E62" s="599">
        <v>0.97438945836099999</v>
      </c>
      <c r="F62" s="592">
        <v>1003.6063739863999</v>
      </c>
      <c r="G62" s="593">
        <v>167.267728997734</v>
      </c>
      <c r="H62" s="595">
        <v>93.459000000000003</v>
      </c>
      <c r="I62" s="592">
        <v>206.47600000000099</v>
      </c>
      <c r="J62" s="593">
        <v>39.208271002266002</v>
      </c>
      <c r="K62" s="600">
        <v>0.205734046088</v>
      </c>
    </row>
    <row r="63" spans="1:11" ht="14.4" customHeight="1" thickBot="1" x14ac:dyDescent="0.35">
      <c r="A63" s="609" t="s">
        <v>358</v>
      </c>
      <c r="B63" s="587">
        <v>262.84998789456301</v>
      </c>
      <c r="C63" s="587">
        <v>267.26600000000002</v>
      </c>
      <c r="D63" s="588">
        <v>4.4160121054369998</v>
      </c>
      <c r="E63" s="589">
        <v>1.016800503362</v>
      </c>
      <c r="F63" s="587">
        <v>265.268510431876</v>
      </c>
      <c r="G63" s="588">
        <v>44.211418405312003</v>
      </c>
      <c r="H63" s="590">
        <v>17.239999999999998</v>
      </c>
      <c r="I63" s="587">
        <v>36.466000000000001</v>
      </c>
      <c r="J63" s="588">
        <v>-7.7454184053119999</v>
      </c>
      <c r="K63" s="591">
        <v>0.13746825788100001</v>
      </c>
    </row>
    <row r="64" spans="1:11" ht="14.4" customHeight="1" thickBot="1" x14ac:dyDescent="0.35">
      <c r="A64" s="609" t="s">
        <v>359</v>
      </c>
      <c r="B64" s="587">
        <v>230.009885387347</v>
      </c>
      <c r="C64" s="587">
        <v>225.18700000000001</v>
      </c>
      <c r="D64" s="588">
        <v>-4.822885387346</v>
      </c>
      <c r="E64" s="589">
        <v>0.97903183430899998</v>
      </c>
      <c r="F64" s="587">
        <v>230.00155799829599</v>
      </c>
      <c r="G64" s="588">
        <v>38.333592999715997</v>
      </c>
      <c r="H64" s="590">
        <v>16.922999999999998</v>
      </c>
      <c r="I64" s="587">
        <v>39.499000000000002</v>
      </c>
      <c r="J64" s="588">
        <v>1.165407000284</v>
      </c>
      <c r="K64" s="591">
        <v>0.17173361930100001</v>
      </c>
    </row>
    <row r="65" spans="1:11" ht="14.4" customHeight="1" thickBot="1" x14ac:dyDescent="0.35">
      <c r="A65" s="609" t="s">
        <v>360</v>
      </c>
      <c r="B65" s="587">
        <v>527.04032316649796</v>
      </c>
      <c r="C65" s="587">
        <v>501.327</v>
      </c>
      <c r="D65" s="588">
        <v>-25.713323166496998</v>
      </c>
      <c r="E65" s="589">
        <v>0.95121184843600004</v>
      </c>
      <c r="F65" s="587">
        <v>508.33630555623103</v>
      </c>
      <c r="G65" s="588">
        <v>84.722717592704996</v>
      </c>
      <c r="H65" s="590">
        <v>59.295999999999999</v>
      </c>
      <c r="I65" s="587">
        <v>130.511</v>
      </c>
      <c r="J65" s="588">
        <v>45.788282407295</v>
      </c>
      <c r="K65" s="591">
        <v>0.256741449653</v>
      </c>
    </row>
    <row r="66" spans="1:11" ht="14.4" customHeight="1" thickBot="1" x14ac:dyDescent="0.35">
      <c r="A66" s="610" t="s">
        <v>361</v>
      </c>
      <c r="B66" s="592">
        <v>1449.4240451635201</v>
      </c>
      <c r="C66" s="592">
        <v>1437.0527999999999</v>
      </c>
      <c r="D66" s="593">
        <v>-12.371245163522</v>
      </c>
      <c r="E66" s="599">
        <v>0.99146471648099999</v>
      </c>
      <c r="F66" s="592">
        <v>1454.1966674615801</v>
      </c>
      <c r="G66" s="593">
        <v>242.36611124359601</v>
      </c>
      <c r="H66" s="595">
        <v>43.166490000000003</v>
      </c>
      <c r="I66" s="592">
        <v>159.31669000000099</v>
      </c>
      <c r="J66" s="593">
        <v>-83.049421243595006</v>
      </c>
      <c r="K66" s="600">
        <v>0.109556495049</v>
      </c>
    </row>
    <row r="67" spans="1:11" ht="14.4" customHeight="1" thickBot="1" x14ac:dyDescent="0.35">
      <c r="A67" s="607" t="s">
        <v>48</v>
      </c>
      <c r="B67" s="587">
        <v>314.34930613200498</v>
      </c>
      <c r="C67" s="587">
        <v>310.15553</v>
      </c>
      <c r="D67" s="588">
        <v>-4.1937761320040003</v>
      </c>
      <c r="E67" s="589">
        <v>0.98665886626599997</v>
      </c>
      <c r="F67" s="587">
        <v>328.21866403586199</v>
      </c>
      <c r="G67" s="588">
        <v>54.703110672643</v>
      </c>
      <c r="H67" s="590">
        <v>24.167860000000001</v>
      </c>
      <c r="I67" s="587">
        <v>26.50386</v>
      </c>
      <c r="J67" s="588">
        <v>-28.199250672643</v>
      </c>
      <c r="K67" s="591">
        <v>8.0750618120999998E-2</v>
      </c>
    </row>
    <row r="68" spans="1:11" ht="14.4" customHeight="1" thickBot="1" x14ac:dyDescent="0.35">
      <c r="A68" s="611" t="s">
        <v>362</v>
      </c>
      <c r="B68" s="587">
        <v>314.34930613200498</v>
      </c>
      <c r="C68" s="587">
        <v>310.15553</v>
      </c>
      <c r="D68" s="588">
        <v>-4.1937761320040003</v>
      </c>
      <c r="E68" s="589">
        <v>0.98665886626599997</v>
      </c>
      <c r="F68" s="587">
        <v>328.21866403586199</v>
      </c>
      <c r="G68" s="588">
        <v>54.703110672643</v>
      </c>
      <c r="H68" s="590">
        <v>24.167860000000001</v>
      </c>
      <c r="I68" s="587">
        <v>26.50386</v>
      </c>
      <c r="J68" s="588">
        <v>-28.199250672643</v>
      </c>
      <c r="K68" s="591">
        <v>8.0750618120999998E-2</v>
      </c>
    </row>
    <row r="69" spans="1:11" ht="14.4" customHeight="1" thickBot="1" x14ac:dyDescent="0.35">
      <c r="A69" s="609" t="s">
        <v>363</v>
      </c>
      <c r="B69" s="587">
        <v>128.80240497875701</v>
      </c>
      <c r="C69" s="587">
        <v>113.13803</v>
      </c>
      <c r="D69" s="588">
        <v>-15.664374978755999</v>
      </c>
      <c r="E69" s="589">
        <v>0.87838445267099996</v>
      </c>
      <c r="F69" s="587">
        <v>104.329087344366</v>
      </c>
      <c r="G69" s="588">
        <v>17.388181224061</v>
      </c>
      <c r="H69" s="590">
        <v>0.24679999999999999</v>
      </c>
      <c r="I69" s="587">
        <v>2.5828000000000002</v>
      </c>
      <c r="J69" s="588">
        <v>-14.805381224061</v>
      </c>
      <c r="K69" s="591">
        <v>2.4756279055999999E-2</v>
      </c>
    </row>
    <row r="70" spans="1:11" ht="14.4" customHeight="1" thickBot="1" x14ac:dyDescent="0.35">
      <c r="A70" s="609" t="s">
        <v>364</v>
      </c>
      <c r="B70" s="587">
        <v>29.681770891431999</v>
      </c>
      <c r="C70" s="587">
        <v>16.845510000000001</v>
      </c>
      <c r="D70" s="588">
        <v>-12.836260891432</v>
      </c>
      <c r="E70" s="589">
        <v>0.56753722888000002</v>
      </c>
      <c r="F70" s="587">
        <v>21.904130062551999</v>
      </c>
      <c r="G70" s="588">
        <v>3.650688343758</v>
      </c>
      <c r="H70" s="590">
        <v>3.8030300000000001</v>
      </c>
      <c r="I70" s="587">
        <v>3.8030300000000001</v>
      </c>
      <c r="J70" s="588">
        <v>0.15234165624099999</v>
      </c>
      <c r="K70" s="591">
        <v>0.173621595066</v>
      </c>
    </row>
    <row r="71" spans="1:11" ht="14.4" customHeight="1" thickBot="1" x14ac:dyDescent="0.35">
      <c r="A71" s="609" t="s">
        <v>365</v>
      </c>
      <c r="B71" s="587">
        <v>78.993629366441994</v>
      </c>
      <c r="C71" s="587">
        <v>114.59311</v>
      </c>
      <c r="D71" s="588">
        <v>35.599480633557</v>
      </c>
      <c r="E71" s="589">
        <v>1.450662678991</v>
      </c>
      <c r="F71" s="587">
        <v>131.999777143947</v>
      </c>
      <c r="G71" s="588">
        <v>21.999962857324</v>
      </c>
      <c r="H71" s="590">
        <v>0.36299999999999999</v>
      </c>
      <c r="I71" s="587">
        <v>0.36299999999999999</v>
      </c>
      <c r="J71" s="588">
        <v>-21.636962857324001</v>
      </c>
      <c r="K71" s="591">
        <v>2.7500046419999999E-3</v>
      </c>
    </row>
    <row r="72" spans="1:11" ht="14.4" customHeight="1" thickBot="1" x14ac:dyDescent="0.35">
      <c r="A72" s="609" t="s">
        <v>366</v>
      </c>
      <c r="B72" s="587">
        <v>75.994394271466007</v>
      </c>
      <c r="C72" s="587">
        <v>65.578879999999998</v>
      </c>
      <c r="D72" s="588">
        <v>-10.415514271466</v>
      </c>
      <c r="E72" s="589">
        <v>0.86294365036599996</v>
      </c>
      <c r="F72" s="587">
        <v>69.985669484995995</v>
      </c>
      <c r="G72" s="588">
        <v>11.664278247499</v>
      </c>
      <c r="H72" s="590">
        <v>19.755030000000001</v>
      </c>
      <c r="I72" s="587">
        <v>19.755030000000001</v>
      </c>
      <c r="J72" s="588">
        <v>8.0907517524999992</v>
      </c>
      <c r="K72" s="591">
        <v>0.282272501575</v>
      </c>
    </row>
    <row r="73" spans="1:11" ht="14.4" customHeight="1" thickBot="1" x14ac:dyDescent="0.35">
      <c r="A73" s="612" t="s">
        <v>49</v>
      </c>
      <c r="B73" s="592">
        <v>0</v>
      </c>
      <c r="C73" s="592">
        <v>15.845000000000001</v>
      </c>
      <c r="D73" s="593">
        <v>15.845000000000001</v>
      </c>
      <c r="E73" s="594" t="s">
        <v>299</v>
      </c>
      <c r="F73" s="592">
        <v>0</v>
      </c>
      <c r="G73" s="593">
        <v>0</v>
      </c>
      <c r="H73" s="595">
        <v>8.4550000000000001</v>
      </c>
      <c r="I73" s="592">
        <v>8.4550000000000001</v>
      </c>
      <c r="J73" s="593">
        <v>8.4550000000000001</v>
      </c>
      <c r="K73" s="596" t="s">
        <v>299</v>
      </c>
    </row>
    <row r="74" spans="1:11" ht="14.4" customHeight="1" thickBot="1" x14ac:dyDescent="0.35">
      <c r="A74" s="608" t="s">
        <v>367</v>
      </c>
      <c r="B74" s="592">
        <v>0</v>
      </c>
      <c r="C74" s="592">
        <v>11.694000000000001</v>
      </c>
      <c r="D74" s="593">
        <v>11.694000000000001</v>
      </c>
      <c r="E74" s="594" t="s">
        <v>299</v>
      </c>
      <c r="F74" s="592">
        <v>0</v>
      </c>
      <c r="G74" s="593">
        <v>0</v>
      </c>
      <c r="H74" s="595">
        <v>4.9406564584124654E-324</v>
      </c>
      <c r="I74" s="592">
        <v>9.8813129168249309E-324</v>
      </c>
      <c r="J74" s="593">
        <v>9.8813129168249309E-324</v>
      </c>
      <c r="K74" s="596" t="s">
        <v>299</v>
      </c>
    </row>
    <row r="75" spans="1:11" ht="14.4" customHeight="1" thickBot="1" x14ac:dyDescent="0.35">
      <c r="A75" s="609" t="s">
        <v>368</v>
      </c>
      <c r="B75" s="587">
        <v>0</v>
      </c>
      <c r="C75" s="587">
        <v>8.6140000000000008</v>
      </c>
      <c r="D75" s="588">
        <v>8.6140000000000008</v>
      </c>
      <c r="E75" s="597" t="s">
        <v>299</v>
      </c>
      <c r="F75" s="587">
        <v>0</v>
      </c>
      <c r="G75" s="588">
        <v>0</v>
      </c>
      <c r="H75" s="590">
        <v>4.9406564584124654E-324</v>
      </c>
      <c r="I75" s="587">
        <v>9.8813129168249309E-324</v>
      </c>
      <c r="J75" s="588">
        <v>9.8813129168249309E-324</v>
      </c>
      <c r="K75" s="598" t="s">
        <v>299</v>
      </c>
    </row>
    <row r="76" spans="1:11" ht="14.4" customHeight="1" thickBot="1" x14ac:dyDescent="0.35">
      <c r="A76" s="609" t="s">
        <v>369</v>
      </c>
      <c r="B76" s="587">
        <v>4.9406564584124654E-324</v>
      </c>
      <c r="C76" s="587">
        <v>3.08</v>
      </c>
      <c r="D76" s="588">
        <v>3.08</v>
      </c>
      <c r="E76" s="597" t="s">
        <v>305</v>
      </c>
      <c r="F76" s="587">
        <v>0</v>
      </c>
      <c r="G76" s="588">
        <v>0</v>
      </c>
      <c r="H76" s="590">
        <v>4.9406564584124654E-324</v>
      </c>
      <c r="I76" s="587">
        <v>9.8813129168249309E-324</v>
      </c>
      <c r="J76" s="588">
        <v>9.8813129168249309E-324</v>
      </c>
      <c r="K76" s="598" t="s">
        <v>299</v>
      </c>
    </row>
    <row r="77" spans="1:11" ht="14.4" customHeight="1" thickBot="1" x14ac:dyDescent="0.35">
      <c r="A77" s="608" t="s">
        <v>370</v>
      </c>
      <c r="B77" s="592">
        <v>0</v>
      </c>
      <c r="C77" s="592">
        <v>4.1509999999999998</v>
      </c>
      <c r="D77" s="593">
        <v>4.1509999999999998</v>
      </c>
      <c r="E77" s="594" t="s">
        <v>299</v>
      </c>
      <c r="F77" s="592">
        <v>0</v>
      </c>
      <c r="G77" s="593">
        <v>0</v>
      </c>
      <c r="H77" s="595">
        <v>8.4550000000000001</v>
      </c>
      <c r="I77" s="592">
        <v>8.4550000000000001</v>
      </c>
      <c r="J77" s="593">
        <v>8.4550000000000001</v>
      </c>
      <c r="K77" s="596" t="s">
        <v>299</v>
      </c>
    </row>
    <row r="78" spans="1:11" ht="14.4" customHeight="1" thickBot="1" x14ac:dyDescent="0.35">
      <c r="A78" s="609" t="s">
        <v>371</v>
      </c>
      <c r="B78" s="587">
        <v>0</v>
      </c>
      <c r="C78" s="587">
        <v>4.1509999999999998</v>
      </c>
      <c r="D78" s="588">
        <v>4.1509999999999998</v>
      </c>
      <c r="E78" s="597" t="s">
        <v>299</v>
      </c>
      <c r="F78" s="587">
        <v>0</v>
      </c>
      <c r="G78" s="588">
        <v>0</v>
      </c>
      <c r="H78" s="590">
        <v>4.9406564584124654E-324</v>
      </c>
      <c r="I78" s="587">
        <v>9.8813129168249309E-324</v>
      </c>
      <c r="J78" s="588">
        <v>9.8813129168249309E-324</v>
      </c>
      <c r="K78" s="598" t="s">
        <v>299</v>
      </c>
    </row>
    <row r="79" spans="1:11" ht="14.4" customHeight="1" thickBot="1" x14ac:dyDescent="0.35">
      <c r="A79" s="609" t="s">
        <v>372</v>
      </c>
      <c r="B79" s="587">
        <v>0</v>
      </c>
      <c r="C79" s="587">
        <v>4.9406564584124654E-324</v>
      </c>
      <c r="D79" s="588">
        <v>4.9406564584124654E-324</v>
      </c>
      <c r="E79" s="597" t="s">
        <v>299</v>
      </c>
      <c r="F79" s="587">
        <v>4.9406564584124654E-324</v>
      </c>
      <c r="G79" s="588">
        <v>0</v>
      </c>
      <c r="H79" s="590">
        <v>8.4550000000000001</v>
      </c>
      <c r="I79" s="587">
        <v>8.4550000000000001</v>
      </c>
      <c r="J79" s="588">
        <v>8.4550000000000001</v>
      </c>
      <c r="K79" s="598" t="s">
        <v>305</v>
      </c>
    </row>
    <row r="80" spans="1:11" ht="14.4" customHeight="1" thickBot="1" x14ac:dyDescent="0.35">
      <c r="A80" s="607" t="s">
        <v>50</v>
      </c>
      <c r="B80" s="587">
        <v>1135.07473903152</v>
      </c>
      <c r="C80" s="587">
        <v>1111.0522699999999</v>
      </c>
      <c r="D80" s="588">
        <v>-24.022469031517002</v>
      </c>
      <c r="E80" s="589">
        <v>0.97883622266799997</v>
      </c>
      <c r="F80" s="587">
        <v>1125.9780034257101</v>
      </c>
      <c r="G80" s="588">
        <v>187.66300057095199</v>
      </c>
      <c r="H80" s="590">
        <v>10.54363</v>
      </c>
      <c r="I80" s="587">
        <v>124.357830000001</v>
      </c>
      <c r="J80" s="588">
        <v>-63.305170570950999</v>
      </c>
      <c r="K80" s="591">
        <v>0.110444280102</v>
      </c>
    </row>
    <row r="81" spans="1:11" ht="14.4" customHeight="1" thickBot="1" x14ac:dyDescent="0.35">
      <c r="A81" s="608" t="s">
        <v>373</v>
      </c>
      <c r="B81" s="592">
        <v>0.94956504534099995</v>
      </c>
      <c r="C81" s="592">
        <v>0.311</v>
      </c>
      <c r="D81" s="593">
        <v>-0.638565045341</v>
      </c>
      <c r="E81" s="599">
        <v>0.32751837435999998</v>
      </c>
      <c r="F81" s="592">
        <v>0.12430632225799999</v>
      </c>
      <c r="G81" s="593">
        <v>2.0717720376E-2</v>
      </c>
      <c r="H81" s="595">
        <v>4.9406564584124654E-324</v>
      </c>
      <c r="I81" s="592">
        <v>9.8813129168249309E-324</v>
      </c>
      <c r="J81" s="593">
        <v>-2.0717720376E-2</v>
      </c>
      <c r="K81" s="600">
        <v>7.9050503334599447E-323</v>
      </c>
    </row>
    <row r="82" spans="1:11" ht="14.4" customHeight="1" thickBot="1" x14ac:dyDescent="0.35">
      <c r="A82" s="609" t="s">
        <v>374</v>
      </c>
      <c r="B82" s="587">
        <v>0.94956504534099995</v>
      </c>
      <c r="C82" s="587">
        <v>0.311</v>
      </c>
      <c r="D82" s="588">
        <v>-0.638565045341</v>
      </c>
      <c r="E82" s="589">
        <v>0.32751837435999998</v>
      </c>
      <c r="F82" s="587">
        <v>0.12430632225799999</v>
      </c>
      <c r="G82" s="588">
        <v>2.0717720376E-2</v>
      </c>
      <c r="H82" s="590">
        <v>4.9406564584124654E-324</v>
      </c>
      <c r="I82" s="587">
        <v>9.8813129168249309E-324</v>
      </c>
      <c r="J82" s="588">
        <v>-2.0717720376E-2</v>
      </c>
      <c r="K82" s="591">
        <v>7.9050503334599447E-323</v>
      </c>
    </row>
    <row r="83" spans="1:11" ht="14.4" customHeight="1" thickBot="1" x14ac:dyDescent="0.35">
      <c r="A83" s="608" t="s">
        <v>375</v>
      </c>
      <c r="B83" s="592">
        <v>21.104744151950001</v>
      </c>
      <c r="C83" s="592">
        <v>19.623660000000001</v>
      </c>
      <c r="D83" s="593">
        <v>-1.48108415195</v>
      </c>
      <c r="E83" s="599">
        <v>0.929822217161</v>
      </c>
      <c r="F83" s="592">
        <v>19.174449294132</v>
      </c>
      <c r="G83" s="593">
        <v>3.1957415490219998</v>
      </c>
      <c r="H83" s="595">
        <v>1.75108</v>
      </c>
      <c r="I83" s="592">
        <v>3.2799800000000001</v>
      </c>
      <c r="J83" s="593">
        <v>8.4238450977000001E-2</v>
      </c>
      <c r="K83" s="600">
        <v>0.17105993239600001</v>
      </c>
    </row>
    <row r="84" spans="1:11" ht="14.4" customHeight="1" thickBot="1" x14ac:dyDescent="0.35">
      <c r="A84" s="609" t="s">
        <v>376</v>
      </c>
      <c r="B84" s="587">
        <v>10.164369450098</v>
      </c>
      <c r="C84" s="587">
        <v>8.8796999999999997</v>
      </c>
      <c r="D84" s="588">
        <v>-1.284669450098</v>
      </c>
      <c r="E84" s="589">
        <v>0.873610512053</v>
      </c>
      <c r="F84" s="587">
        <v>9.0838108064709999</v>
      </c>
      <c r="G84" s="588">
        <v>1.513968467745</v>
      </c>
      <c r="H84" s="590">
        <v>0.88349999999999995</v>
      </c>
      <c r="I84" s="587">
        <v>1.5370999999999999</v>
      </c>
      <c r="J84" s="588">
        <v>2.3131532254000001E-2</v>
      </c>
      <c r="K84" s="591">
        <v>0.16921312351600001</v>
      </c>
    </row>
    <row r="85" spans="1:11" ht="14.4" customHeight="1" thickBot="1" x14ac:dyDescent="0.35">
      <c r="A85" s="609" t="s">
        <v>377</v>
      </c>
      <c r="B85" s="587">
        <v>10.940374701851001</v>
      </c>
      <c r="C85" s="587">
        <v>10.74396</v>
      </c>
      <c r="D85" s="588">
        <v>-0.19641470185099999</v>
      </c>
      <c r="E85" s="589">
        <v>0.98204680303799996</v>
      </c>
      <c r="F85" s="587">
        <v>10.09063848766</v>
      </c>
      <c r="G85" s="588">
        <v>1.6817730812759999</v>
      </c>
      <c r="H85" s="590">
        <v>0.86758000000000002</v>
      </c>
      <c r="I85" s="587">
        <v>1.74288</v>
      </c>
      <c r="J85" s="588">
        <v>6.1106918723000003E-2</v>
      </c>
      <c r="K85" s="591">
        <v>0.17272246965599999</v>
      </c>
    </row>
    <row r="86" spans="1:11" ht="14.4" customHeight="1" thickBot="1" x14ac:dyDescent="0.35">
      <c r="A86" s="608" t="s">
        <v>378</v>
      </c>
      <c r="B86" s="592">
        <v>52.642390877842999</v>
      </c>
      <c r="C86" s="592">
        <v>53.944330000000001</v>
      </c>
      <c r="D86" s="593">
        <v>1.3019391221559999</v>
      </c>
      <c r="E86" s="599">
        <v>1.0247317627570001</v>
      </c>
      <c r="F86" s="592">
        <v>59.307331929124999</v>
      </c>
      <c r="G86" s="593">
        <v>9.8845553215200006</v>
      </c>
      <c r="H86" s="595">
        <v>0.57387999999999995</v>
      </c>
      <c r="I86" s="592">
        <v>15.974600000000001</v>
      </c>
      <c r="J86" s="593">
        <v>6.0900446784789999</v>
      </c>
      <c r="K86" s="600">
        <v>0.26935286886699999</v>
      </c>
    </row>
    <row r="87" spans="1:11" ht="14.4" customHeight="1" thickBot="1" x14ac:dyDescent="0.35">
      <c r="A87" s="609" t="s">
        <v>379</v>
      </c>
      <c r="B87" s="587">
        <v>45.759707795738997</v>
      </c>
      <c r="C87" s="587">
        <v>46.71</v>
      </c>
      <c r="D87" s="588">
        <v>0.95029220426000005</v>
      </c>
      <c r="E87" s="589">
        <v>1.0207670077019999</v>
      </c>
      <c r="F87" s="587">
        <v>52.685022333564</v>
      </c>
      <c r="G87" s="588">
        <v>8.7808370555940005</v>
      </c>
      <c r="H87" s="590">
        <v>4.9406564584124654E-324</v>
      </c>
      <c r="I87" s="587">
        <v>14.715</v>
      </c>
      <c r="J87" s="588">
        <v>5.9341629444060002</v>
      </c>
      <c r="K87" s="591">
        <v>0.27930139056999997</v>
      </c>
    </row>
    <row r="88" spans="1:11" ht="14.4" customHeight="1" thickBot="1" x14ac:dyDescent="0.35">
      <c r="A88" s="609" t="s">
        <v>380</v>
      </c>
      <c r="B88" s="587">
        <v>6.8826830821040001</v>
      </c>
      <c r="C88" s="587">
        <v>7.2343299999999999</v>
      </c>
      <c r="D88" s="588">
        <v>0.35164691789500002</v>
      </c>
      <c r="E88" s="589">
        <v>1.051091545797</v>
      </c>
      <c r="F88" s="587">
        <v>6.62230959556</v>
      </c>
      <c r="G88" s="588">
        <v>1.1037182659260001</v>
      </c>
      <c r="H88" s="590">
        <v>0.57387999999999995</v>
      </c>
      <c r="I88" s="587">
        <v>1.2596000000000001</v>
      </c>
      <c r="J88" s="588">
        <v>0.15588173407299999</v>
      </c>
      <c r="K88" s="591">
        <v>0.19020554412599999</v>
      </c>
    </row>
    <row r="89" spans="1:11" ht="14.4" customHeight="1" thickBot="1" x14ac:dyDescent="0.35">
      <c r="A89" s="608" t="s">
        <v>381</v>
      </c>
      <c r="B89" s="592">
        <v>920.64186668737705</v>
      </c>
      <c r="C89" s="592">
        <v>941.88928999999996</v>
      </c>
      <c r="D89" s="593">
        <v>21.247423312622999</v>
      </c>
      <c r="E89" s="599">
        <v>1.0230789236090001</v>
      </c>
      <c r="F89" s="592">
        <v>951.27035179613699</v>
      </c>
      <c r="G89" s="593">
        <v>158.54505863269</v>
      </c>
      <c r="H89" s="595">
        <v>2.9528599999999998</v>
      </c>
      <c r="I89" s="592">
        <v>82.585009999999997</v>
      </c>
      <c r="J89" s="593">
        <v>-75.960048632688995</v>
      </c>
      <c r="K89" s="600">
        <v>8.6815498709999994E-2</v>
      </c>
    </row>
    <row r="90" spans="1:11" ht="14.4" customHeight="1" thickBot="1" x14ac:dyDescent="0.35">
      <c r="A90" s="609" t="s">
        <v>382</v>
      </c>
      <c r="B90" s="587">
        <v>875.00088849231997</v>
      </c>
      <c r="C90" s="587">
        <v>902.87102000000004</v>
      </c>
      <c r="D90" s="588">
        <v>27.87013150768</v>
      </c>
      <c r="E90" s="589">
        <v>1.031851546523</v>
      </c>
      <c r="F90" s="587">
        <v>913.53437832233305</v>
      </c>
      <c r="G90" s="588">
        <v>152.25572972038901</v>
      </c>
      <c r="H90" s="590">
        <v>4.9406564584124654E-324</v>
      </c>
      <c r="I90" s="587">
        <v>76.201059999999998</v>
      </c>
      <c r="J90" s="588">
        <v>-76.054669720388006</v>
      </c>
      <c r="K90" s="591">
        <v>8.3413456359999999E-2</v>
      </c>
    </row>
    <row r="91" spans="1:11" ht="14.4" customHeight="1" thickBot="1" x14ac:dyDescent="0.35">
      <c r="A91" s="609" t="s">
        <v>383</v>
      </c>
      <c r="B91" s="587">
        <v>8.0414942904229996</v>
      </c>
      <c r="C91" s="587">
        <v>4.5510000000000002</v>
      </c>
      <c r="D91" s="588">
        <v>-3.4904942904229999</v>
      </c>
      <c r="E91" s="589">
        <v>0.56593959227400004</v>
      </c>
      <c r="F91" s="587">
        <v>3.8979352505930001</v>
      </c>
      <c r="G91" s="588">
        <v>0.64965587509800005</v>
      </c>
      <c r="H91" s="590">
        <v>0.182</v>
      </c>
      <c r="I91" s="587">
        <v>0.182</v>
      </c>
      <c r="J91" s="588">
        <v>-0.467655875098</v>
      </c>
      <c r="K91" s="591">
        <v>4.6691386155999999E-2</v>
      </c>
    </row>
    <row r="92" spans="1:11" ht="14.4" customHeight="1" thickBot="1" x14ac:dyDescent="0.35">
      <c r="A92" s="609" t="s">
        <v>384</v>
      </c>
      <c r="B92" s="587">
        <v>37.599483904632997</v>
      </c>
      <c r="C92" s="587">
        <v>34.467269999999999</v>
      </c>
      <c r="D92" s="588">
        <v>-3.1322139046330002</v>
      </c>
      <c r="E92" s="589">
        <v>0.91669529527100002</v>
      </c>
      <c r="F92" s="587">
        <v>33.838038223211001</v>
      </c>
      <c r="G92" s="588">
        <v>5.6396730372009998</v>
      </c>
      <c r="H92" s="590">
        <v>2.7708599999999999</v>
      </c>
      <c r="I92" s="587">
        <v>6.2019500000000001</v>
      </c>
      <c r="J92" s="588">
        <v>0.56227696279799999</v>
      </c>
      <c r="K92" s="591">
        <v>0.183283379464</v>
      </c>
    </row>
    <row r="93" spans="1:11" ht="14.4" customHeight="1" thickBot="1" x14ac:dyDescent="0.35">
      <c r="A93" s="608" t="s">
        <v>385</v>
      </c>
      <c r="B93" s="592">
        <v>139.73617226900501</v>
      </c>
      <c r="C93" s="592">
        <v>95.283990000000003</v>
      </c>
      <c r="D93" s="593">
        <v>-44.452182269003998</v>
      </c>
      <c r="E93" s="599">
        <v>0.68188492966900005</v>
      </c>
      <c r="F93" s="592">
        <v>96.101564084060001</v>
      </c>
      <c r="G93" s="593">
        <v>16.016927347343</v>
      </c>
      <c r="H93" s="595">
        <v>5.2658100000000001</v>
      </c>
      <c r="I93" s="592">
        <v>22.518239999999999</v>
      </c>
      <c r="J93" s="593">
        <v>6.5013126526559999</v>
      </c>
      <c r="K93" s="600">
        <v>0.234317102064</v>
      </c>
    </row>
    <row r="94" spans="1:11" ht="14.4" customHeight="1" thickBot="1" x14ac:dyDescent="0.35">
      <c r="A94" s="609" t="s">
        <v>386</v>
      </c>
      <c r="B94" s="587">
        <v>32.041816940612001</v>
      </c>
      <c r="C94" s="587">
        <v>0.79</v>
      </c>
      <c r="D94" s="588">
        <v>-31.251816940611999</v>
      </c>
      <c r="E94" s="589">
        <v>2.4655280985999999E-2</v>
      </c>
      <c r="F94" s="587">
        <v>4.9406564584124654E-324</v>
      </c>
      <c r="G94" s="588">
        <v>0</v>
      </c>
      <c r="H94" s="590">
        <v>4.9406564584124654E-324</v>
      </c>
      <c r="I94" s="587">
        <v>12.273</v>
      </c>
      <c r="J94" s="588">
        <v>12.273</v>
      </c>
      <c r="K94" s="598" t="s">
        <v>305</v>
      </c>
    </row>
    <row r="95" spans="1:11" ht="14.4" customHeight="1" thickBot="1" x14ac:dyDescent="0.35">
      <c r="A95" s="609" t="s">
        <v>387</v>
      </c>
      <c r="B95" s="587">
        <v>87.505427321203996</v>
      </c>
      <c r="C95" s="587">
        <v>72.201650000000001</v>
      </c>
      <c r="D95" s="588">
        <v>-15.303777321204</v>
      </c>
      <c r="E95" s="589">
        <v>0.82511053554299996</v>
      </c>
      <c r="F95" s="587">
        <v>71.383140038015995</v>
      </c>
      <c r="G95" s="588">
        <v>11.897190006336</v>
      </c>
      <c r="H95" s="590">
        <v>2.1648900000000002</v>
      </c>
      <c r="I95" s="587">
        <v>7.1443199999999996</v>
      </c>
      <c r="J95" s="588">
        <v>-4.7528700063349998</v>
      </c>
      <c r="K95" s="591">
        <v>0.10008413746100001</v>
      </c>
    </row>
    <row r="96" spans="1:11" ht="14.4" customHeight="1" thickBot="1" x14ac:dyDescent="0.35">
      <c r="A96" s="609" t="s">
        <v>388</v>
      </c>
      <c r="B96" s="587">
        <v>3.9979378279689999</v>
      </c>
      <c r="C96" s="587">
        <v>4.4619999999999997</v>
      </c>
      <c r="D96" s="588">
        <v>0.46406217203</v>
      </c>
      <c r="E96" s="589">
        <v>1.11607538486</v>
      </c>
      <c r="F96" s="587">
        <v>5.0018220837029999</v>
      </c>
      <c r="G96" s="588">
        <v>0.83363701395000001</v>
      </c>
      <c r="H96" s="590">
        <v>4.9406564584124654E-324</v>
      </c>
      <c r="I96" s="587">
        <v>9.8813129168249309E-324</v>
      </c>
      <c r="J96" s="588">
        <v>-0.83363701395000001</v>
      </c>
      <c r="K96" s="591">
        <v>0</v>
      </c>
    </row>
    <row r="97" spans="1:11" ht="14.4" customHeight="1" thickBot="1" x14ac:dyDescent="0.35">
      <c r="A97" s="609" t="s">
        <v>389</v>
      </c>
      <c r="B97" s="587">
        <v>1.206874521412</v>
      </c>
      <c r="C97" s="587">
        <v>5.5980499999999997</v>
      </c>
      <c r="D97" s="588">
        <v>4.3911754785869999</v>
      </c>
      <c r="E97" s="589">
        <v>4.6384689548719997</v>
      </c>
      <c r="F97" s="587">
        <v>5.2888737982540004</v>
      </c>
      <c r="G97" s="588">
        <v>0.88147896637500001</v>
      </c>
      <c r="H97" s="590">
        <v>0.38719999999999999</v>
      </c>
      <c r="I97" s="587">
        <v>0.38719999999999999</v>
      </c>
      <c r="J97" s="588">
        <v>-0.49427896637500002</v>
      </c>
      <c r="K97" s="591">
        <v>7.3210292922E-2</v>
      </c>
    </row>
    <row r="98" spans="1:11" ht="14.4" customHeight="1" thickBot="1" x14ac:dyDescent="0.35">
      <c r="A98" s="609" t="s">
        <v>390</v>
      </c>
      <c r="B98" s="587">
        <v>14.984115657804001</v>
      </c>
      <c r="C98" s="587">
        <v>12.232290000000001</v>
      </c>
      <c r="D98" s="588">
        <v>-2.7518256578039999</v>
      </c>
      <c r="E98" s="589">
        <v>0.816350479357</v>
      </c>
      <c r="F98" s="587">
        <v>14.427728164086</v>
      </c>
      <c r="G98" s="588">
        <v>2.4046213606809999</v>
      </c>
      <c r="H98" s="590">
        <v>2.7137199999999999</v>
      </c>
      <c r="I98" s="587">
        <v>2.7137199999999999</v>
      </c>
      <c r="J98" s="588">
        <v>0.30909863931800002</v>
      </c>
      <c r="K98" s="591">
        <v>0.18809059674100001</v>
      </c>
    </row>
    <row r="99" spans="1:11" ht="14.4" customHeight="1" thickBot="1" x14ac:dyDescent="0.35">
      <c r="A99" s="606" t="s">
        <v>51</v>
      </c>
      <c r="B99" s="587">
        <v>20387.998874593901</v>
      </c>
      <c r="C99" s="587">
        <v>22591.676869999999</v>
      </c>
      <c r="D99" s="588">
        <v>2203.6779954061199</v>
      </c>
      <c r="E99" s="589">
        <v>1.108087017708</v>
      </c>
      <c r="F99" s="587">
        <v>21767.1076236515</v>
      </c>
      <c r="G99" s="588">
        <v>3627.8512706085899</v>
      </c>
      <c r="H99" s="590">
        <v>1733.65635</v>
      </c>
      <c r="I99" s="587">
        <v>3502.6962400000102</v>
      </c>
      <c r="J99" s="588">
        <v>-125.15503060857699</v>
      </c>
      <c r="K99" s="591">
        <v>0.160916934879</v>
      </c>
    </row>
    <row r="100" spans="1:11" ht="14.4" customHeight="1" thickBot="1" x14ac:dyDescent="0.35">
      <c r="A100" s="612" t="s">
        <v>391</v>
      </c>
      <c r="B100" s="592">
        <v>15101.9999999998</v>
      </c>
      <c r="C100" s="592">
        <v>16756.617999999999</v>
      </c>
      <c r="D100" s="593">
        <v>1654.61800000018</v>
      </c>
      <c r="E100" s="599">
        <v>1.109562839359</v>
      </c>
      <c r="F100" s="592">
        <v>16136.9999999997</v>
      </c>
      <c r="G100" s="593">
        <v>2689.49999999995</v>
      </c>
      <c r="H100" s="595">
        <v>1284.1880000000001</v>
      </c>
      <c r="I100" s="592">
        <v>2595.3580000000102</v>
      </c>
      <c r="J100" s="593">
        <v>-94.141999999944005</v>
      </c>
      <c r="K100" s="600">
        <v>0.16083274462399999</v>
      </c>
    </row>
    <row r="101" spans="1:11" ht="14.4" customHeight="1" thickBot="1" x14ac:dyDescent="0.35">
      <c r="A101" s="608" t="s">
        <v>392</v>
      </c>
      <c r="B101" s="592">
        <v>15101.9999999998</v>
      </c>
      <c r="C101" s="592">
        <v>16669.108</v>
      </c>
      <c r="D101" s="593">
        <v>1567.10800000017</v>
      </c>
      <c r="E101" s="599">
        <v>1.103768242616</v>
      </c>
      <c r="F101" s="592">
        <v>16082.9999999997</v>
      </c>
      <c r="G101" s="593">
        <v>2680.49999999995</v>
      </c>
      <c r="H101" s="595">
        <v>1284.1880000000001</v>
      </c>
      <c r="I101" s="592">
        <v>2592.2960000000098</v>
      </c>
      <c r="J101" s="593">
        <v>-88.203999999944998</v>
      </c>
      <c r="K101" s="600">
        <v>0.16118236647299999</v>
      </c>
    </row>
    <row r="102" spans="1:11" ht="14.4" customHeight="1" thickBot="1" x14ac:dyDescent="0.35">
      <c r="A102" s="609" t="s">
        <v>393</v>
      </c>
      <c r="B102" s="587">
        <v>15101.9999999998</v>
      </c>
      <c r="C102" s="587">
        <v>16669.108</v>
      </c>
      <c r="D102" s="588">
        <v>1567.10800000017</v>
      </c>
      <c r="E102" s="589">
        <v>1.103768242616</v>
      </c>
      <c r="F102" s="587">
        <v>16082.9999999997</v>
      </c>
      <c r="G102" s="588">
        <v>2680.49999999995</v>
      </c>
      <c r="H102" s="590">
        <v>1284.1880000000001</v>
      </c>
      <c r="I102" s="587">
        <v>2592.2960000000098</v>
      </c>
      <c r="J102" s="588">
        <v>-88.203999999944998</v>
      </c>
      <c r="K102" s="591">
        <v>0.16118236647299999</v>
      </c>
    </row>
    <row r="103" spans="1:11" ht="14.4" customHeight="1" thickBot="1" x14ac:dyDescent="0.35">
      <c r="A103" s="608" t="s">
        <v>394</v>
      </c>
      <c r="B103" s="592">
        <v>0</v>
      </c>
      <c r="C103" s="592">
        <v>87.51</v>
      </c>
      <c r="D103" s="593">
        <v>87.51</v>
      </c>
      <c r="E103" s="594" t="s">
        <v>299</v>
      </c>
      <c r="F103" s="592">
        <v>53.999999999998998</v>
      </c>
      <c r="G103" s="593">
        <v>8.9999999999989999</v>
      </c>
      <c r="H103" s="595">
        <v>4.9406564584124654E-324</v>
      </c>
      <c r="I103" s="592">
        <v>3.0619999999999998</v>
      </c>
      <c r="J103" s="593">
        <v>-5.9379999999989996</v>
      </c>
      <c r="K103" s="600">
        <v>5.6703703703E-2</v>
      </c>
    </row>
    <row r="104" spans="1:11" ht="14.4" customHeight="1" thickBot="1" x14ac:dyDescent="0.35">
      <c r="A104" s="609" t="s">
        <v>395</v>
      </c>
      <c r="B104" s="587">
        <v>0</v>
      </c>
      <c r="C104" s="587">
        <v>87.51</v>
      </c>
      <c r="D104" s="588">
        <v>87.51</v>
      </c>
      <c r="E104" s="597" t="s">
        <v>299</v>
      </c>
      <c r="F104" s="587">
        <v>53.999999999998998</v>
      </c>
      <c r="G104" s="588">
        <v>8.9999999999989999</v>
      </c>
      <c r="H104" s="590">
        <v>4.9406564584124654E-324</v>
      </c>
      <c r="I104" s="587">
        <v>3.0619999999999998</v>
      </c>
      <c r="J104" s="588">
        <v>-5.9379999999989996</v>
      </c>
      <c r="K104" s="591">
        <v>5.6703703703E-2</v>
      </c>
    </row>
    <row r="105" spans="1:11" ht="14.4" customHeight="1" thickBot="1" x14ac:dyDescent="0.35">
      <c r="A105" s="607" t="s">
        <v>396</v>
      </c>
      <c r="B105" s="587">
        <v>5134.99887459406</v>
      </c>
      <c r="C105" s="587">
        <v>5667.4901499999996</v>
      </c>
      <c r="D105" s="588">
        <v>532.49127540593997</v>
      </c>
      <c r="E105" s="589">
        <v>1.1036984210530001</v>
      </c>
      <c r="F105" s="587">
        <v>5469.1076236518102</v>
      </c>
      <c r="G105" s="588">
        <v>911.51793727530196</v>
      </c>
      <c r="H105" s="590">
        <v>436.62599999999998</v>
      </c>
      <c r="I105" s="587">
        <v>881.38400000000195</v>
      </c>
      <c r="J105" s="588">
        <v>-30.133937275299001</v>
      </c>
      <c r="K105" s="591">
        <v>0.161156821304</v>
      </c>
    </row>
    <row r="106" spans="1:11" ht="14.4" customHeight="1" thickBot="1" x14ac:dyDescent="0.35">
      <c r="A106" s="608" t="s">
        <v>397</v>
      </c>
      <c r="B106" s="592">
        <v>1358.99999786795</v>
      </c>
      <c r="C106" s="592">
        <v>1500.213</v>
      </c>
      <c r="D106" s="593">
        <v>141.213002132047</v>
      </c>
      <c r="E106" s="599">
        <v>1.103909494005</v>
      </c>
      <c r="F106" s="592">
        <v>1447.10762365189</v>
      </c>
      <c r="G106" s="593">
        <v>241.184603941982</v>
      </c>
      <c r="H106" s="595">
        <v>115.57899999999999</v>
      </c>
      <c r="I106" s="592">
        <v>233.310000000001</v>
      </c>
      <c r="J106" s="593">
        <v>-7.8746039419810003</v>
      </c>
      <c r="K106" s="600">
        <v>0.16122505070500001</v>
      </c>
    </row>
    <row r="107" spans="1:11" ht="14.4" customHeight="1" thickBot="1" x14ac:dyDescent="0.35">
      <c r="A107" s="609" t="s">
        <v>398</v>
      </c>
      <c r="B107" s="587">
        <v>1358.99999786795</v>
      </c>
      <c r="C107" s="587">
        <v>1500.213</v>
      </c>
      <c r="D107" s="588">
        <v>141.213002132047</v>
      </c>
      <c r="E107" s="589">
        <v>1.103909494005</v>
      </c>
      <c r="F107" s="587">
        <v>1447.10762365189</v>
      </c>
      <c r="G107" s="588">
        <v>241.184603941982</v>
      </c>
      <c r="H107" s="590">
        <v>115.57899999999999</v>
      </c>
      <c r="I107" s="587">
        <v>233.310000000001</v>
      </c>
      <c r="J107" s="588">
        <v>-7.8746039419810003</v>
      </c>
      <c r="K107" s="591">
        <v>0.16122505070500001</v>
      </c>
    </row>
    <row r="108" spans="1:11" ht="14.4" customHeight="1" thickBot="1" x14ac:dyDescent="0.35">
      <c r="A108" s="608" t="s">
        <v>399</v>
      </c>
      <c r="B108" s="592">
        <v>3775.9988767261102</v>
      </c>
      <c r="C108" s="592">
        <v>4167.2771499999999</v>
      </c>
      <c r="D108" s="593">
        <v>391.278273273894</v>
      </c>
      <c r="E108" s="599">
        <v>1.1036224548910001</v>
      </c>
      <c r="F108" s="592">
        <v>4021.99999999992</v>
      </c>
      <c r="G108" s="593">
        <v>670.33333333331996</v>
      </c>
      <c r="H108" s="595">
        <v>321.04700000000003</v>
      </c>
      <c r="I108" s="592">
        <v>648.074000000002</v>
      </c>
      <c r="J108" s="593">
        <v>-22.259333333318001</v>
      </c>
      <c r="K108" s="600">
        <v>0.16113227250100001</v>
      </c>
    </row>
    <row r="109" spans="1:11" ht="14.4" customHeight="1" thickBot="1" x14ac:dyDescent="0.35">
      <c r="A109" s="609" t="s">
        <v>400</v>
      </c>
      <c r="B109" s="587">
        <v>3775.9988767261102</v>
      </c>
      <c r="C109" s="587">
        <v>4167.2771499999999</v>
      </c>
      <c r="D109" s="588">
        <v>391.278273273894</v>
      </c>
      <c r="E109" s="589">
        <v>1.1036224548910001</v>
      </c>
      <c r="F109" s="587">
        <v>4021.99999999992</v>
      </c>
      <c r="G109" s="588">
        <v>670.33333333331996</v>
      </c>
      <c r="H109" s="590">
        <v>321.04700000000003</v>
      </c>
      <c r="I109" s="587">
        <v>648.074000000002</v>
      </c>
      <c r="J109" s="588">
        <v>-22.259333333318001</v>
      </c>
      <c r="K109" s="591">
        <v>0.16113227250100001</v>
      </c>
    </row>
    <row r="110" spans="1:11" ht="14.4" customHeight="1" thickBot="1" x14ac:dyDescent="0.35">
      <c r="A110" s="607" t="s">
        <v>401</v>
      </c>
      <c r="B110" s="587">
        <v>150.99999999999801</v>
      </c>
      <c r="C110" s="587">
        <v>167.56872000000001</v>
      </c>
      <c r="D110" s="588">
        <v>16.568720000001001</v>
      </c>
      <c r="E110" s="589">
        <v>1.1097266225160001</v>
      </c>
      <c r="F110" s="587">
        <v>160.99999999999699</v>
      </c>
      <c r="G110" s="588">
        <v>26.833333333332</v>
      </c>
      <c r="H110" s="590">
        <v>12.84235</v>
      </c>
      <c r="I110" s="587">
        <v>25.954239999999999</v>
      </c>
      <c r="J110" s="588">
        <v>-0.87909333333200002</v>
      </c>
      <c r="K110" s="591">
        <v>0.161206459627</v>
      </c>
    </row>
    <row r="111" spans="1:11" ht="14.4" customHeight="1" thickBot="1" x14ac:dyDescent="0.35">
      <c r="A111" s="608" t="s">
        <v>402</v>
      </c>
      <c r="B111" s="592">
        <v>150.99999999999801</v>
      </c>
      <c r="C111" s="592">
        <v>167.56872000000001</v>
      </c>
      <c r="D111" s="593">
        <v>16.568720000001001</v>
      </c>
      <c r="E111" s="599">
        <v>1.1097266225160001</v>
      </c>
      <c r="F111" s="592">
        <v>160.99999999999699</v>
      </c>
      <c r="G111" s="593">
        <v>26.833333333332</v>
      </c>
      <c r="H111" s="595">
        <v>12.84235</v>
      </c>
      <c r="I111" s="592">
        <v>25.954239999999999</v>
      </c>
      <c r="J111" s="593">
        <v>-0.87909333333200002</v>
      </c>
      <c r="K111" s="600">
        <v>0.161206459627</v>
      </c>
    </row>
    <row r="112" spans="1:11" ht="14.4" customHeight="1" thickBot="1" x14ac:dyDescent="0.35">
      <c r="A112" s="609" t="s">
        <v>403</v>
      </c>
      <c r="B112" s="587">
        <v>150.99999999999801</v>
      </c>
      <c r="C112" s="587">
        <v>167.56872000000001</v>
      </c>
      <c r="D112" s="588">
        <v>16.568720000001001</v>
      </c>
      <c r="E112" s="589">
        <v>1.1097266225160001</v>
      </c>
      <c r="F112" s="587">
        <v>160.99999999999699</v>
      </c>
      <c r="G112" s="588">
        <v>26.833333333332</v>
      </c>
      <c r="H112" s="590">
        <v>12.84235</v>
      </c>
      <c r="I112" s="587">
        <v>25.954239999999999</v>
      </c>
      <c r="J112" s="588">
        <v>-0.87909333333200002</v>
      </c>
      <c r="K112" s="591">
        <v>0.161206459627</v>
      </c>
    </row>
    <row r="113" spans="1:11" ht="14.4" customHeight="1" thickBot="1" x14ac:dyDescent="0.35">
      <c r="A113" s="606" t="s">
        <v>404</v>
      </c>
      <c r="B113" s="587">
        <v>0</v>
      </c>
      <c r="C113" s="587">
        <v>36.010579999999003</v>
      </c>
      <c r="D113" s="588">
        <v>36.010579999999003</v>
      </c>
      <c r="E113" s="597" t="s">
        <v>299</v>
      </c>
      <c r="F113" s="587">
        <v>0</v>
      </c>
      <c r="G113" s="588">
        <v>0</v>
      </c>
      <c r="H113" s="590">
        <v>4.9406564584124654E-324</v>
      </c>
      <c r="I113" s="587">
        <v>9.8813129168249309E-324</v>
      </c>
      <c r="J113" s="588">
        <v>9.8813129168249309E-324</v>
      </c>
      <c r="K113" s="598" t="s">
        <v>299</v>
      </c>
    </row>
    <row r="114" spans="1:11" ht="14.4" customHeight="1" thickBot="1" x14ac:dyDescent="0.35">
      <c r="A114" s="607" t="s">
        <v>405</v>
      </c>
      <c r="B114" s="587">
        <v>4.9406564584124654E-324</v>
      </c>
      <c r="C114" s="587">
        <v>17.631999999999</v>
      </c>
      <c r="D114" s="588">
        <v>17.631999999999</v>
      </c>
      <c r="E114" s="597" t="s">
        <v>305</v>
      </c>
      <c r="F114" s="587">
        <v>0</v>
      </c>
      <c r="G114" s="588">
        <v>0</v>
      </c>
      <c r="H114" s="590">
        <v>4.9406564584124654E-324</v>
      </c>
      <c r="I114" s="587">
        <v>9.8813129168249309E-324</v>
      </c>
      <c r="J114" s="588">
        <v>9.8813129168249309E-324</v>
      </c>
      <c r="K114" s="598" t="s">
        <v>299</v>
      </c>
    </row>
    <row r="115" spans="1:11" ht="14.4" customHeight="1" thickBot="1" x14ac:dyDescent="0.35">
      <c r="A115" s="608" t="s">
        <v>406</v>
      </c>
      <c r="B115" s="592">
        <v>4.9406564584124654E-324</v>
      </c>
      <c r="C115" s="592">
        <v>17.631999999999</v>
      </c>
      <c r="D115" s="593">
        <v>17.631999999999</v>
      </c>
      <c r="E115" s="594" t="s">
        <v>305</v>
      </c>
      <c r="F115" s="592">
        <v>0</v>
      </c>
      <c r="G115" s="593">
        <v>0</v>
      </c>
      <c r="H115" s="595">
        <v>4.9406564584124654E-324</v>
      </c>
      <c r="I115" s="592">
        <v>9.8813129168249309E-324</v>
      </c>
      <c r="J115" s="593">
        <v>9.8813129168249309E-324</v>
      </c>
      <c r="K115" s="596" t="s">
        <v>299</v>
      </c>
    </row>
    <row r="116" spans="1:11" ht="14.4" customHeight="1" thickBot="1" x14ac:dyDescent="0.35">
      <c r="A116" s="609" t="s">
        <v>407</v>
      </c>
      <c r="B116" s="587">
        <v>4.9406564584124654E-324</v>
      </c>
      <c r="C116" s="587">
        <v>17.631999999999</v>
      </c>
      <c r="D116" s="588">
        <v>17.631999999999</v>
      </c>
      <c r="E116" s="597" t="s">
        <v>305</v>
      </c>
      <c r="F116" s="587">
        <v>0</v>
      </c>
      <c r="G116" s="588">
        <v>0</v>
      </c>
      <c r="H116" s="590">
        <v>4.9406564584124654E-324</v>
      </c>
      <c r="I116" s="587">
        <v>9.8813129168249309E-324</v>
      </c>
      <c r="J116" s="588">
        <v>9.8813129168249309E-324</v>
      </c>
      <c r="K116" s="598" t="s">
        <v>299</v>
      </c>
    </row>
    <row r="117" spans="1:11" ht="14.4" customHeight="1" thickBot="1" x14ac:dyDescent="0.35">
      <c r="A117" s="607" t="s">
        <v>408</v>
      </c>
      <c r="B117" s="587">
        <v>0</v>
      </c>
      <c r="C117" s="587">
        <v>18.378579999999999</v>
      </c>
      <c r="D117" s="588">
        <v>18.378579999999999</v>
      </c>
      <c r="E117" s="597" t="s">
        <v>299</v>
      </c>
      <c r="F117" s="587">
        <v>0</v>
      </c>
      <c r="G117" s="588">
        <v>0</v>
      </c>
      <c r="H117" s="590">
        <v>4.9406564584124654E-324</v>
      </c>
      <c r="I117" s="587">
        <v>9.8813129168249309E-324</v>
      </c>
      <c r="J117" s="588">
        <v>9.8813129168249309E-324</v>
      </c>
      <c r="K117" s="598" t="s">
        <v>299</v>
      </c>
    </row>
    <row r="118" spans="1:11" ht="14.4" customHeight="1" thickBot="1" x14ac:dyDescent="0.35">
      <c r="A118" s="608" t="s">
        <v>409</v>
      </c>
      <c r="B118" s="592">
        <v>0</v>
      </c>
      <c r="C118" s="592">
        <v>9.07958</v>
      </c>
      <c r="D118" s="593">
        <v>9.07958</v>
      </c>
      <c r="E118" s="594" t="s">
        <v>299</v>
      </c>
      <c r="F118" s="592">
        <v>0</v>
      </c>
      <c r="G118" s="593">
        <v>0</v>
      </c>
      <c r="H118" s="595">
        <v>4.9406564584124654E-324</v>
      </c>
      <c r="I118" s="592">
        <v>9.8813129168249309E-324</v>
      </c>
      <c r="J118" s="593">
        <v>9.8813129168249309E-324</v>
      </c>
      <c r="K118" s="596" t="s">
        <v>299</v>
      </c>
    </row>
    <row r="119" spans="1:11" ht="14.4" customHeight="1" thickBot="1" x14ac:dyDescent="0.35">
      <c r="A119" s="609" t="s">
        <v>410</v>
      </c>
      <c r="B119" s="587">
        <v>0</v>
      </c>
      <c r="C119" s="587">
        <v>1.2342</v>
      </c>
      <c r="D119" s="588">
        <v>1.2342</v>
      </c>
      <c r="E119" s="597" t="s">
        <v>299</v>
      </c>
      <c r="F119" s="587">
        <v>0</v>
      </c>
      <c r="G119" s="588">
        <v>0</v>
      </c>
      <c r="H119" s="590">
        <v>4.9406564584124654E-324</v>
      </c>
      <c r="I119" s="587">
        <v>9.8813129168249309E-324</v>
      </c>
      <c r="J119" s="588">
        <v>9.8813129168249309E-324</v>
      </c>
      <c r="K119" s="598" t="s">
        <v>299</v>
      </c>
    </row>
    <row r="120" spans="1:11" ht="14.4" customHeight="1" thickBot="1" x14ac:dyDescent="0.35">
      <c r="A120" s="609" t="s">
        <v>411</v>
      </c>
      <c r="B120" s="587">
        <v>0</v>
      </c>
      <c r="C120" s="587">
        <v>7.6453800000000003</v>
      </c>
      <c r="D120" s="588">
        <v>7.6453800000000003</v>
      </c>
      <c r="E120" s="597" t="s">
        <v>299</v>
      </c>
      <c r="F120" s="587">
        <v>0</v>
      </c>
      <c r="G120" s="588">
        <v>0</v>
      </c>
      <c r="H120" s="590">
        <v>4.9406564584124654E-324</v>
      </c>
      <c r="I120" s="587">
        <v>9.8813129168249309E-324</v>
      </c>
      <c r="J120" s="588">
        <v>9.8813129168249309E-324</v>
      </c>
      <c r="K120" s="598" t="s">
        <v>299</v>
      </c>
    </row>
    <row r="121" spans="1:11" ht="14.4" customHeight="1" thickBot="1" x14ac:dyDescent="0.35">
      <c r="A121" s="609" t="s">
        <v>412</v>
      </c>
      <c r="B121" s="587">
        <v>4.9406564584124654E-324</v>
      </c>
      <c r="C121" s="587">
        <v>0.2</v>
      </c>
      <c r="D121" s="588">
        <v>0.2</v>
      </c>
      <c r="E121" s="597" t="s">
        <v>305</v>
      </c>
      <c r="F121" s="587">
        <v>0</v>
      </c>
      <c r="G121" s="588">
        <v>0</v>
      </c>
      <c r="H121" s="590">
        <v>4.9406564584124654E-324</v>
      </c>
      <c r="I121" s="587">
        <v>9.8813129168249309E-324</v>
      </c>
      <c r="J121" s="588">
        <v>9.8813129168249309E-324</v>
      </c>
      <c r="K121" s="598" t="s">
        <v>299</v>
      </c>
    </row>
    <row r="122" spans="1:11" ht="14.4" customHeight="1" thickBot="1" x14ac:dyDescent="0.35">
      <c r="A122" s="608" t="s">
        <v>413</v>
      </c>
      <c r="B122" s="592">
        <v>4.9406564584124654E-324</v>
      </c>
      <c r="C122" s="592">
        <v>1.2</v>
      </c>
      <c r="D122" s="593">
        <v>1.2</v>
      </c>
      <c r="E122" s="594" t="s">
        <v>305</v>
      </c>
      <c r="F122" s="592">
        <v>0</v>
      </c>
      <c r="G122" s="593">
        <v>0</v>
      </c>
      <c r="H122" s="595">
        <v>4.9406564584124654E-324</v>
      </c>
      <c r="I122" s="592">
        <v>9.8813129168249309E-324</v>
      </c>
      <c r="J122" s="593">
        <v>9.8813129168249309E-324</v>
      </c>
      <c r="K122" s="596" t="s">
        <v>299</v>
      </c>
    </row>
    <row r="123" spans="1:11" ht="14.4" customHeight="1" thickBot="1" x14ac:dyDescent="0.35">
      <c r="A123" s="609" t="s">
        <v>414</v>
      </c>
      <c r="B123" s="587">
        <v>4.9406564584124654E-324</v>
      </c>
      <c r="C123" s="587">
        <v>1.2</v>
      </c>
      <c r="D123" s="588">
        <v>1.2</v>
      </c>
      <c r="E123" s="597" t="s">
        <v>305</v>
      </c>
      <c r="F123" s="587">
        <v>0</v>
      </c>
      <c r="G123" s="588">
        <v>0</v>
      </c>
      <c r="H123" s="590">
        <v>4.9406564584124654E-324</v>
      </c>
      <c r="I123" s="587">
        <v>9.8813129168249309E-324</v>
      </c>
      <c r="J123" s="588">
        <v>9.8813129168249309E-324</v>
      </c>
      <c r="K123" s="598" t="s">
        <v>299</v>
      </c>
    </row>
    <row r="124" spans="1:11" ht="14.4" customHeight="1" thickBot="1" x14ac:dyDescent="0.35">
      <c r="A124" s="611" t="s">
        <v>415</v>
      </c>
      <c r="B124" s="587">
        <v>0</v>
      </c>
      <c r="C124" s="587">
        <v>6.2489999999999997</v>
      </c>
      <c r="D124" s="588">
        <v>6.2489999999999997</v>
      </c>
      <c r="E124" s="597" t="s">
        <v>299</v>
      </c>
      <c r="F124" s="587">
        <v>0</v>
      </c>
      <c r="G124" s="588">
        <v>0</v>
      </c>
      <c r="H124" s="590">
        <v>4.9406564584124654E-324</v>
      </c>
      <c r="I124" s="587">
        <v>9.8813129168249309E-324</v>
      </c>
      <c r="J124" s="588">
        <v>9.8813129168249309E-324</v>
      </c>
      <c r="K124" s="598" t="s">
        <v>299</v>
      </c>
    </row>
    <row r="125" spans="1:11" ht="14.4" customHeight="1" thickBot="1" x14ac:dyDescent="0.35">
      <c r="A125" s="609" t="s">
        <v>416</v>
      </c>
      <c r="B125" s="587">
        <v>0</v>
      </c>
      <c r="C125" s="587">
        <v>6.2489999999999997</v>
      </c>
      <c r="D125" s="588">
        <v>6.2489999999999997</v>
      </c>
      <c r="E125" s="597" t="s">
        <v>299</v>
      </c>
      <c r="F125" s="587">
        <v>0</v>
      </c>
      <c r="G125" s="588">
        <v>0</v>
      </c>
      <c r="H125" s="590">
        <v>4.9406564584124654E-324</v>
      </c>
      <c r="I125" s="587">
        <v>9.8813129168249309E-324</v>
      </c>
      <c r="J125" s="588">
        <v>9.8813129168249309E-324</v>
      </c>
      <c r="K125" s="598" t="s">
        <v>299</v>
      </c>
    </row>
    <row r="126" spans="1:11" ht="14.4" customHeight="1" thickBot="1" x14ac:dyDescent="0.35">
      <c r="A126" s="611" t="s">
        <v>417</v>
      </c>
      <c r="B126" s="587">
        <v>4.9406564584124654E-324</v>
      </c>
      <c r="C126" s="587">
        <v>1.85</v>
      </c>
      <c r="D126" s="588">
        <v>1.85</v>
      </c>
      <c r="E126" s="597" t="s">
        <v>305</v>
      </c>
      <c r="F126" s="587">
        <v>0</v>
      </c>
      <c r="G126" s="588">
        <v>0</v>
      </c>
      <c r="H126" s="590">
        <v>4.9406564584124654E-324</v>
      </c>
      <c r="I126" s="587">
        <v>9.8813129168249309E-324</v>
      </c>
      <c r="J126" s="588">
        <v>9.8813129168249309E-324</v>
      </c>
      <c r="K126" s="598" t="s">
        <v>299</v>
      </c>
    </row>
    <row r="127" spans="1:11" ht="14.4" customHeight="1" thickBot="1" x14ac:dyDescent="0.35">
      <c r="A127" s="609" t="s">
        <v>418</v>
      </c>
      <c r="B127" s="587">
        <v>4.9406564584124654E-324</v>
      </c>
      <c r="C127" s="587">
        <v>1.85</v>
      </c>
      <c r="D127" s="588">
        <v>1.85</v>
      </c>
      <c r="E127" s="597" t="s">
        <v>305</v>
      </c>
      <c r="F127" s="587">
        <v>0</v>
      </c>
      <c r="G127" s="588">
        <v>0</v>
      </c>
      <c r="H127" s="590">
        <v>4.9406564584124654E-324</v>
      </c>
      <c r="I127" s="587">
        <v>9.8813129168249309E-324</v>
      </c>
      <c r="J127" s="588">
        <v>9.8813129168249309E-324</v>
      </c>
      <c r="K127" s="598" t="s">
        <v>299</v>
      </c>
    </row>
    <row r="128" spans="1:11" ht="14.4" customHeight="1" thickBot="1" x14ac:dyDescent="0.35">
      <c r="A128" s="606" t="s">
        <v>419</v>
      </c>
      <c r="B128" s="587">
        <v>457.99999999997499</v>
      </c>
      <c r="C128" s="587">
        <v>659.91804999999999</v>
      </c>
      <c r="D128" s="588">
        <v>201.918050000025</v>
      </c>
      <c r="E128" s="589">
        <v>1.440869104803</v>
      </c>
      <c r="F128" s="587">
        <v>439.99345881805601</v>
      </c>
      <c r="G128" s="588">
        <v>73.332243136342001</v>
      </c>
      <c r="H128" s="590">
        <v>38.008000000000003</v>
      </c>
      <c r="I128" s="587">
        <v>74.563999999999993</v>
      </c>
      <c r="J128" s="588">
        <v>1.231756863657</v>
      </c>
      <c r="K128" s="591">
        <v>0.16946615570199999</v>
      </c>
    </row>
    <row r="129" spans="1:11" ht="14.4" customHeight="1" thickBot="1" x14ac:dyDescent="0.35">
      <c r="A129" s="607" t="s">
        <v>420</v>
      </c>
      <c r="B129" s="587">
        <v>457.99999999997499</v>
      </c>
      <c r="C129" s="587">
        <v>451.238</v>
      </c>
      <c r="D129" s="588">
        <v>-6.7619999999739999</v>
      </c>
      <c r="E129" s="589">
        <v>0.98523580785999998</v>
      </c>
      <c r="F129" s="587">
        <v>439.99345881805601</v>
      </c>
      <c r="G129" s="588">
        <v>73.332243136342001</v>
      </c>
      <c r="H129" s="590">
        <v>36.555999999999997</v>
      </c>
      <c r="I129" s="587">
        <v>73.111999999999995</v>
      </c>
      <c r="J129" s="588">
        <v>-0.22024313634199999</v>
      </c>
      <c r="K129" s="591">
        <v>0.16616610664199999</v>
      </c>
    </row>
    <row r="130" spans="1:11" ht="14.4" customHeight="1" thickBot="1" x14ac:dyDescent="0.35">
      <c r="A130" s="608" t="s">
        <v>421</v>
      </c>
      <c r="B130" s="592">
        <v>457.99999999997499</v>
      </c>
      <c r="C130" s="592">
        <v>451.238</v>
      </c>
      <c r="D130" s="593">
        <v>-6.7619999999739999</v>
      </c>
      <c r="E130" s="599">
        <v>0.98523580785999998</v>
      </c>
      <c r="F130" s="592">
        <v>439.99345881805601</v>
      </c>
      <c r="G130" s="593">
        <v>73.332243136342001</v>
      </c>
      <c r="H130" s="595">
        <v>36.555999999999997</v>
      </c>
      <c r="I130" s="592">
        <v>73.111999999999995</v>
      </c>
      <c r="J130" s="593">
        <v>-0.22024313634199999</v>
      </c>
      <c r="K130" s="600">
        <v>0.16616610664199999</v>
      </c>
    </row>
    <row r="131" spans="1:11" ht="14.4" customHeight="1" thickBot="1" x14ac:dyDescent="0.35">
      <c r="A131" s="609" t="s">
        <v>422</v>
      </c>
      <c r="B131" s="587">
        <v>149.99999999999201</v>
      </c>
      <c r="C131" s="587">
        <v>149.92099999999999</v>
      </c>
      <c r="D131" s="588">
        <v>-7.8999999991000006E-2</v>
      </c>
      <c r="E131" s="589">
        <v>0.99947333333300004</v>
      </c>
      <c r="F131" s="587">
        <v>150.994000803457</v>
      </c>
      <c r="G131" s="588">
        <v>25.165666800575998</v>
      </c>
      <c r="H131" s="590">
        <v>12.531000000000001</v>
      </c>
      <c r="I131" s="587">
        <v>25.062000000000001</v>
      </c>
      <c r="J131" s="588">
        <v>-0.103666800576</v>
      </c>
      <c r="K131" s="591">
        <v>0.16598010428599999</v>
      </c>
    </row>
    <row r="132" spans="1:11" ht="14.4" customHeight="1" thickBot="1" x14ac:dyDescent="0.35">
      <c r="A132" s="609" t="s">
        <v>423</v>
      </c>
      <c r="B132" s="587">
        <v>109.999999999994</v>
      </c>
      <c r="C132" s="587">
        <v>109.59699999999999</v>
      </c>
      <c r="D132" s="588">
        <v>-0.40299999999300001</v>
      </c>
      <c r="E132" s="589">
        <v>0.99633636363599998</v>
      </c>
      <c r="F132" s="587">
        <v>109.999999999998</v>
      </c>
      <c r="G132" s="588">
        <v>18.333333333333002</v>
      </c>
      <c r="H132" s="590">
        <v>9.1310000000000002</v>
      </c>
      <c r="I132" s="587">
        <v>18.262</v>
      </c>
      <c r="J132" s="588">
        <v>-7.1333333331999996E-2</v>
      </c>
      <c r="K132" s="591">
        <v>0.16601818181799999</v>
      </c>
    </row>
    <row r="133" spans="1:11" ht="14.4" customHeight="1" thickBot="1" x14ac:dyDescent="0.35">
      <c r="A133" s="609" t="s">
        <v>424</v>
      </c>
      <c r="B133" s="587">
        <v>43.999999999997002</v>
      </c>
      <c r="C133" s="587">
        <v>43.652000000000001</v>
      </c>
      <c r="D133" s="588">
        <v>-0.34799999999699999</v>
      </c>
      <c r="E133" s="589">
        <v>0.99209090908999997</v>
      </c>
      <c r="F133" s="587">
        <v>43.999458014603</v>
      </c>
      <c r="G133" s="588">
        <v>7.333243002433</v>
      </c>
      <c r="H133" s="590">
        <v>3.645</v>
      </c>
      <c r="I133" s="587">
        <v>7.29</v>
      </c>
      <c r="J133" s="588">
        <v>-4.3243002433E-2</v>
      </c>
      <c r="K133" s="591">
        <v>0.16568385904999999</v>
      </c>
    </row>
    <row r="134" spans="1:11" ht="14.4" customHeight="1" thickBot="1" x14ac:dyDescent="0.35">
      <c r="A134" s="609" t="s">
        <v>425</v>
      </c>
      <c r="B134" s="587">
        <v>146.99999999999201</v>
      </c>
      <c r="C134" s="587">
        <v>140.73599999999999</v>
      </c>
      <c r="D134" s="588">
        <v>-6.2639999999910003</v>
      </c>
      <c r="E134" s="589">
        <v>0.95738775510200003</v>
      </c>
      <c r="F134" s="587">
        <v>127.999999999998</v>
      </c>
      <c r="G134" s="588">
        <v>21.333333333332</v>
      </c>
      <c r="H134" s="590">
        <v>10.638</v>
      </c>
      <c r="I134" s="587">
        <v>21.276</v>
      </c>
      <c r="J134" s="588">
        <v>-5.7333333331999997E-2</v>
      </c>
      <c r="K134" s="591">
        <v>0.16621875</v>
      </c>
    </row>
    <row r="135" spans="1:11" ht="14.4" customHeight="1" thickBot="1" x14ac:dyDescent="0.35">
      <c r="A135" s="609" t="s">
        <v>426</v>
      </c>
      <c r="B135" s="587">
        <v>6.9999999999989999</v>
      </c>
      <c r="C135" s="587">
        <v>7.3319999999999999</v>
      </c>
      <c r="D135" s="588">
        <v>0.33200000000000002</v>
      </c>
      <c r="E135" s="589">
        <v>1.0474285714280001</v>
      </c>
      <c r="F135" s="587">
        <v>6.9999999999989999</v>
      </c>
      <c r="G135" s="588">
        <v>1.1666666666659999</v>
      </c>
      <c r="H135" s="590">
        <v>0.61099999999999999</v>
      </c>
      <c r="I135" s="587">
        <v>1.222</v>
      </c>
      <c r="J135" s="588">
        <v>5.5333333333000001E-2</v>
      </c>
      <c r="K135" s="591">
        <v>0.174571428571</v>
      </c>
    </row>
    <row r="136" spans="1:11" ht="14.4" customHeight="1" thickBot="1" x14ac:dyDescent="0.35">
      <c r="A136" s="607" t="s">
        <v>427</v>
      </c>
      <c r="B136" s="587">
        <v>0</v>
      </c>
      <c r="C136" s="587">
        <v>208.68004999999999</v>
      </c>
      <c r="D136" s="588">
        <v>208.68004999999999</v>
      </c>
      <c r="E136" s="597" t="s">
        <v>299</v>
      </c>
      <c r="F136" s="587">
        <v>0</v>
      </c>
      <c r="G136" s="588">
        <v>0</v>
      </c>
      <c r="H136" s="590">
        <v>1.452</v>
      </c>
      <c r="I136" s="587">
        <v>1.452</v>
      </c>
      <c r="J136" s="588">
        <v>1.452</v>
      </c>
      <c r="K136" s="598" t="s">
        <v>299</v>
      </c>
    </row>
    <row r="137" spans="1:11" ht="14.4" customHeight="1" thickBot="1" x14ac:dyDescent="0.35">
      <c r="A137" s="608" t="s">
        <v>428</v>
      </c>
      <c r="B137" s="592">
        <v>0</v>
      </c>
      <c r="C137" s="592">
        <v>71.213999999999999</v>
      </c>
      <c r="D137" s="593">
        <v>71.213999999999999</v>
      </c>
      <c r="E137" s="594" t="s">
        <v>299</v>
      </c>
      <c r="F137" s="592">
        <v>0</v>
      </c>
      <c r="G137" s="593">
        <v>0</v>
      </c>
      <c r="H137" s="595">
        <v>4.9406564584124654E-324</v>
      </c>
      <c r="I137" s="592">
        <v>9.8813129168249309E-324</v>
      </c>
      <c r="J137" s="593">
        <v>9.8813129168249309E-324</v>
      </c>
      <c r="K137" s="596" t="s">
        <v>299</v>
      </c>
    </row>
    <row r="138" spans="1:11" ht="14.4" customHeight="1" thickBot="1" x14ac:dyDescent="0.35">
      <c r="A138" s="609" t="s">
        <v>429</v>
      </c>
      <c r="B138" s="587">
        <v>0</v>
      </c>
      <c r="C138" s="587">
        <v>64.213999999999999</v>
      </c>
      <c r="D138" s="588">
        <v>64.213999999999999</v>
      </c>
      <c r="E138" s="597" t="s">
        <v>299</v>
      </c>
      <c r="F138" s="587">
        <v>0</v>
      </c>
      <c r="G138" s="588">
        <v>0</v>
      </c>
      <c r="H138" s="590">
        <v>4.9406564584124654E-324</v>
      </c>
      <c r="I138" s="587">
        <v>9.8813129168249309E-324</v>
      </c>
      <c r="J138" s="588">
        <v>9.8813129168249309E-324</v>
      </c>
      <c r="K138" s="598" t="s">
        <v>299</v>
      </c>
    </row>
    <row r="139" spans="1:11" ht="14.4" customHeight="1" thickBot="1" x14ac:dyDescent="0.35">
      <c r="A139" s="609" t="s">
        <v>430</v>
      </c>
      <c r="B139" s="587">
        <v>0</v>
      </c>
      <c r="C139" s="587">
        <v>7</v>
      </c>
      <c r="D139" s="588">
        <v>7</v>
      </c>
      <c r="E139" s="597" t="s">
        <v>299</v>
      </c>
      <c r="F139" s="587">
        <v>0</v>
      </c>
      <c r="G139" s="588">
        <v>0</v>
      </c>
      <c r="H139" s="590">
        <v>4.9406564584124654E-324</v>
      </c>
      <c r="I139" s="587">
        <v>9.8813129168249309E-324</v>
      </c>
      <c r="J139" s="588">
        <v>9.8813129168249309E-324</v>
      </c>
      <c r="K139" s="598" t="s">
        <v>299</v>
      </c>
    </row>
    <row r="140" spans="1:11" ht="14.4" customHeight="1" thickBot="1" x14ac:dyDescent="0.35">
      <c r="A140" s="608" t="s">
        <v>431</v>
      </c>
      <c r="B140" s="592">
        <v>0</v>
      </c>
      <c r="C140" s="592">
        <v>16.818999999999999</v>
      </c>
      <c r="D140" s="593">
        <v>16.818999999999999</v>
      </c>
      <c r="E140" s="594" t="s">
        <v>299</v>
      </c>
      <c r="F140" s="592">
        <v>0</v>
      </c>
      <c r="G140" s="593">
        <v>0</v>
      </c>
      <c r="H140" s="595">
        <v>4.9406564584124654E-324</v>
      </c>
      <c r="I140" s="592">
        <v>9.8813129168249309E-324</v>
      </c>
      <c r="J140" s="593">
        <v>9.8813129168249309E-324</v>
      </c>
      <c r="K140" s="596" t="s">
        <v>299</v>
      </c>
    </row>
    <row r="141" spans="1:11" ht="14.4" customHeight="1" thickBot="1" x14ac:dyDescent="0.35">
      <c r="A141" s="609" t="s">
        <v>432</v>
      </c>
      <c r="B141" s="587">
        <v>4.9406564584124654E-324</v>
      </c>
      <c r="C141" s="587">
        <v>16.818999999999999</v>
      </c>
      <c r="D141" s="588">
        <v>16.818999999999999</v>
      </c>
      <c r="E141" s="597" t="s">
        <v>305</v>
      </c>
      <c r="F141" s="587">
        <v>0</v>
      </c>
      <c r="G141" s="588">
        <v>0</v>
      </c>
      <c r="H141" s="590">
        <v>4.9406564584124654E-324</v>
      </c>
      <c r="I141" s="587">
        <v>9.8813129168249309E-324</v>
      </c>
      <c r="J141" s="588">
        <v>9.8813129168249309E-324</v>
      </c>
      <c r="K141" s="598" t="s">
        <v>299</v>
      </c>
    </row>
    <row r="142" spans="1:11" ht="14.4" customHeight="1" thickBot="1" x14ac:dyDescent="0.35">
      <c r="A142" s="608" t="s">
        <v>433</v>
      </c>
      <c r="B142" s="592">
        <v>0</v>
      </c>
      <c r="C142" s="592">
        <v>45.313200000000002</v>
      </c>
      <c r="D142" s="593">
        <v>45.313200000000002</v>
      </c>
      <c r="E142" s="594" t="s">
        <v>299</v>
      </c>
      <c r="F142" s="592">
        <v>0</v>
      </c>
      <c r="G142" s="593">
        <v>0</v>
      </c>
      <c r="H142" s="595">
        <v>1.452</v>
      </c>
      <c r="I142" s="592">
        <v>1.452</v>
      </c>
      <c r="J142" s="593">
        <v>1.452</v>
      </c>
      <c r="K142" s="596" t="s">
        <v>299</v>
      </c>
    </row>
    <row r="143" spans="1:11" ht="14.4" customHeight="1" thickBot="1" x14ac:dyDescent="0.35">
      <c r="A143" s="609" t="s">
        <v>434</v>
      </c>
      <c r="B143" s="587">
        <v>0</v>
      </c>
      <c r="C143" s="587">
        <v>45.313200000000002</v>
      </c>
      <c r="D143" s="588">
        <v>45.313200000000002</v>
      </c>
      <c r="E143" s="597" t="s">
        <v>299</v>
      </c>
      <c r="F143" s="587">
        <v>0</v>
      </c>
      <c r="G143" s="588">
        <v>0</v>
      </c>
      <c r="H143" s="590">
        <v>1.452</v>
      </c>
      <c r="I143" s="587">
        <v>1.452</v>
      </c>
      <c r="J143" s="588">
        <v>1.452</v>
      </c>
      <c r="K143" s="598" t="s">
        <v>299</v>
      </c>
    </row>
    <row r="144" spans="1:11" ht="14.4" customHeight="1" thickBot="1" x14ac:dyDescent="0.35">
      <c r="A144" s="608" t="s">
        <v>435</v>
      </c>
      <c r="B144" s="592">
        <v>0</v>
      </c>
      <c r="C144" s="592">
        <v>75.333849999999998</v>
      </c>
      <c r="D144" s="593">
        <v>75.333849999999998</v>
      </c>
      <c r="E144" s="594" t="s">
        <v>299</v>
      </c>
      <c r="F144" s="592">
        <v>0</v>
      </c>
      <c r="G144" s="593">
        <v>0</v>
      </c>
      <c r="H144" s="595">
        <v>4.9406564584124654E-324</v>
      </c>
      <c r="I144" s="592">
        <v>9.8813129168249309E-324</v>
      </c>
      <c r="J144" s="593">
        <v>9.8813129168249309E-324</v>
      </c>
      <c r="K144" s="596" t="s">
        <v>299</v>
      </c>
    </row>
    <row r="145" spans="1:11" ht="14.4" customHeight="1" thickBot="1" x14ac:dyDescent="0.35">
      <c r="A145" s="609" t="s">
        <v>436</v>
      </c>
      <c r="B145" s="587">
        <v>0</v>
      </c>
      <c r="C145" s="587">
        <v>69.543850000000006</v>
      </c>
      <c r="D145" s="588">
        <v>69.543850000000006</v>
      </c>
      <c r="E145" s="597" t="s">
        <v>299</v>
      </c>
      <c r="F145" s="587">
        <v>0</v>
      </c>
      <c r="G145" s="588">
        <v>0</v>
      </c>
      <c r="H145" s="590">
        <v>4.9406564584124654E-324</v>
      </c>
      <c r="I145" s="587">
        <v>9.8813129168249309E-324</v>
      </c>
      <c r="J145" s="588">
        <v>9.8813129168249309E-324</v>
      </c>
      <c r="K145" s="598" t="s">
        <v>299</v>
      </c>
    </row>
    <row r="146" spans="1:11" ht="14.4" customHeight="1" thickBot="1" x14ac:dyDescent="0.35">
      <c r="A146" s="609" t="s">
        <v>437</v>
      </c>
      <c r="B146" s="587">
        <v>4.9406564584124654E-324</v>
      </c>
      <c r="C146" s="587">
        <v>5.79</v>
      </c>
      <c r="D146" s="588">
        <v>5.79</v>
      </c>
      <c r="E146" s="597" t="s">
        <v>305</v>
      </c>
      <c r="F146" s="587">
        <v>0</v>
      </c>
      <c r="G146" s="588">
        <v>0</v>
      </c>
      <c r="H146" s="590">
        <v>4.9406564584124654E-324</v>
      </c>
      <c r="I146" s="587">
        <v>9.8813129168249309E-324</v>
      </c>
      <c r="J146" s="588">
        <v>9.8813129168249309E-324</v>
      </c>
      <c r="K146" s="598" t="s">
        <v>299</v>
      </c>
    </row>
    <row r="147" spans="1:11" ht="14.4" customHeight="1" thickBot="1" x14ac:dyDescent="0.35">
      <c r="A147" s="606" t="s">
        <v>438</v>
      </c>
      <c r="B147" s="587">
        <v>4.9406564584124654E-324</v>
      </c>
      <c r="C147" s="587">
        <v>1.21E-2</v>
      </c>
      <c r="D147" s="588">
        <v>1.21E-2</v>
      </c>
      <c r="E147" s="597" t="s">
        <v>305</v>
      </c>
      <c r="F147" s="587">
        <v>0</v>
      </c>
      <c r="G147" s="588">
        <v>0</v>
      </c>
      <c r="H147" s="590">
        <v>4.9406564584124654E-324</v>
      </c>
      <c r="I147" s="587">
        <v>9.8813129168249309E-324</v>
      </c>
      <c r="J147" s="588">
        <v>9.8813129168249309E-324</v>
      </c>
      <c r="K147" s="598" t="s">
        <v>299</v>
      </c>
    </row>
    <row r="148" spans="1:11" ht="14.4" customHeight="1" thickBot="1" x14ac:dyDescent="0.35">
      <c r="A148" s="607" t="s">
        <v>439</v>
      </c>
      <c r="B148" s="587">
        <v>4.9406564584124654E-324</v>
      </c>
      <c r="C148" s="587">
        <v>1.21E-2</v>
      </c>
      <c r="D148" s="588">
        <v>1.21E-2</v>
      </c>
      <c r="E148" s="597" t="s">
        <v>305</v>
      </c>
      <c r="F148" s="587">
        <v>0</v>
      </c>
      <c r="G148" s="588">
        <v>0</v>
      </c>
      <c r="H148" s="590">
        <v>4.9406564584124654E-324</v>
      </c>
      <c r="I148" s="587">
        <v>9.8813129168249309E-324</v>
      </c>
      <c r="J148" s="588">
        <v>9.8813129168249309E-324</v>
      </c>
      <c r="K148" s="598" t="s">
        <v>299</v>
      </c>
    </row>
    <row r="149" spans="1:11" ht="14.4" customHeight="1" thickBot="1" x14ac:dyDescent="0.35">
      <c r="A149" s="608" t="s">
        <v>440</v>
      </c>
      <c r="B149" s="592">
        <v>4.9406564584124654E-324</v>
      </c>
      <c r="C149" s="592">
        <v>1.21E-2</v>
      </c>
      <c r="D149" s="593">
        <v>1.21E-2</v>
      </c>
      <c r="E149" s="594" t="s">
        <v>305</v>
      </c>
      <c r="F149" s="592">
        <v>0</v>
      </c>
      <c r="G149" s="593">
        <v>0</v>
      </c>
      <c r="H149" s="595">
        <v>4.9406564584124654E-324</v>
      </c>
      <c r="I149" s="592">
        <v>9.8813129168249309E-324</v>
      </c>
      <c r="J149" s="593">
        <v>9.8813129168249309E-324</v>
      </c>
      <c r="K149" s="596" t="s">
        <v>299</v>
      </c>
    </row>
    <row r="150" spans="1:11" ht="14.4" customHeight="1" thickBot="1" x14ac:dyDescent="0.35">
      <c r="A150" s="609" t="s">
        <v>441</v>
      </c>
      <c r="B150" s="587">
        <v>4.9406564584124654E-324</v>
      </c>
      <c r="C150" s="587">
        <v>1.21E-2</v>
      </c>
      <c r="D150" s="588">
        <v>1.21E-2</v>
      </c>
      <c r="E150" s="597" t="s">
        <v>305</v>
      </c>
      <c r="F150" s="587">
        <v>0</v>
      </c>
      <c r="G150" s="588">
        <v>0</v>
      </c>
      <c r="H150" s="590">
        <v>4.9406564584124654E-324</v>
      </c>
      <c r="I150" s="587">
        <v>9.8813129168249309E-324</v>
      </c>
      <c r="J150" s="588">
        <v>9.8813129168249309E-324</v>
      </c>
      <c r="K150" s="598" t="s">
        <v>299</v>
      </c>
    </row>
    <row r="151" spans="1:11" ht="14.4" customHeight="1" thickBot="1" x14ac:dyDescent="0.35">
      <c r="A151" s="605" t="s">
        <v>442</v>
      </c>
      <c r="B151" s="587">
        <v>17179.3500205536</v>
      </c>
      <c r="C151" s="587">
        <v>16713.96847</v>
      </c>
      <c r="D151" s="588">
        <v>-465.38155055362199</v>
      </c>
      <c r="E151" s="589">
        <v>0.97291040988099997</v>
      </c>
      <c r="F151" s="587">
        <v>19464.003189938299</v>
      </c>
      <c r="G151" s="588">
        <v>3244.0005316563902</v>
      </c>
      <c r="H151" s="590">
        <v>1386.81359</v>
      </c>
      <c r="I151" s="587">
        <v>2696.91572</v>
      </c>
      <c r="J151" s="588">
        <v>-547.08481165638705</v>
      </c>
      <c r="K151" s="591">
        <v>0.13855914909600001</v>
      </c>
    </row>
    <row r="152" spans="1:11" ht="14.4" customHeight="1" thickBot="1" x14ac:dyDescent="0.35">
      <c r="A152" s="606" t="s">
        <v>443</v>
      </c>
      <c r="B152" s="587">
        <v>16859.999945134099</v>
      </c>
      <c r="C152" s="587">
        <v>16405.421259999999</v>
      </c>
      <c r="D152" s="588">
        <v>-454.57868513405299</v>
      </c>
      <c r="E152" s="589">
        <v>0.97303803756700002</v>
      </c>
      <c r="F152" s="587">
        <v>19459</v>
      </c>
      <c r="G152" s="588">
        <v>3243.1666666666702</v>
      </c>
      <c r="H152" s="590">
        <v>1386.81359</v>
      </c>
      <c r="I152" s="587">
        <v>2697.3157200000001</v>
      </c>
      <c r="J152" s="588">
        <v>-545.85094666666805</v>
      </c>
      <c r="K152" s="591">
        <v>0.13861533069500001</v>
      </c>
    </row>
    <row r="153" spans="1:11" ht="14.4" customHeight="1" thickBot="1" x14ac:dyDescent="0.35">
      <c r="A153" s="607" t="s">
        <v>444</v>
      </c>
      <c r="B153" s="587">
        <v>16859.999945134099</v>
      </c>
      <c r="C153" s="587">
        <v>16405.421259999999</v>
      </c>
      <c r="D153" s="588">
        <v>-454.57868513405299</v>
      </c>
      <c r="E153" s="589">
        <v>0.97303803756700002</v>
      </c>
      <c r="F153" s="587">
        <v>19459</v>
      </c>
      <c r="G153" s="588">
        <v>3243.1666666666702</v>
      </c>
      <c r="H153" s="590">
        <v>1386.81359</v>
      </c>
      <c r="I153" s="587">
        <v>2697.3157200000001</v>
      </c>
      <c r="J153" s="588">
        <v>-545.85094666666805</v>
      </c>
      <c r="K153" s="591">
        <v>0.13861533069500001</v>
      </c>
    </row>
    <row r="154" spans="1:11" ht="14.4" customHeight="1" thickBot="1" x14ac:dyDescent="0.35">
      <c r="A154" s="608" t="s">
        <v>445</v>
      </c>
      <c r="B154" s="592">
        <v>4.9406564584124654E-324</v>
      </c>
      <c r="C154" s="592">
        <v>0.48499999999999999</v>
      </c>
      <c r="D154" s="593">
        <v>0.48499999999999999</v>
      </c>
      <c r="E154" s="594" t="s">
        <v>305</v>
      </c>
      <c r="F154" s="592">
        <v>4.9406564584124654E-324</v>
      </c>
      <c r="G154" s="593">
        <v>0</v>
      </c>
      <c r="H154" s="595">
        <v>4.9406564584124654E-324</v>
      </c>
      <c r="I154" s="592">
        <v>9.8813129168249309E-324</v>
      </c>
      <c r="J154" s="593">
        <v>9.8813129168249309E-324</v>
      </c>
      <c r="K154" s="600">
        <v>2</v>
      </c>
    </row>
    <row r="155" spans="1:11" ht="14.4" customHeight="1" thickBot="1" x14ac:dyDescent="0.35">
      <c r="A155" s="609" t="s">
        <v>446</v>
      </c>
      <c r="B155" s="587">
        <v>4.9406564584124654E-324</v>
      </c>
      <c r="C155" s="587">
        <v>0.48499999999999999</v>
      </c>
      <c r="D155" s="588">
        <v>0.48499999999999999</v>
      </c>
      <c r="E155" s="597" t="s">
        <v>305</v>
      </c>
      <c r="F155" s="587">
        <v>4.9406564584124654E-324</v>
      </c>
      <c r="G155" s="588">
        <v>0</v>
      </c>
      <c r="H155" s="590">
        <v>4.9406564584124654E-324</v>
      </c>
      <c r="I155" s="587">
        <v>9.8813129168249309E-324</v>
      </c>
      <c r="J155" s="588">
        <v>9.8813129168249309E-324</v>
      </c>
      <c r="K155" s="591">
        <v>2</v>
      </c>
    </row>
    <row r="156" spans="1:11" ht="14.4" customHeight="1" thickBot="1" x14ac:dyDescent="0.35">
      <c r="A156" s="608" t="s">
        <v>447</v>
      </c>
      <c r="B156" s="592">
        <v>0</v>
      </c>
      <c r="C156" s="592">
        <v>-0.21604999999899999</v>
      </c>
      <c r="D156" s="593">
        <v>-0.21604999999899999</v>
      </c>
      <c r="E156" s="594" t="s">
        <v>299</v>
      </c>
      <c r="F156" s="592">
        <v>0</v>
      </c>
      <c r="G156" s="593">
        <v>0</v>
      </c>
      <c r="H156" s="595">
        <v>4.9406564584124654E-324</v>
      </c>
      <c r="I156" s="592">
        <v>9.8813129168249309E-324</v>
      </c>
      <c r="J156" s="593">
        <v>9.8813129168249309E-324</v>
      </c>
      <c r="K156" s="596" t="s">
        <v>299</v>
      </c>
    </row>
    <row r="157" spans="1:11" ht="14.4" customHeight="1" thickBot="1" x14ac:dyDescent="0.35">
      <c r="A157" s="609" t="s">
        <v>448</v>
      </c>
      <c r="B157" s="587">
        <v>0</v>
      </c>
      <c r="C157" s="587">
        <v>-0.21604999999899999</v>
      </c>
      <c r="D157" s="588">
        <v>-0.21604999999899999</v>
      </c>
      <c r="E157" s="597" t="s">
        <v>299</v>
      </c>
      <c r="F157" s="587">
        <v>0</v>
      </c>
      <c r="G157" s="588">
        <v>0</v>
      </c>
      <c r="H157" s="590">
        <v>4.9406564584124654E-324</v>
      </c>
      <c r="I157" s="587">
        <v>9.8813129168249309E-324</v>
      </c>
      <c r="J157" s="588">
        <v>9.8813129168249309E-324</v>
      </c>
      <c r="K157" s="598" t="s">
        <v>299</v>
      </c>
    </row>
    <row r="158" spans="1:11" ht="14.4" customHeight="1" thickBot="1" x14ac:dyDescent="0.35">
      <c r="A158" s="608" t="s">
        <v>449</v>
      </c>
      <c r="B158" s="592">
        <v>0</v>
      </c>
      <c r="C158" s="592">
        <v>6.9250999999999996</v>
      </c>
      <c r="D158" s="593">
        <v>6.9250999999999996</v>
      </c>
      <c r="E158" s="594" t="s">
        <v>299</v>
      </c>
      <c r="F158" s="592">
        <v>0</v>
      </c>
      <c r="G158" s="593">
        <v>0</v>
      </c>
      <c r="H158" s="595">
        <v>4.9406564584124654E-324</v>
      </c>
      <c r="I158" s="592">
        <v>9.8813129168249309E-324</v>
      </c>
      <c r="J158" s="593">
        <v>9.8813129168249309E-324</v>
      </c>
      <c r="K158" s="596" t="s">
        <v>299</v>
      </c>
    </row>
    <row r="159" spans="1:11" ht="14.4" customHeight="1" thickBot="1" x14ac:dyDescent="0.35">
      <c r="A159" s="609" t="s">
        <v>450</v>
      </c>
      <c r="B159" s="587">
        <v>0</v>
      </c>
      <c r="C159" s="587">
        <v>6.9250999999999996</v>
      </c>
      <c r="D159" s="588">
        <v>6.9250999999999996</v>
      </c>
      <c r="E159" s="597" t="s">
        <v>299</v>
      </c>
      <c r="F159" s="587">
        <v>0</v>
      </c>
      <c r="G159" s="588">
        <v>0</v>
      </c>
      <c r="H159" s="590">
        <v>4.9406564584124654E-324</v>
      </c>
      <c r="I159" s="587">
        <v>9.8813129168249309E-324</v>
      </c>
      <c r="J159" s="588">
        <v>9.8813129168249309E-324</v>
      </c>
      <c r="K159" s="598" t="s">
        <v>299</v>
      </c>
    </row>
    <row r="160" spans="1:11" ht="14.4" customHeight="1" thickBot="1" x14ac:dyDescent="0.35">
      <c r="A160" s="608" t="s">
        <v>451</v>
      </c>
      <c r="B160" s="592">
        <v>4.9406564584124654E-324</v>
      </c>
      <c r="C160" s="592">
        <v>-0.60557000000000005</v>
      </c>
      <c r="D160" s="593">
        <v>-0.60557000000000005</v>
      </c>
      <c r="E160" s="594" t="s">
        <v>305</v>
      </c>
      <c r="F160" s="592">
        <v>0</v>
      </c>
      <c r="G160" s="593">
        <v>0</v>
      </c>
      <c r="H160" s="595">
        <v>4.9406564584124654E-324</v>
      </c>
      <c r="I160" s="592">
        <v>9.8813129168249309E-324</v>
      </c>
      <c r="J160" s="593">
        <v>9.8813129168249309E-324</v>
      </c>
      <c r="K160" s="596" t="s">
        <v>299</v>
      </c>
    </row>
    <row r="161" spans="1:11" ht="14.4" customHeight="1" thickBot="1" x14ac:dyDescent="0.35">
      <c r="A161" s="609" t="s">
        <v>452</v>
      </c>
      <c r="B161" s="587">
        <v>4.9406564584124654E-324</v>
      </c>
      <c r="C161" s="587">
        <v>-0.60557000000000005</v>
      </c>
      <c r="D161" s="588">
        <v>-0.60557000000000005</v>
      </c>
      <c r="E161" s="597" t="s">
        <v>305</v>
      </c>
      <c r="F161" s="587">
        <v>0</v>
      </c>
      <c r="G161" s="588">
        <v>0</v>
      </c>
      <c r="H161" s="590">
        <v>4.9406564584124654E-324</v>
      </c>
      <c r="I161" s="587">
        <v>9.8813129168249309E-324</v>
      </c>
      <c r="J161" s="588">
        <v>9.8813129168249309E-324</v>
      </c>
      <c r="K161" s="598" t="s">
        <v>299</v>
      </c>
    </row>
    <row r="162" spans="1:11" ht="14.4" customHeight="1" thickBot="1" x14ac:dyDescent="0.35">
      <c r="A162" s="608" t="s">
        <v>453</v>
      </c>
      <c r="B162" s="592">
        <v>16859.999945134099</v>
      </c>
      <c r="C162" s="592">
        <v>15291.16879</v>
      </c>
      <c r="D162" s="593">
        <v>-1568.8311551340501</v>
      </c>
      <c r="E162" s="599">
        <v>0.90694951599999996</v>
      </c>
      <c r="F162" s="592">
        <v>19459</v>
      </c>
      <c r="G162" s="593">
        <v>3243.1666666666702</v>
      </c>
      <c r="H162" s="595">
        <v>1373.9968899999999</v>
      </c>
      <c r="I162" s="592">
        <v>2622.7501600000001</v>
      </c>
      <c r="J162" s="593">
        <v>-620.41650666666806</v>
      </c>
      <c r="K162" s="600">
        <v>0.134783398941</v>
      </c>
    </row>
    <row r="163" spans="1:11" ht="14.4" customHeight="1" thickBot="1" x14ac:dyDescent="0.35">
      <c r="A163" s="609" t="s">
        <v>454</v>
      </c>
      <c r="B163" s="587">
        <v>10220.999969186199</v>
      </c>
      <c r="C163" s="587">
        <v>9496.1218700000009</v>
      </c>
      <c r="D163" s="588">
        <v>-724.87809918621303</v>
      </c>
      <c r="E163" s="589">
        <v>0.92907953220100004</v>
      </c>
      <c r="F163" s="587">
        <v>12033</v>
      </c>
      <c r="G163" s="588">
        <v>2005.5</v>
      </c>
      <c r="H163" s="590">
        <v>876.58717000000001</v>
      </c>
      <c r="I163" s="587">
        <v>1656.6689899999999</v>
      </c>
      <c r="J163" s="588">
        <v>-348.83101000000102</v>
      </c>
      <c r="K163" s="591">
        <v>0.137677137039</v>
      </c>
    </row>
    <row r="164" spans="1:11" ht="14.4" customHeight="1" thickBot="1" x14ac:dyDescent="0.35">
      <c r="A164" s="609" t="s">
        <v>455</v>
      </c>
      <c r="B164" s="587">
        <v>6638.9999759478396</v>
      </c>
      <c r="C164" s="587">
        <v>5795.0469199999998</v>
      </c>
      <c r="D164" s="588">
        <v>-843.95305594783997</v>
      </c>
      <c r="E164" s="589">
        <v>0.87287949103600004</v>
      </c>
      <c r="F164" s="587">
        <v>7426</v>
      </c>
      <c r="G164" s="588">
        <v>1237.6666666666699</v>
      </c>
      <c r="H164" s="590">
        <v>497.40971999999999</v>
      </c>
      <c r="I164" s="587">
        <v>966.08117000000004</v>
      </c>
      <c r="J164" s="588">
        <v>-271.58549666666698</v>
      </c>
      <c r="K164" s="591">
        <v>0.130094420953</v>
      </c>
    </row>
    <row r="165" spans="1:11" ht="14.4" customHeight="1" thickBot="1" x14ac:dyDescent="0.35">
      <c r="A165" s="608" t="s">
        <v>456</v>
      </c>
      <c r="B165" s="592">
        <v>0</v>
      </c>
      <c r="C165" s="592">
        <v>1107.66399</v>
      </c>
      <c r="D165" s="593">
        <v>1107.66399</v>
      </c>
      <c r="E165" s="594" t="s">
        <v>299</v>
      </c>
      <c r="F165" s="592">
        <v>0</v>
      </c>
      <c r="G165" s="593">
        <v>0</v>
      </c>
      <c r="H165" s="595">
        <v>12.816700000000001</v>
      </c>
      <c r="I165" s="592">
        <v>74.565560000000005</v>
      </c>
      <c r="J165" s="593">
        <v>74.565560000000005</v>
      </c>
      <c r="K165" s="596" t="s">
        <v>299</v>
      </c>
    </row>
    <row r="166" spans="1:11" ht="14.4" customHeight="1" thickBot="1" x14ac:dyDescent="0.35">
      <c r="A166" s="609" t="s">
        <v>457</v>
      </c>
      <c r="B166" s="587">
        <v>4.9406564584124654E-324</v>
      </c>
      <c r="C166" s="587">
        <v>779.31137000000001</v>
      </c>
      <c r="D166" s="588">
        <v>779.31137000000001</v>
      </c>
      <c r="E166" s="597" t="s">
        <v>305</v>
      </c>
      <c r="F166" s="587">
        <v>0</v>
      </c>
      <c r="G166" s="588">
        <v>0</v>
      </c>
      <c r="H166" s="590">
        <v>4.9406564584124654E-324</v>
      </c>
      <c r="I166" s="587">
        <v>61.748860000000001</v>
      </c>
      <c r="J166" s="588">
        <v>61.748860000000001</v>
      </c>
      <c r="K166" s="598" t="s">
        <v>299</v>
      </c>
    </row>
    <row r="167" spans="1:11" ht="14.4" customHeight="1" thickBot="1" x14ac:dyDescent="0.35">
      <c r="A167" s="609" t="s">
        <v>458</v>
      </c>
      <c r="B167" s="587">
        <v>0</v>
      </c>
      <c r="C167" s="587">
        <v>328.35262</v>
      </c>
      <c r="D167" s="588">
        <v>328.35262</v>
      </c>
      <c r="E167" s="597" t="s">
        <v>299</v>
      </c>
      <c r="F167" s="587">
        <v>0</v>
      </c>
      <c r="G167" s="588">
        <v>0</v>
      </c>
      <c r="H167" s="590">
        <v>12.816700000000001</v>
      </c>
      <c r="I167" s="587">
        <v>12.816700000000001</v>
      </c>
      <c r="J167" s="588">
        <v>12.816700000000001</v>
      </c>
      <c r="K167" s="598" t="s">
        <v>299</v>
      </c>
    </row>
    <row r="168" spans="1:11" ht="14.4" customHeight="1" thickBot="1" x14ac:dyDescent="0.35">
      <c r="A168" s="606" t="s">
        <v>459</v>
      </c>
      <c r="B168" s="587">
        <v>319.35007541956901</v>
      </c>
      <c r="C168" s="587">
        <v>308.54507999999998</v>
      </c>
      <c r="D168" s="588">
        <v>-10.804995419568</v>
      </c>
      <c r="E168" s="589">
        <v>0.96616567130700004</v>
      </c>
      <c r="F168" s="587">
        <v>5.0031899383129996</v>
      </c>
      <c r="G168" s="588">
        <v>0.83386498971800005</v>
      </c>
      <c r="H168" s="590">
        <v>4.9406564584124654E-324</v>
      </c>
      <c r="I168" s="587">
        <v>-0.4</v>
      </c>
      <c r="J168" s="588">
        <v>-1.2338649897180001</v>
      </c>
      <c r="K168" s="591">
        <v>-7.9948993528000001E-2</v>
      </c>
    </row>
    <row r="169" spans="1:11" ht="14.4" customHeight="1" thickBot="1" x14ac:dyDescent="0.35">
      <c r="A169" s="607" t="s">
        <v>460</v>
      </c>
      <c r="B169" s="587">
        <v>314.34688548125501</v>
      </c>
      <c r="C169" s="587">
        <v>288.43239</v>
      </c>
      <c r="D169" s="588">
        <v>-25.914495481254999</v>
      </c>
      <c r="E169" s="589">
        <v>0.91756083270300004</v>
      </c>
      <c r="F169" s="587">
        <v>0</v>
      </c>
      <c r="G169" s="588">
        <v>0</v>
      </c>
      <c r="H169" s="590">
        <v>4.9406564584124654E-324</v>
      </c>
      <c r="I169" s="587">
        <v>9.8813129168249309E-324</v>
      </c>
      <c r="J169" s="588">
        <v>9.8813129168249309E-324</v>
      </c>
      <c r="K169" s="598" t="s">
        <v>299</v>
      </c>
    </row>
    <row r="170" spans="1:11" ht="14.4" customHeight="1" thickBot="1" x14ac:dyDescent="0.35">
      <c r="A170" s="608" t="s">
        <v>461</v>
      </c>
      <c r="B170" s="592">
        <v>0</v>
      </c>
      <c r="C170" s="592">
        <v>25.951000000000001</v>
      </c>
      <c r="D170" s="593">
        <v>25.951000000000001</v>
      </c>
      <c r="E170" s="594" t="s">
        <v>299</v>
      </c>
      <c r="F170" s="592">
        <v>0</v>
      </c>
      <c r="G170" s="593">
        <v>0</v>
      </c>
      <c r="H170" s="595">
        <v>4.9406564584124654E-324</v>
      </c>
      <c r="I170" s="592">
        <v>9.8813129168249309E-324</v>
      </c>
      <c r="J170" s="593">
        <v>9.8813129168249309E-324</v>
      </c>
      <c r="K170" s="596" t="s">
        <v>299</v>
      </c>
    </row>
    <row r="171" spans="1:11" ht="14.4" customHeight="1" thickBot="1" x14ac:dyDescent="0.35">
      <c r="A171" s="609" t="s">
        <v>462</v>
      </c>
      <c r="B171" s="587">
        <v>0</v>
      </c>
      <c r="C171" s="587">
        <v>25.951000000000001</v>
      </c>
      <c r="D171" s="588">
        <v>25.951000000000001</v>
      </c>
      <c r="E171" s="597" t="s">
        <v>299</v>
      </c>
      <c r="F171" s="587">
        <v>0</v>
      </c>
      <c r="G171" s="588">
        <v>0</v>
      </c>
      <c r="H171" s="590">
        <v>4.9406564584124654E-324</v>
      </c>
      <c r="I171" s="587">
        <v>9.8813129168249309E-324</v>
      </c>
      <c r="J171" s="588">
        <v>9.8813129168249309E-324</v>
      </c>
      <c r="K171" s="598" t="s">
        <v>299</v>
      </c>
    </row>
    <row r="172" spans="1:11" ht="14.4" customHeight="1" thickBot="1" x14ac:dyDescent="0.35">
      <c r="A172" s="608" t="s">
        <v>463</v>
      </c>
      <c r="B172" s="592">
        <v>314.34688548125501</v>
      </c>
      <c r="C172" s="592">
        <v>262.48138999999998</v>
      </c>
      <c r="D172" s="593">
        <v>-51.865495481255003</v>
      </c>
      <c r="E172" s="599">
        <v>0.83500553726799998</v>
      </c>
      <c r="F172" s="592">
        <v>0</v>
      </c>
      <c r="G172" s="593">
        <v>0</v>
      </c>
      <c r="H172" s="595">
        <v>4.9406564584124654E-324</v>
      </c>
      <c r="I172" s="592">
        <v>9.8813129168249309E-324</v>
      </c>
      <c r="J172" s="593">
        <v>9.8813129168249309E-324</v>
      </c>
      <c r="K172" s="596" t="s">
        <v>299</v>
      </c>
    </row>
    <row r="173" spans="1:11" ht="14.4" customHeight="1" thickBot="1" x14ac:dyDescent="0.35">
      <c r="A173" s="609" t="s">
        <v>464</v>
      </c>
      <c r="B173" s="587">
        <v>0</v>
      </c>
      <c r="C173" s="587">
        <v>70.857579999999999</v>
      </c>
      <c r="D173" s="588">
        <v>70.857579999999999</v>
      </c>
      <c r="E173" s="597" t="s">
        <v>299</v>
      </c>
      <c r="F173" s="587">
        <v>0</v>
      </c>
      <c r="G173" s="588">
        <v>0</v>
      </c>
      <c r="H173" s="590">
        <v>4.9406564584124654E-324</v>
      </c>
      <c r="I173" s="587">
        <v>9.8813129168249309E-324</v>
      </c>
      <c r="J173" s="588">
        <v>9.8813129168249309E-324</v>
      </c>
      <c r="K173" s="598" t="s">
        <v>299</v>
      </c>
    </row>
    <row r="174" spans="1:11" ht="14.4" customHeight="1" thickBot="1" x14ac:dyDescent="0.35">
      <c r="A174" s="609" t="s">
        <v>465</v>
      </c>
      <c r="B174" s="587">
        <v>0</v>
      </c>
      <c r="C174" s="587">
        <v>16.845510000000001</v>
      </c>
      <c r="D174" s="588">
        <v>16.845510000000001</v>
      </c>
      <c r="E174" s="597" t="s">
        <v>299</v>
      </c>
      <c r="F174" s="587">
        <v>0</v>
      </c>
      <c r="G174" s="588">
        <v>0</v>
      </c>
      <c r="H174" s="590">
        <v>4.9406564584124654E-324</v>
      </c>
      <c r="I174" s="587">
        <v>9.8813129168249309E-324</v>
      </c>
      <c r="J174" s="588">
        <v>9.8813129168249309E-324</v>
      </c>
      <c r="K174" s="598" t="s">
        <v>299</v>
      </c>
    </row>
    <row r="175" spans="1:11" ht="14.4" customHeight="1" thickBot="1" x14ac:dyDescent="0.35">
      <c r="A175" s="609" t="s">
        <v>466</v>
      </c>
      <c r="B175" s="587">
        <v>0</v>
      </c>
      <c r="C175" s="587">
        <v>110.69328</v>
      </c>
      <c r="D175" s="588">
        <v>110.69328</v>
      </c>
      <c r="E175" s="597" t="s">
        <v>299</v>
      </c>
      <c r="F175" s="587">
        <v>0</v>
      </c>
      <c r="G175" s="588">
        <v>0</v>
      </c>
      <c r="H175" s="590">
        <v>4.9406564584124654E-324</v>
      </c>
      <c r="I175" s="587">
        <v>9.8813129168249309E-324</v>
      </c>
      <c r="J175" s="588">
        <v>9.8813129168249309E-324</v>
      </c>
      <c r="K175" s="598" t="s">
        <v>299</v>
      </c>
    </row>
    <row r="176" spans="1:11" ht="14.4" customHeight="1" thickBot="1" x14ac:dyDescent="0.35">
      <c r="A176" s="609" t="s">
        <v>467</v>
      </c>
      <c r="B176" s="587">
        <v>0</v>
      </c>
      <c r="C176" s="587">
        <v>64.08502</v>
      </c>
      <c r="D176" s="588">
        <v>64.08502</v>
      </c>
      <c r="E176" s="597" t="s">
        <v>299</v>
      </c>
      <c r="F176" s="587">
        <v>0</v>
      </c>
      <c r="G176" s="588">
        <v>0</v>
      </c>
      <c r="H176" s="590">
        <v>4.9406564584124654E-324</v>
      </c>
      <c r="I176" s="587">
        <v>9.8813129168249309E-324</v>
      </c>
      <c r="J176" s="588">
        <v>9.8813129168249309E-324</v>
      </c>
      <c r="K176" s="598" t="s">
        <v>299</v>
      </c>
    </row>
    <row r="177" spans="1:11" ht="14.4" customHeight="1" thickBot="1" x14ac:dyDescent="0.35">
      <c r="A177" s="612" t="s">
        <v>468</v>
      </c>
      <c r="B177" s="592">
        <v>5.0031899383129996</v>
      </c>
      <c r="C177" s="592">
        <v>20.112690000000001</v>
      </c>
      <c r="D177" s="593">
        <v>15.109500061685999</v>
      </c>
      <c r="E177" s="599">
        <v>4.0199733066250003</v>
      </c>
      <c r="F177" s="592">
        <v>5.0031899383129996</v>
      </c>
      <c r="G177" s="593">
        <v>0.83386498971800005</v>
      </c>
      <c r="H177" s="595">
        <v>4.9406564584124654E-324</v>
      </c>
      <c r="I177" s="592">
        <v>-0.4</v>
      </c>
      <c r="J177" s="593">
        <v>-1.2338649897180001</v>
      </c>
      <c r="K177" s="600">
        <v>-7.9948993528000001E-2</v>
      </c>
    </row>
    <row r="178" spans="1:11" ht="14.4" customHeight="1" thickBot="1" x14ac:dyDescent="0.35">
      <c r="A178" s="608" t="s">
        <v>469</v>
      </c>
      <c r="B178" s="592">
        <v>4.9406564584124654E-324</v>
      </c>
      <c r="C178" s="592">
        <v>0.52</v>
      </c>
      <c r="D178" s="593">
        <v>0.52</v>
      </c>
      <c r="E178" s="594" t="s">
        <v>305</v>
      </c>
      <c r="F178" s="592">
        <v>0</v>
      </c>
      <c r="G178" s="593">
        <v>0</v>
      </c>
      <c r="H178" s="595">
        <v>4.9406564584124654E-324</v>
      </c>
      <c r="I178" s="592">
        <v>-0.4</v>
      </c>
      <c r="J178" s="593">
        <v>-0.4</v>
      </c>
      <c r="K178" s="596" t="s">
        <v>299</v>
      </c>
    </row>
    <row r="179" spans="1:11" ht="14.4" customHeight="1" thickBot="1" x14ac:dyDescent="0.35">
      <c r="A179" s="609" t="s">
        <v>470</v>
      </c>
      <c r="B179" s="587">
        <v>4.9406564584124654E-324</v>
      </c>
      <c r="C179" s="587">
        <v>0.52</v>
      </c>
      <c r="D179" s="588">
        <v>0.52</v>
      </c>
      <c r="E179" s="597" t="s">
        <v>305</v>
      </c>
      <c r="F179" s="587">
        <v>0</v>
      </c>
      <c r="G179" s="588">
        <v>0</v>
      </c>
      <c r="H179" s="590">
        <v>4.9406564584124654E-324</v>
      </c>
      <c r="I179" s="587">
        <v>-0.4</v>
      </c>
      <c r="J179" s="588">
        <v>-0.4</v>
      </c>
      <c r="K179" s="598" t="s">
        <v>299</v>
      </c>
    </row>
    <row r="180" spans="1:11" ht="14.4" customHeight="1" thickBot="1" x14ac:dyDescent="0.35">
      <c r="A180" s="608" t="s">
        <v>471</v>
      </c>
      <c r="B180" s="592">
        <v>0</v>
      </c>
      <c r="C180" s="592">
        <v>1.2</v>
      </c>
      <c r="D180" s="593">
        <v>1.2</v>
      </c>
      <c r="E180" s="594" t="s">
        <v>299</v>
      </c>
      <c r="F180" s="592">
        <v>0</v>
      </c>
      <c r="G180" s="593">
        <v>0</v>
      </c>
      <c r="H180" s="595">
        <v>4.9406564584124654E-324</v>
      </c>
      <c r="I180" s="592">
        <v>9.8813129168249309E-324</v>
      </c>
      <c r="J180" s="593">
        <v>9.8813129168249309E-324</v>
      </c>
      <c r="K180" s="596" t="s">
        <v>299</v>
      </c>
    </row>
    <row r="181" spans="1:11" ht="14.4" customHeight="1" thickBot="1" x14ac:dyDescent="0.35">
      <c r="A181" s="609" t="s">
        <v>472</v>
      </c>
      <c r="B181" s="587">
        <v>4.9406564584124654E-324</v>
      </c>
      <c r="C181" s="587">
        <v>1.2</v>
      </c>
      <c r="D181" s="588">
        <v>1.2</v>
      </c>
      <c r="E181" s="597" t="s">
        <v>305</v>
      </c>
      <c r="F181" s="587">
        <v>0</v>
      </c>
      <c r="G181" s="588">
        <v>0</v>
      </c>
      <c r="H181" s="590">
        <v>4.9406564584124654E-324</v>
      </c>
      <c r="I181" s="587">
        <v>9.8813129168249309E-324</v>
      </c>
      <c r="J181" s="588">
        <v>9.8813129168249309E-324</v>
      </c>
      <c r="K181" s="598" t="s">
        <v>299</v>
      </c>
    </row>
    <row r="182" spans="1:11" ht="14.4" customHeight="1" thickBot="1" x14ac:dyDescent="0.35">
      <c r="A182" s="608" t="s">
        <v>473</v>
      </c>
      <c r="B182" s="592">
        <v>5.0031899383129996</v>
      </c>
      <c r="C182" s="592">
        <v>12.602690000000001</v>
      </c>
      <c r="D182" s="593">
        <v>7.5995000616860002</v>
      </c>
      <c r="E182" s="599">
        <v>2.5189309531280002</v>
      </c>
      <c r="F182" s="592">
        <v>5.0031899383129996</v>
      </c>
      <c r="G182" s="593">
        <v>0.83386498971800005</v>
      </c>
      <c r="H182" s="595">
        <v>4.9406564584124654E-324</v>
      </c>
      <c r="I182" s="592">
        <v>9.8813129168249309E-324</v>
      </c>
      <c r="J182" s="593">
        <v>-0.83386498971800005</v>
      </c>
      <c r="K182" s="600">
        <v>0</v>
      </c>
    </row>
    <row r="183" spans="1:11" ht="14.4" customHeight="1" thickBot="1" x14ac:dyDescent="0.35">
      <c r="A183" s="609" t="s">
        <v>474</v>
      </c>
      <c r="B183" s="587">
        <v>0</v>
      </c>
      <c r="C183" s="587">
        <v>0.20599999999999999</v>
      </c>
      <c r="D183" s="588">
        <v>0.20599999999999999</v>
      </c>
      <c r="E183" s="597" t="s">
        <v>299</v>
      </c>
      <c r="F183" s="587">
        <v>0</v>
      </c>
      <c r="G183" s="588">
        <v>0</v>
      </c>
      <c r="H183" s="590">
        <v>4.9406564584124654E-324</v>
      </c>
      <c r="I183" s="587">
        <v>9.8813129168249309E-324</v>
      </c>
      <c r="J183" s="588">
        <v>9.8813129168249309E-324</v>
      </c>
      <c r="K183" s="598" t="s">
        <v>299</v>
      </c>
    </row>
    <row r="184" spans="1:11" ht="14.4" customHeight="1" thickBot="1" x14ac:dyDescent="0.35">
      <c r="A184" s="609" t="s">
        <v>475</v>
      </c>
      <c r="B184" s="587">
        <v>5.0031899383129996</v>
      </c>
      <c r="C184" s="587">
        <v>12.39669</v>
      </c>
      <c r="D184" s="588">
        <v>7.3935000616859998</v>
      </c>
      <c r="E184" s="589">
        <v>2.4777572214610002</v>
      </c>
      <c r="F184" s="587">
        <v>5.0031899383129996</v>
      </c>
      <c r="G184" s="588">
        <v>0.83386498971800005</v>
      </c>
      <c r="H184" s="590">
        <v>4.9406564584124654E-324</v>
      </c>
      <c r="I184" s="587">
        <v>9.8813129168249309E-324</v>
      </c>
      <c r="J184" s="588">
        <v>-0.83386498971800005</v>
      </c>
      <c r="K184" s="591">
        <v>0</v>
      </c>
    </row>
    <row r="185" spans="1:11" ht="14.4" customHeight="1" thickBot="1" x14ac:dyDescent="0.35">
      <c r="A185" s="608" t="s">
        <v>476</v>
      </c>
      <c r="B185" s="592">
        <v>0</v>
      </c>
      <c r="C185" s="592">
        <v>5.79</v>
      </c>
      <c r="D185" s="593">
        <v>5.79</v>
      </c>
      <c r="E185" s="594" t="s">
        <v>299</v>
      </c>
      <c r="F185" s="592">
        <v>0</v>
      </c>
      <c r="G185" s="593">
        <v>0</v>
      </c>
      <c r="H185" s="595">
        <v>4.9406564584124654E-324</v>
      </c>
      <c r="I185" s="592">
        <v>9.8813129168249309E-324</v>
      </c>
      <c r="J185" s="593">
        <v>9.8813129168249309E-324</v>
      </c>
      <c r="K185" s="596" t="s">
        <v>299</v>
      </c>
    </row>
    <row r="186" spans="1:11" ht="14.4" customHeight="1" thickBot="1" x14ac:dyDescent="0.35">
      <c r="A186" s="609" t="s">
        <v>477</v>
      </c>
      <c r="B186" s="587">
        <v>0</v>
      </c>
      <c r="C186" s="587">
        <v>5.79</v>
      </c>
      <c r="D186" s="588">
        <v>5.79</v>
      </c>
      <c r="E186" s="597" t="s">
        <v>299</v>
      </c>
      <c r="F186" s="587">
        <v>0</v>
      </c>
      <c r="G186" s="588">
        <v>0</v>
      </c>
      <c r="H186" s="590">
        <v>4.9406564584124654E-324</v>
      </c>
      <c r="I186" s="587">
        <v>9.8813129168249309E-324</v>
      </c>
      <c r="J186" s="588">
        <v>9.8813129168249309E-324</v>
      </c>
      <c r="K186" s="598" t="s">
        <v>299</v>
      </c>
    </row>
    <row r="187" spans="1:11" ht="14.4" customHeight="1" thickBot="1" x14ac:dyDescent="0.35">
      <c r="A187" s="606" t="s">
        <v>478</v>
      </c>
      <c r="B187" s="587">
        <v>4.9406564584124654E-324</v>
      </c>
      <c r="C187" s="587">
        <v>2.1299999999999999E-3</v>
      </c>
      <c r="D187" s="588">
        <v>2.1299999999999999E-3</v>
      </c>
      <c r="E187" s="597" t="s">
        <v>305</v>
      </c>
      <c r="F187" s="587">
        <v>4.9406564584124654E-324</v>
      </c>
      <c r="G187" s="588">
        <v>0</v>
      </c>
      <c r="H187" s="590">
        <v>4.9406564584124654E-324</v>
      </c>
      <c r="I187" s="587">
        <v>9.8813129168249309E-324</v>
      </c>
      <c r="J187" s="588">
        <v>9.8813129168249309E-324</v>
      </c>
      <c r="K187" s="591">
        <v>2</v>
      </c>
    </row>
    <row r="188" spans="1:11" ht="14.4" customHeight="1" thickBot="1" x14ac:dyDescent="0.35">
      <c r="A188" s="612" t="s">
        <v>479</v>
      </c>
      <c r="B188" s="592">
        <v>4.9406564584124654E-324</v>
      </c>
      <c r="C188" s="592">
        <v>2.1299999999999999E-3</v>
      </c>
      <c r="D188" s="593">
        <v>2.1299999999999999E-3</v>
      </c>
      <c r="E188" s="594" t="s">
        <v>305</v>
      </c>
      <c r="F188" s="592">
        <v>4.9406564584124654E-324</v>
      </c>
      <c r="G188" s="593">
        <v>0</v>
      </c>
      <c r="H188" s="595">
        <v>4.9406564584124654E-324</v>
      </c>
      <c r="I188" s="592">
        <v>9.8813129168249309E-324</v>
      </c>
      <c r="J188" s="593">
        <v>9.8813129168249309E-324</v>
      </c>
      <c r="K188" s="600">
        <v>2</v>
      </c>
    </row>
    <row r="189" spans="1:11" ht="14.4" customHeight="1" thickBot="1" x14ac:dyDescent="0.35">
      <c r="A189" s="608" t="s">
        <v>480</v>
      </c>
      <c r="B189" s="592">
        <v>4.9406564584124654E-324</v>
      </c>
      <c r="C189" s="592">
        <v>2.1299999999999999E-3</v>
      </c>
      <c r="D189" s="593">
        <v>2.1299999999999999E-3</v>
      </c>
      <c r="E189" s="594" t="s">
        <v>305</v>
      </c>
      <c r="F189" s="592">
        <v>4.9406564584124654E-324</v>
      </c>
      <c r="G189" s="593">
        <v>0</v>
      </c>
      <c r="H189" s="595">
        <v>4.9406564584124654E-324</v>
      </c>
      <c r="I189" s="592">
        <v>9.8813129168249309E-324</v>
      </c>
      <c r="J189" s="593">
        <v>9.8813129168249309E-324</v>
      </c>
      <c r="K189" s="600">
        <v>2</v>
      </c>
    </row>
    <row r="190" spans="1:11" ht="14.4" customHeight="1" thickBot="1" x14ac:dyDescent="0.35">
      <c r="A190" s="609" t="s">
        <v>481</v>
      </c>
      <c r="B190" s="587">
        <v>4.9406564584124654E-324</v>
      </c>
      <c r="C190" s="587">
        <v>2.1299999999999999E-3</v>
      </c>
      <c r="D190" s="588">
        <v>2.1299999999999999E-3</v>
      </c>
      <c r="E190" s="597" t="s">
        <v>305</v>
      </c>
      <c r="F190" s="587">
        <v>4.9406564584124654E-324</v>
      </c>
      <c r="G190" s="588">
        <v>0</v>
      </c>
      <c r="H190" s="590">
        <v>4.9406564584124654E-324</v>
      </c>
      <c r="I190" s="587">
        <v>9.8813129168249309E-324</v>
      </c>
      <c r="J190" s="588">
        <v>9.8813129168249309E-324</v>
      </c>
      <c r="K190" s="591">
        <v>2</v>
      </c>
    </row>
    <row r="191" spans="1:11" ht="14.4" customHeight="1" thickBot="1" x14ac:dyDescent="0.35">
      <c r="A191" s="605" t="s">
        <v>482</v>
      </c>
      <c r="B191" s="587">
        <v>4932.3596660015401</v>
      </c>
      <c r="C191" s="587">
        <v>4986.68361</v>
      </c>
      <c r="D191" s="588">
        <v>54.323943998459001</v>
      </c>
      <c r="E191" s="589">
        <v>1.011013784005</v>
      </c>
      <c r="F191" s="587">
        <v>4861.0141763538404</v>
      </c>
      <c r="G191" s="588">
        <v>810.16902939230704</v>
      </c>
      <c r="H191" s="590">
        <v>405.25518</v>
      </c>
      <c r="I191" s="587">
        <v>847.50468000000001</v>
      </c>
      <c r="J191" s="588">
        <v>37.335650607692997</v>
      </c>
      <c r="K191" s="591">
        <v>0.17434729652100001</v>
      </c>
    </row>
    <row r="192" spans="1:11" ht="14.4" customHeight="1" thickBot="1" x14ac:dyDescent="0.35">
      <c r="A192" s="610" t="s">
        <v>483</v>
      </c>
      <c r="B192" s="592">
        <v>4932.3596660015401</v>
      </c>
      <c r="C192" s="592">
        <v>4986.68361</v>
      </c>
      <c r="D192" s="593">
        <v>54.323943998459001</v>
      </c>
      <c r="E192" s="599">
        <v>1.011013784005</v>
      </c>
      <c r="F192" s="592">
        <v>4861.0141763538404</v>
      </c>
      <c r="G192" s="593">
        <v>810.16902939230704</v>
      </c>
      <c r="H192" s="595">
        <v>405.25518</v>
      </c>
      <c r="I192" s="592">
        <v>847.50468000000001</v>
      </c>
      <c r="J192" s="593">
        <v>37.335650607692997</v>
      </c>
      <c r="K192" s="600">
        <v>0.17434729652100001</v>
      </c>
    </row>
    <row r="193" spans="1:11" ht="14.4" customHeight="1" thickBot="1" x14ac:dyDescent="0.35">
      <c r="A193" s="612" t="s">
        <v>57</v>
      </c>
      <c r="B193" s="592">
        <v>4932.3596660015401</v>
      </c>
      <c r="C193" s="592">
        <v>4986.68361</v>
      </c>
      <c r="D193" s="593">
        <v>54.323943998459001</v>
      </c>
      <c r="E193" s="599">
        <v>1.011013784005</v>
      </c>
      <c r="F193" s="592">
        <v>4861.0141763538404</v>
      </c>
      <c r="G193" s="593">
        <v>810.16902939230704</v>
      </c>
      <c r="H193" s="595">
        <v>405.25518</v>
      </c>
      <c r="I193" s="592">
        <v>847.50468000000001</v>
      </c>
      <c r="J193" s="593">
        <v>37.335650607692997</v>
      </c>
      <c r="K193" s="600">
        <v>0.17434729652100001</v>
      </c>
    </row>
    <row r="194" spans="1:11" ht="14.4" customHeight="1" thickBot="1" x14ac:dyDescent="0.35">
      <c r="A194" s="608" t="s">
        <v>484</v>
      </c>
      <c r="B194" s="592">
        <v>57.999999999998998</v>
      </c>
      <c r="C194" s="592">
        <v>87.021000000000001</v>
      </c>
      <c r="D194" s="593">
        <v>29.021000000000001</v>
      </c>
      <c r="E194" s="599">
        <v>1.5003620689649999</v>
      </c>
      <c r="F194" s="592">
        <v>62</v>
      </c>
      <c r="G194" s="593">
        <v>10.333333333333</v>
      </c>
      <c r="H194" s="595">
        <v>7.3397500000000004</v>
      </c>
      <c r="I194" s="592">
        <v>14.679500000000001</v>
      </c>
      <c r="J194" s="593">
        <v>4.3461666666659999</v>
      </c>
      <c r="K194" s="600">
        <v>0.23676612903200001</v>
      </c>
    </row>
    <row r="195" spans="1:11" ht="14.4" customHeight="1" thickBot="1" x14ac:dyDescent="0.35">
      <c r="A195" s="609" t="s">
        <v>485</v>
      </c>
      <c r="B195" s="587">
        <v>57.999999999998998</v>
      </c>
      <c r="C195" s="587">
        <v>87.021000000000001</v>
      </c>
      <c r="D195" s="588">
        <v>29.021000000000001</v>
      </c>
      <c r="E195" s="589">
        <v>1.5003620689649999</v>
      </c>
      <c r="F195" s="587">
        <v>62</v>
      </c>
      <c r="G195" s="588">
        <v>10.333333333333</v>
      </c>
      <c r="H195" s="590">
        <v>7.3397500000000004</v>
      </c>
      <c r="I195" s="587">
        <v>14.679500000000001</v>
      </c>
      <c r="J195" s="588">
        <v>4.3461666666659999</v>
      </c>
      <c r="K195" s="591">
        <v>0.23676612903200001</v>
      </c>
    </row>
    <row r="196" spans="1:11" ht="14.4" customHeight="1" thickBot="1" x14ac:dyDescent="0.35">
      <c r="A196" s="608" t="s">
        <v>486</v>
      </c>
      <c r="B196" s="592">
        <v>221.00709446844499</v>
      </c>
      <c r="C196" s="592">
        <v>98.626000000000005</v>
      </c>
      <c r="D196" s="593">
        <v>-122.381094468445</v>
      </c>
      <c r="E196" s="599">
        <v>0.44625716761299999</v>
      </c>
      <c r="F196" s="592">
        <v>100.014176353842</v>
      </c>
      <c r="G196" s="593">
        <v>16.669029392306999</v>
      </c>
      <c r="H196" s="595">
        <v>8.3379999999999992</v>
      </c>
      <c r="I196" s="592">
        <v>16.763000000000002</v>
      </c>
      <c r="J196" s="593">
        <v>9.3970607693000002E-2</v>
      </c>
      <c r="K196" s="600">
        <v>0.16760623954600001</v>
      </c>
    </row>
    <row r="197" spans="1:11" ht="14.4" customHeight="1" thickBot="1" x14ac:dyDescent="0.35">
      <c r="A197" s="609" t="s">
        <v>487</v>
      </c>
      <c r="B197" s="587">
        <v>221.00709446844499</v>
      </c>
      <c r="C197" s="587">
        <v>98.626000000000005</v>
      </c>
      <c r="D197" s="588">
        <v>-122.381094468445</v>
      </c>
      <c r="E197" s="589">
        <v>0.44625716761299999</v>
      </c>
      <c r="F197" s="587">
        <v>100.014176353842</v>
      </c>
      <c r="G197" s="588">
        <v>16.669029392306999</v>
      </c>
      <c r="H197" s="590">
        <v>8.3379999999999992</v>
      </c>
      <c r="I197" s="587">
        <v>16.763000000000002</v>
      </c>
      <c r="J197" s="588">
        <v>9.3970607693000002E-2</v>
      </c>
      <c r="K197" s="591">
        <v>0.16760623954600001</v>
      </c>
    </row>
    <row r="198" spans="1:11" ht="14.4" customHeight="1" thickBot="1" x14ac:dyDescent="0.35">
      <c r="A198" s="608" t="s">
        <v>488</v>
      </c>
      <c r="B198" s="592">
        <v>1147.35257153314</v>
      </c>
      <c r="C198" s="592">
        <v>1156.0526</v>
      </c>
      <c r="D198" s="593">
        <v>8.7000284668570007</v>
      </c>
      <c r="E198" s="599">
        <v>1.0075826983630001</v>
      </c>
      <c r="F198" s="592">
        <v>1261</v>
      </c>
      <c r="G198" s="593">
        <v>210.166666666667</v>
      </c>
      <c r="H198" s="595">
        <v>97.353700000000003</v>
      </c>
      <c r="I198" s="592">
        <v>197.81950000000001</v>
      </c>
      <c r="J198" s="593">
        <v>-12.347166666666</v>
      </c>
      <c r="K198" s="600">
        <v>0.15687509912700001</v>
      </c>
    </row>
    <row r="199" spans="1:11" ht="14.4" customHeight="1" thickBot="1" x14ac:dyDescent="0.35">
      <c r="A199" s="609" t="s">
        <v>489</v>
      </c>
      <c r="B199" s="587">
        <v>1147.35257153314</v>
      </c>
      <c r="C199" s="587">
        <v>1156.0526</v>
      </c>
      <c r="D199" s="588">
        <v>8.7000284668570007</v>
      </c>
      <c r="E199" s="589">
        <v>1.0075826983630001</v>
      </c>
      <c r="F199" s="587">
        <v>1261</v>
      </c>
      <c r="G199" s="588">
        <v>210.166666666667</v>
      </c>
      <c r="H199" s="590">
        <v>97.353700000000003</v>
      </c>
      <c r="I199" s="587">
        <v>197.81950000000001</v>
      </c>
      <c r="J199" s="588">
        <v>-12.347166666666</v>
      </c>
      <c r="K199" s="591">
        <v>0.15687509912700001</v>
      </c>
    </row>
    <row r="200" spans="1:11" ht="14.4" customHeight="1" thickBot="1" x14ac:dyDescent="0.35">
      <c r="A200" s="608" t="s">
        <v>490</v>
      </c>
      <c r="B200" s="592">
        <v>0</v>
      </c>
      <c r="C200" s="592">
        <v>4.5410000000000004</v>
      </c>
      <c r="D200" s="593">
        <v>4.5410000000000004</v>
      </c>
      <c r="E200" s="594" t="s">
        <v>299</v>
      </c>
      <c r="F200" s="592">
        <v>4.9406564584124654E-324</v>
      </c>
      <c r="G200" s="593">
        <v>0</v>
      </c>
      <c r="H200" s="595">
        <v>0.80800000000000005</v>
      </c>
      <c r="I200" s="592">
        <v>0.998</v>
      </c>
      <c r="J200" s="593">
        <v>0.998</v>
      </c>
      <c r="K200" s="596" t="s">
        <v>305</v>
      </c>
    </row>
    <row r="201" spans="1:11" ht="14.4" customHeight="1" thickBot="1" x14ac:dyDescent="0.35">
      <c r="A201" s="609" t="s">
        <v>491</v>
      </c>
      <c r="B201" s="587">
        <v>0</v>
      </c>
      <c r="C201" s="587">
        <v>4.5410000000000004</v>
      </c>
      <c r="D201" s="588">
        <v>4.5410000000000004</v>
      </c>
      <c r="E201" s="597" t="s">
        <v>299</v>
      </c>
      <c r="F201" s="587">
        <v>4.9406564584124654E-324</v>
      </c>
      <c r="G201" s="588">
        <v>0</v>
      </c>
      <c r="H201" s="590">
        <v>0.80800000000000005</v>
      </c>
      <c r="I201" s="587">
        <v>0.998</v>
      </c>
      <c r="J201" s="588">
        <v>0.998</v>
      </c>
      <c r="K201" s="598" t="s">
        <v>305</v>
      </c>
    </row>
    <row r="202" spans="1:11" ht="14.4" customHeight="1" thickBot="1" x14ac:dyDescent="0.35">
      <c r="A202" s="608" t="s">
        <v>492</v>
      </c>
      <c r="B202" s="592">
        <v>784.99999999999</v>
      </c>
      <c r="C202" s="592">
        <v>696.22340999999994</v>
      </c>
      <c r="D202" s="593">
        <v>-88.776589999989</v>
      </c>
      <c r="E202" s="599">
        <v>0.886908802547</v>
      </c>
      <c r="F202" s="592">
        <v>976</v>
      </c>
      <c r="G202" s="593">
        <v>162.666666666667</v>
      </c>
      <c r="H202" s="595">
        <v>43.032440000000001</v>
      </c>
      <c r="I202" s="592">
        <v>99.630300000000005</v>
      </c>
      <c r="J202" s="593">
        <v>-63.036366666665998</v>
      </c>
      <c r="K202" s="600">
        <v>0.102080225409</v>
      </c>
    </row>
    <row r="203" spans="1:11" ht="14.4" customHeight="1" thickBot="1" x14ac:dyDescent="0.35">
      <c r="A203" s="609" t="s">
        <v>493</v>
      </c>
      <c r="B203" s="587">
        <v>784.99999999999</v>
      </c>
      <c r="C203" s="587">
        <v>696.07509000000005</v>
      </c>
      <c r="D203" s="588">
        <v>-88.924909999988998</v>
      </c>
      <c r="E203" s="589">
        <v>0.88671985987199997</v>
      </c>
      <c r="F203" s="587">
        <v>968</v>
      </c>
      <c r="G203" s="588">
        <v>161.333333333333</v>
      </c>
      <c r="H203" s="590">
        <v>42.355829999999997</v>
      </c>
      <c r="I203" s="587">
        <v>98.277079999999998</v>
      </c>
      <c r="J203" s="588">
        <v>-63.056253333332997</v>
      </c>
      <c r="K203" s="591">
        <v>0.10152590909</v>
      </c>
    </row>
    <row r="204" spans="1:11" ht="14.4" customHeight="1" thickBot="1" x14ac:dyDescent="0.35">
      <c r="A204" s="609" t="s">
        <v>494</v>
      </c>
      <c r="B204" s="587">
        <v>0</v>
      </c>
      <c r="C204" s="587">
        <v>0.14832000000000001</v>
      </c>
      <c r="D204" s="588">
        <v>0.14832000000000001</v>
      </c>
      <c r="E204" s="597" t="s">
        <v>299</v>
      </c>
      <c r="F204" s="587">
        <v>8</v>
      </c>
      <c r="G204" s="588">
        <v>1.333333333333</v>
      </c>
      <c r="H204" s="590">
        <v>0.67661000000000004</v>
      </c>
      <c r="I204" s="587">
        <v>1.3532200000000001</v>
      </c>
      <c r="J204" s="588">
        <v>1.9886666665999999E-2</v>
      </c>
      <c r="K204" s="591">
        <v>0.16915250000000001</v>
      </c>
    </row>
    <row r="205" spans="1:11" ht="14.4" customHeight="1" thickBot="1" x14ac:dyDescent="0.35">
      <c r="A205" s="608" t="s">
        <v>495</v>
      </c>
      <c r="B205" s="592">
        <v>0</v>
      </c>
      <c r="C205" s="592">
        <v>557.37347999999997</v>
      </c>
      <c r="D205" s="593">
        <v>557.37347999999997</v>
      </c>
      <c r="E205" s="594" t="s">
        <v>299</v>
      </c>
      <c r="F205" s="592">
        <v>4.9406564584124654E-324</v>
      </c>
      <c r="G205" s="593">
        <v>0</v>
      </c>
      <c r="H205" s="595">
        <v>45.089129999999997</v>
      </c>
      <c r="I205" s="592">
        <v>102.01027999999999</v>
      </c>
      <c r="J205" s="593">
        <v>102.01027999999999</v>
      </c>
      <c r="K205" s="596" t="s">
        <v>305</v>
      </c>
    </row>
    <row r="206" spans="1:11" ht="14.4" customHeight="1" thickBot="1" x14ac:dyDescent="0.35">
      <c r="A206" s="609" t="s">
        <v>496</v>
      </c>
      <c r="B206" s="587">
        <v>0</v>
      </c>
      <c r="C206" s="587">
        <v>557.37347999999997</v>
      </c>
      <c r="D206" s="588">
        <v>557.37347999999997</v>
      </c>
      <c r="E206" s="597" t="s">
        <v>299</v>
      </c>
      <c r="F206" s="587">
        <v>4.9406564584124654E-324</v>
      </c>
      <c r="G206" s="588">
        <v>0</v>
      </c>
      <c r="H206" s="590">
        <v>45.089129999999997</v>
      </c>
      <c r="I206" s="587">
        <v>102.01027999999999</v>
      </c>
      <c r="J206" s="588">
        <v>102.01027999999999</v>
      </c>
      <c r="K206" s="598" t="s">
        <v>305</v>
      </c>
    </row>
    <row r="207" spans="1:11" ht="14.4" customHeight="1" thickBot="1" x14ac:dyDescent="0.35">
      <c r="A207" s="608" t="s">
        <v>497</v>
      </c>
      <c r="B207" s="592">
        <v>2720.99999999996</v>
      </c>
      <c r="C207" s="592">
        <v>2386.8461200000002</v>
      </c>
      <c r="D207" s="593">
        <v>-334.15387999996398</v>
      </c>
      <c r="E207" s="599">
        <v>0.87719445791899997</v>
      </c>
      <c r="F207" s="592">
        <v>2462</v>
      </c>
      <c r="G207" s="593">
        <v>410.33333333333297</v>
      </c>
      <c r="H207" s="595">
        <v>203.29416000000001</v>
      </c>
      <c r="I207" s="592">
        <v>415.60410000000002</v>
      </c>
      <c r="J207" s="593">
        <v>5.2707666666659998</v>
      </c>
      <c r="K207" s="600">
        <v>0.16880751421599999</v>
      </c>
    </row>
    <row r="208" spans="1:11" ht="14.4" customHeight="1" thickBot="1" x14ac:dyDescent="0.35">
      <c r="A208" s="609" t="s">
        <v>498</v>
      </c>
      <c r="B208" s="587">
        <v>2720.99999999996</v>
      </c>
      <c r="C208" s="587">
        <v>2386.8461200000002</v>
      </c>
      <c r="D208" s="588">
        <v>-334.15387999996398</v>
      </c>
      <c r="E208" s="589">
        <v>0.87719445791899997</v>
      </c>
      <c r="F208" s="587">
        <v>2462</v>
      </c>
      <c r="G208" s="588">
        <v>410.33333333333297</v>
      </c>
      <c r="H208" s="590">
        <v>203.29416000000001</v>
      </c>
      <c r="I208" s="587">
        <v>415.60410000000002</v>
      </c>
      <c r="J208" s="588">
        <v>5.2707666666659998</v>
      </c>
      <c r="K208" s="591">
        <v>0.16880751421599999</v>
      </c>
    </row>
    <row r="209" spans="1:11" ht="14.4" customHeight="1" thickBot="1" x14ac:dyDescent="0.35">
      <c r="A209" s="613"/>
      <c r="B209" s="587">
        <v>-16037.082669318201</v>
      </c>
      <c r="C209" s="587">
        <v>-19133.746179999998</v>
      </c>
      <c r="D209" s="588">
        <v>-3096.6635106818499</v>
      </c>
      <c r="E209" s="589">
        <v>1.1930939419919999</v>
      </c>
      <c r="F209" s="587">
        <v>-14905.9806215236</v>
      </c>
      <c r="G209" s="588">
        <v>-2484.3301035872601</v>
      </c>
      <c r="H209" s="590">
        <v>-1291.5461700000001</v>
      </c>
      <c r="I209" s="587">
        <v>-2890.87493000001</v>
      </c>
      <c r="J209" s="588">
        <v>-406.54482641275399</v>
      </c>
      <c r="K209" s="591">
        <v>0.193940607022</v>
      </c>
    </row>
    <row r="210" spans="1:11" ht="14.4" customHeight="1" thickBot="1" x14ac:dyDescent="0.35">
      <c r="A210" s="614" t="s">
        <v>69</v>
      </c>
      <c r="B210" s="601">
        <v>-16037.082669318201</v>
      </c>
      <c r="C210" s="601">
        <v>-19133.746179999998</v>
      </c>
      <c r="D210" s="602">
        <v>-3096.6635106817798</v>
      </c>
      <c r="E210" s="603">
        <v>-1.1292132370470001</v>
      </c>
      <c r="F210" s="601">
        <v>-14905.9806215236</v>
      </c>
      <c r="G210" s="602">
        <v>-2484.3301035872601</v>
      </c>
      <c r="H210" s="601">
        <v>-1291.5461700000001</v>
      </c>
      <c r="I210" s="601">
        <v>-2890.87493000001</v>
      </c>
      <c r="J210" s="602">
        <v>-406.54482641275399</v>
      </c>
      <c r="K210" s="604">
        <v>0.193940607022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1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4" width="12.77734375" style="345" bestFit="1" customWidth="1"/>
    <col min="5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8" ht="18.600000000000001" customHeight="1" thickBot="1" x14ac:dyDescent="0.4">
      <c r="A1" s="486" t="s">
        <v>180</v>
      </c>
      <c r="B1" s="487"/>
      <c r="C1" s="487"/>
      <c r="D1" s="487"/>
      <c r="E1" s="487"/>
      <c r="F1" s="487"/>
      <c r="G1" s="463"/>
    </row>
    <row r="2" spans="1:8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8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213</v>
      </c>
      <c r="E3" s="211" t="s">
        <v>4</v>
      </c>
      <c r="F3" s="211" t="s">
        <v>5</v>
      </c>
      <c r="G3" s="212" t="s">
        <v>188</v>
      </c>
    </row>
    <row r="4" spans="1:8" ht="14.4" customHeight="1" x14ac:dyDescent="0.3">
      <c r="A4" s="615" t="s">
        <v>499</v>
      </c>
      <c r="B4" s="616" t="s">
        <v>500</v>
      </c>
      <c r="C4" s="617" t="s">
        <v>501</v>
      </c>
      <c r="D4" s="617" t="s">
        <v>500</v>
      </c>
      <c r="E4" s="617" t="s">
        <v>500</v>
      </c>
      <c r="F4" s="618" t="s">
        <v>500</v>
      </c>
      <c r="G4" s="617" t="s">
        <v>500</v>
      </c>
      <c r="H4" s="617" t="s">
        <v>77</v>
      </c>
    </row>
    <row r="5" spans="1:8" ht="14.4" customHeight="1" x14ac:dyDescent="0.3">
      <c r="A5" s="615" t="s">
        <v>499</v>
      </c>
      <c r="B5" s="616" t="s">
        <v>502</v>
      </c>
      <c r="C5" s="617" t="s">
        <v>503</v>
      </c>
      <c r="D5" s="617">
        <v>305857.27637910703</v>
      </c>
      <c r="E5" s="617">
        <v>292275.5710466021</v>
      </c>
      <c r="F5" s="618">
        <v>0.95559463062872974</v>
      </c>
      <c r="G5" s="617">
        <v>-13581.705332504935</v>
      </c>
      <c r="H5" s="617" t="s">
        <v>2</v>
      </c>
    </row>
    <row r="6" spans="1:8" ht="14.4" customHeight="1" x14ac:dyDescent="0.3">
      <c r="A6" s="615" t="s">
        <v>499</v>
      </c>
      <c r="B6" s="616" t="s">
        <v>504</v>
      </c>
      <c r="C6" s="617" t="s">
        <v>505</v>
      </c>
      <c r="D6" s="617">
        <v>30960.593536392666</v>
      </c>
      <c r="E6" s="617">
        <v>23541.237647480702</v>
      </c>
      <c r="F6" s="618">
        <v>0.76036131606485924</v>
      </c>
      <c r="G6" s="617">
        <v>-7419.3558889119631</v>
      </c>
      <c r="H6" s="617" t="s">
        <v>2</v>
      </c>
    </row>
    <row r="7" spans="1:8" ht="14.4" customHeight="1" x14ac:dyDescent="0.3">
      <c r="A7" s="615" t="s">
        <v>499</v>
      </c>
      <c r="B7" s="616" t="s">
        <v>506</v>
      </c>
      <c r="C7" s="617" t="s">
        <v>507</v>
      </c>
      <c r="D7" s="617">
        <v>61340.292650472351</v>
      </c>
      <c r="E7" s="617">
        <v>39734.511171673003</v>
      </c>
      <c r="F7" s="618">
        <v>0.64777179003835461</v>
      </c>
      <c r="G7" s="617">
        <v>-21605.781478799348</v>
      </c>
      <c r="H7" s="617" t="s">
        <v>2</v>
      </c>
    </row>
    <row r="8" spans="1:8" ht="14.4" customHeight="1" x14ac:dyDescent="0.3">
      <c r="A8" s="615" t="s">
        <v>499</v>
      </c>
      <c r="B8" s="616" t="s">
        <v>508</v>
      </c>
      <c r="C8" s="617" t="s">
        <v>509</v>
      </c>
      <c r="D8" s="617">
        <v>8917.2599436123655</v>
      </c>
      <c r="E8" s="617">
        <v>10167.209758562693</v>
      </c>
      <c r="F8" s="618">
        <v>1.1401719612139034</v>
      </c>
      <c r="G8" s="617">
        <v>1249.949814950327</v>
      </c>
      <c r="H8" s="617" t="s">
        <v>2</v>
      </c>
    </row>
    <row r="9" spans="1:8" ht="14.4" customHeight="1" x14ac:dyDescent="0.3">
      <c r="A9" s="615" t="s">
        <v>499</v>
      </c>
      <c r="B9" s="616" t="s">
        <v>6</v>
      </c>
      <c r="C9" s="617" t="s">
        <v>501</v>
      </c>
      <c r="D9" s="617">
        <v>407075.4225095844</v>
      </c>
      <c r="E9" s="617">
        <v>365718.52962431847</v>
      </c>
      <c r="F9" s="618">
        <v>0.89840483950049277</v>
      </c>
      <c r="G9" s="617">
        <v>-41356.89288526593</v>
      </c>
      <c r="H9" s="617" t="s">
        <v>510</v>
      </c>
    </row>
    <row r="11" spans="1:8" ht="14.4" customHeight="1" x14ac:dyDescent="0.3">
      <c r="A11" s="615" t="s">
        <v>499</v>
      </c>
      <c r="B11" s="616" t="s">
        <v>500</v>
      </c>
      <c r="C11" s="617" t="s">
        <v>501</v>
      </c>
      <c r="D11" s="617" t="s">
        <v>500</v>
      </c>
      <c r="E11" s="617" t="s">
        <v>500</v>
      </c>
      <c r="F11" s="618" t="s">
        <v>500</v>
      </c>
      <c r="G11" s="617" t="s">
        <v>500</v>
      </c>
      <c r="H11" s="617" t="s">
        <v>77</v>
      </c>
    </row>
    <row r="12" spans="1:8" ht="14.4" customHeight="1" x14ac:dyDescent="0.3">
      <c r="A12" s="615" t="s">
        <v>511</v>
      </c>
      <c r="B12" s="616" t="s">
        <v>502</v>
      </c>
      <c r="C12" s="617" t="s">
        <v>503</v>
      </c>
      <c r="D12" s="617">
        <v>301315.970652905</v>
      </c>
      <c r="E12" s="617">
        <v>288289.54894227412</v>
      </c>
      <c r="F12" s="618">
        <v>0.95676823341821327</v>
      </c>
      <c r="G12" s="617">
        <v>-13026.421710630879</v>
      </c>
      <c r="H12" s="617" t="s">
        <v>2</v>
      </c>
    </row>
    <row r="13" spans="1:8" ht="14.4" customHeight="1" x14ac:dyDescent="0.3">
      <c r="A13" s="615" t="s">
        <v>511</v>
      </c>
      <c r="B13" s="616" t="s">
        <v>504</v>
      </c>
      <c r="C13" s="617" t="s">
        <v>505</v>
      </c>
      <c r="D13" s="617">
        <v>30960.593536392666</v>
      </c>
      <c r="E13" s="617">
        <v>23541.237647480702</v>
      </c>
      <c r="F13" s="618">
        <v>0.76036131606485924</v>
      </c>
      <c r="G13" s="617">
        <v>-7419.3558889119631</v>
      </c>
      <c r="H13" s="617" t="s">
        <v>2</v>
      </c>
    </row>
    <row r="14" spans="1:8" ht="14.4" customHeight="1" x14ac:dyDescent="0.3">
      <c r="A14" s="615" t="s">
        <v>511</v>
      </c>
      <c r="B14" s="616" t="s">
        <v>506</v>
      </c>
      <c r="C14" s="617" t="s">
        <v>507</v>
      </c>
      <c r="D14" s="617">
        <v>61327.549575533332</v>
      </c>
      <c r="E14" s="617">
        <v>39734.511171673003</v>
      </c>
      <c r="F14" s="618">
        <v>0.64790638867340478</v>
      </c>
      <c r="G14" s="617">
        <v>-21593.03840386033</v>
      </c>
      <c r="H14" s="617" t="s">
        <v>2</v>
      </c>
    </row>
    <row r="15" spans="1:8" ht="14.4" customHeight="1" x14ac:dyDescent="0.3">
      <c r="A15" s="615" t="s">
        <v>511</v>
      </c>
      <c r="B15" s="616" t="s">
        <v>508</v>
      </c>
      <c r="C15" s="617" t="s">
        <v>509</v>
      </c>
      <c r="D15" s="617">
        <v>8917.2599436123655</v>
      </c>
      <c r="E15" s="617">
        <v>10167.209758562693</v>
      </c>
      <c r="F15" s="618">
        <v>1.1401719612139034</v>
      </c>
      <c r="G15" s="617">
        <v>1249.949814950327</v>
      </c>
      <c r="H15" s="617" t="s">
        <v>2</v>
      </c>
    </row>
    <row r="16" spans="1:8" ht="14.4" customHeight="1" x14ac:dyDescent="0.3">
      <c r="A16" s="615" t="s">
        <v>511</v>
      </c>
      <c r="B16" s="616" t="s">
        <v>6</v>
      </c>
      <c r="C16" s="617" t="s">
        <v>512</v>
      </c>
      <c r="D16" s="617">
        <v>402521.37370844343</v>
      </c>
      <c r="E16" s="617">
        <v>361732.5075199905</v>
      </c>
      <c r="F16" s="618">
        <v>0.8986665830620032</v>
      </c>
      <c r="G16" s="617">
        <v>-40788.866188452928</v>
      </c>
      <c r="H16" s="617" t="s">
        <v>513</v>
      </c>
    </row>
    <row r="17" spans="1:8" ht="14.4" customHeight="1" x14ac:dyDescent="0.3">
      <c r="A17" s="615" t="s">
        <v>500</v>
      </c>
      <c r="B17" s="616" t="s">
        <v>500</v>
      </c>
      <c r="C17" s="617" t="s">
        <v>500</v>
      </c>
      <c r="D17" s="617" t="s">
        <v>500</v>
      </c>
      <c r="E17" s="617" t="s">
        <v>500</v>
      </c>
      <c r="F17" s="618" t="s">
        <v>500</v>
      </c>
      <c r="G17" s="617" t="s">
        <v>500</v>
      </c>
      <c r="H17" s="617" t="s">
        <v>514</v>
      </c>
    </row>
    <row r="18" spans="1:8" ht="14.4" customHeight="1" x14ac:dyDescent="0.3">
      <c r="A18" s="615" t="s">
        <v>515</v>
      </c>
      <c r="B18" s="616" t="s">
        <v>502</v>
      </c>
      <c r="C18" s="617" t="s">
        <v>503</v>
      </c>
      <c r="D18" s="617">
        <v>4541.3057262020502</v>
      </c>
      <c r="E18" s="617">
        <v>3986.0221043279407</v>
      </c>
      <c r="F18" s="618">
        <v>0.87772599878702728</v>
      </c>
      <c r="G18" s="617">
        <v>-555.28362187410949</v>
      </c>
      <c r="H18" s="617" t="s">
        <v>2</v>
      </c>
    </row>
    <row r="19" spans="1:8" ht="14.4" customHeight="1" x14ac:dyDescent="0.3">
      <c r="A19" s="615" t="s">
        <v>515</v>
      </c>
      <c r="B19" s="616" t="s">
        <v>6</v>
      </c>
      <c r="C19" s="617" t="s">
        <v>516</v>
      </c>
      <c r="D19" s="617">
        <v>4554.0488011410698</v>
      </c>
      <c r="E19" s="617">
        <v>3986.0221043279407</v>
      </c>
      <c r="F19" s="618">
        <v>0.8752699583125233</v>
      </c>
      <c r="G19" s="617">
        <v>-568.02669681312909</v>
      </c>
      <c r="H19" s="617" t="s">
        <v>513</v>
      </c>
    </row>
    <row r="20" spans="1:8" ht="14.4" customHeight="1" x14ac:dyDescent="0.3">
      <c r="A20" s="615" t="s">
        <v>500</v>
      </c>
      <c r="B20" s="616" t="s">
        <v>500</v>
      </c>
      <c r="C20" s="617" t="s">
        <v>500</v>
      </c>
      <c r="D20" s="617" t="s">
        <v>500</v>
      </c>
      <c r="E20" s="617" t="s">
        <v>500</v>
      </c>
      <c r="F20" s="618" t="s">
        <v>500</v>
      </c>
      <c r="G20" s="617" t="s">
        <v>500</v>
      </c>
      <c r="H20" s="617" t="s">
        <v>514</v>
      </c>
    </row>
    <row r="21" spans="1:8" ht="14.4" customHeight="1" x14ac:dyDescent="0.3">
      <c r="A21" s="615" t="s">
        <v>499</v>
      </c>
      <c r="B21" s="616" t="s">
        <v>6</v>
      </c>
      <c r="C21" s="617" t="s">
        <v>501</v>
      </c>
      <c r="D21" s="617">
        <v>407075.4225095844</v>
      </c>
      <c r="E21" s="617">
        <v>365718.52962431841</v>
      </c>
      <c r="F21" s="618">
        <v>0.89840483950049266</v>
      </c>
      <c r="G21" s="617">
        <v>-41356.892885265988</v>
      </c>
      <c r="H21" s="617" t="s">
        <v>510</v>
      </c>
    </row>
  </sheetData>
  <autoFilter ref="A3:G3"/>
  <mergeCells count="1">
    <mergeCell ref="A1:G1"/>
  </mergeCells>
  <conditionalFormatting sqref="F10 F22:F65536">
    <cfRule type="cellIs" dxfId="65" priority="15" stopIfTrue="1" operator="greaterThan">
      <formula>1</formula>
    </cfRule>
  </conditionalFormatting>
  <conditionalFormatting sqref="B4:B9">
    <cfRule type="expression" dxfId="64" priority="12">
      <formula>AND(LEFT(H4,6)&lt;&gt;"mezera",H4&lt;&gt;"")</formula>
    </cfRule>
  </conditionalFormatting>
  <conditionalFormatting sqref="A4:A9">
    <cfRule type="expression" dxfId="63" priority="10">
      <formula>AND(H4&lt;&gt;"",H4&lt;&gt;"mezeraKL")</formula>
    </cfRule>
  </conditionalFormatting>
  <conditionalFormatting sqref="G4:G9">
    <cfRule type="cellIs" dxfId="62" priority="9" operator="greaterThan">
      <formula>0</formula>
    </cfRule>
  </conditionalFormatting>
  <conditionalFormatting sqref="F4:F9">
    <cfRule type="cellIs" dxfId="61" priority="8" operator="greaterThan">
      <formula>1</formula>
    </cfRule>
  </conditionalFormatting>
  <conditionalFormatting sqref="B4:G9">
    <cfRule type="expression" dxfId="60" priority="11">
      <formula>OR($H4="KL",$H4="SumaKL")</formula>
    </cfRule>
    <cfRule type="expression" dxfId="59" priority="13">
      <formula>$H4="SumaNS"</formula>
    </cfRule>
  </conditionalFormatting>
  <conditionalFormatting sqref="A4:G9">
    <cfRule type="expression" dxfId="58" priority="14">
      <formula>$H4&lt;&gt;""</formula>
    </cfRule>
  </conditionalFormatting>
  <conditionalFormatting sqref="F11:F21">
    <cfRule type="cellIs" dxfId="57" priority="3" operator="greaterThan">
      <formula>1</formula>
    </cfRule>
  </conditionalFormatting>
  <conditionalFormatting sqref="B11:B21">
    <cfRule type="expression" dxfId="56" priority="6">
      <formula>AND(LEFT(H11,6)&lt;&gt;"mezera",H11&lt;&gt;"")</formula>
    </cfRule>
  </conditionalFormatting>
  <conditionalFormatting sqref="A11:A21">
    <cfRule type="expression" dxfId="55" priority="4">
      <formula>AND(H11&lt;&gt;"",H11&lt;&gt;"mezeraKL")</formula>
    </cfRule>
  </conditionalFormatting>
  <conditionalFormatting sqref="G11:G21">
    <cfRule type="cellIs" dxfId="54" priority="2" operator="greaterThan">
      <formula>0</formula>
    </cfRule>
  </conditionalFormatting>
  <conditionalFormatting sqref="B11:G21">
    <cfRule type="expression" dxfId="53" priority="5">
      <formula>OR($H11="KL",$H11="SumaKL")</formula>
    </cfRule>
    <cfRule type="expression" dxfId="52" priority="7">
      <formula>$H11="SumaNS"</formula>
    </cfRule>
  </conditionalFormatting>
  <conditionalFormatting sqref="A11:G21">
    <cfRule type="expression" dxfId="51" priority="1">
      <formula>$H11&lt;&gt;""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0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5" style="345" customWidth="1"/>
    <col min="8" max="8" width="12.44140625" style="345" hidden="1" customWidth="1" outlineLevel="1"/>
    <col min="9" max="9" width="8.5546875" style="345" hidden="1" customWidth="1" outlineLevel="1"/>
    <col min="10" max="10" width="25.77734375" style="345" customWidth="1" collapsed="1"/>
    <col min="11" max="11" width="8.77734375" style="345" customWidth="1"/>
    <col min="12" max="13" width="7.77734375" style="343" customWidth="1"/>
    <col min="14" max="14" width="11.109375" style="343" customWidth="1"/>
    <col min="15" max="16384" width="8.88671875" style="260"/>
  </cols>
  <sheetData>
    <row r="1" spans="1:14" ht="18.600000000000001" customHeight="1" thickBot="1" x14ac:dyDescent="0.4">
      <c r="A1" s="492" t="s">
        <v>212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</row>
    <row r="2" spans="1:14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7"/>
      <c r="J2" s="347"/>
      <c r="K2" s="347"/>
      <c r="L2" s="348"/>
      <c r="M2" s="348"/>
      <c r="N2" s="348"/>
    </row>
    <row r="3" spans="1:14" ht="14.4" customHeight="1" thickBot="1" x14ac:dyDescent="0.35">
      <c r="A3" s="66"/>
      <c r="B3" s="66"/>
      <c r="C3" s="488"/>
      <c r="D3" s="489"/>
      <c r="E3" s="489"/>
      <c r="F3" s="489"/>
      <c r="G3" s="489"/>
      <c r="H3" s="489"/>
      <c r="I3" s="489"/>
      <c r="J3" s="490" t="s">
        <v>163</v>
      </c>
      <c r="K3" s="491"/>
      <c r="L3" s="213">
        <f>IF(M3&lt;&gt;0,N3/M3,0)</f>
        <v>151.26921120542613</v>
      </c>
      <c r="M3" s="213">
        <f>SUBTOTAL(9,M5:M1048576)</f>
        <v>2417.6666666666665</v>
      </c>
      <c r="N3" s="214">
        <f>SUBTOTAL(9,N5:N1048576)</f>
        <v>365718.52962431859</v>
      </c>
    </row>
    <row r="4" spans="1:14" s="344" customFormat="1" ht="14.4" customHeight="1" thickBot="1" x14ac:dyDescent="0.35">
      <c r="A4" s="619" t="s">
        <v>7</v>
      </c>
      <c r="B4" s="620" t="s">
        <v>8</v>
      </c>
      <c r="C4" s="620" t="s">
        <v>0</v>
      </c>
      <c r="D4" s="620" t="s">
        <v>9</v>
      </c>
      <c r="E4" s="620" t="s">
        <v>10</v>
      </c>
      <c r="F4" s="620" t="s">
        <v>2</v>
      </c>
      <c r="G4" s="620" t="s">
        <v>11</v>
      </c>
      <c r="H4" s="620" t="s">
        <v>12</v>
      </c>
      <c r="I4" s="620" t="s">
        <v>13</v>
      </c>
      <c r="J4" s="621" t="s">
        <v>14</v>
      </c>
      <c r="K4" s="621" t="s">
        <v>15</v>
      </c>
      <c r="L4" s="622" t="s">
        <v>189</v>
      </c>
      <c r="M4" s="622" t="s">
        <v>16</v>
      </c>
      <c r="N4" s="623" t="s">
        <v>206</v>
      </c>
    </row>
    <row r="5" spans="1:14" ht="14.4" customHeight="1" x14ac:dyDescent="0.3">
      <c r="A5" s="626" t="s">
        <v>499</v>
      </c>
      <c r="B5" s="627" t="s">
        <v>501</v>
      </c>
      <c r="C5" s="628" t="s">
        <v>511</v>
      </c>
      <c r="D5" s="629" t="s">
        <v>512</v>
      </c>
      <c r="E5" s="628" t="s">
        <v>502</v>
      </c>
      <c r="F5" s="629" t="s">
        <v>503</v>
      </c>
      <c r="G5" s="628"/>
      <c r="H5" s="628" t="s">
        <v>517</v>
      </c>
      <c r="I5" s="628" t="s">
        <v>518</v>
      </c>
      <c r="J5" s="628" t="s">
        <v>519</v>
      </c>
      <c r="K5" s="628" t="s">
        <v>520</v>
      </c>
      <c r="L5" s="630">
        <v>197.49</v>
      </c>
      <c r="M5" s="630">
        <v>1</v>
      </c>
      <c r="N5" s="631">
        <v>197.49</v>
      </c>
    </row>
    <row r="6" spans="1:14" ht="14.4" customHeight="1" x14ac:dyDescent="0.3">
      <c r="A6" s="632" t="s">
        <v>499</v>
      </c>
      <c r="B6" s="633" t="s">
        <v>501</v>
      </c>
      <c r="C6" s="634" t="s">
        <v>511</v>
      </c>
      <c r="D6" s="635" t="s">
        <v>512</v>
      </c>
      <c r="E6" s="634" t="s">
        <v>502</v>
      </c>
      <c r="F6" s="635" t="s">
        <v>503</v>
      </c>
      <c r="G6" s="634"/>
      <c r="H6" s="634" t="s">
        <v>521</v>
      </c>
      <c r="I6" s="634" t="s">
        <v>522</v>
      </c>
      <c r="J6" s="634" t="s">
        <v>523</v>
      </c>
      <c r="K6" s="634" t="s">
        <v>524</v>
      </c>
      <c r="L6" s="636">
        <v>550.45499999999993</v>
      </c>
      <c r="M6" s="636">
        <v>2</v>
      </c>
      <c r="N6" s="637">
        <v>1100.9099999999999</v>
      </c>
    </row>
    <row r="7" spans="1:14" ht="14.4" customHeight="1" x14ac:dyDescent="0.3">
      <c r="A7" s="632" t="s">
        <v>499</v>
      </c>
      <c r="B7" s="633" t="s">
        <v>501</v>
      </c>
      <c r="C7" s="634" t="s">
        <v>511</v>
      </c>
      <c r="D7" s="635" t="s">
        <v>512</v>
      </c>
      <c r="E7" s="634" t="s">
        <v>502</v>
      </c>
      <c r="F7" s="635" t="s">
        <v>503</v>
      </c>
      <c r="G7" s="634"/>
      <c r="H7" s="634" t="s">
        <v>525</v>
      </c>
      <c r="I7" s="634" t="s">
        <v>526</v>
      </c>
      <c r="J7" s="634" t="s">
        <v>527</v>
      </c>
      <c r="K7" s="634" t="s">
        <v>528</v>
      </c>
      <c r="L7" s="636">
        <v>66.400000000000006</v>
      </c>
      <c r="M7" s="636">
        <v>2</v>
      </c>
      <c r="N7" s="637">
        <v>132.80000000000001</v>
      </c>
    </row>
    <row r="8" spans="1:14" ht="14.4" customHeight="1" x14ac:dyDescent="0.3">
      <c r="A8" s="632" t="s">
        <v>499</v>
      </c>
      <c r="B8" s="633" t="s">
        <v>501</v>
      </c>
      <c r="C8" s="634" t="s">
        <v>511</v>
      </c>
      <c r="D8" s="635" t="s">
        <v>512</v>
      </c>
      <c r="E8" s="634" t="s">
        <v>502</v>
      </c>
      <c r="F8" s="635" t="s">
        <v>503</v>
      </c>
      <c r="G8" s="634"/>
      <c r="H8" s="634" t="s">
        <v>529</v>
      </c>
      <c r="I8" s="634" t="s">
        <v>529</v>
      </c>
      <c r="J8" s="634" t="s">
        <v>530</v>
      </c>
      <c r="K8" s="634" t="s">
        <v>531</v>
      </c>
      <c r="L8" s="636">
        <v>49.8</v>
      </c>
      <c r="M8" s="636">
        <v>1</v>
      </c>
      <c r="N8" s="637">
        <v>49.8</v>
      </c>
    </row>
    <row r="9" spans="1:14" ht="14.4" customHeight="1" x14ac:dyDescent="0.3">
      <c r="A9" s="632" t="s">
        <v>499</v>
      </c>
      <c r="B9" s="633" t="s">
        <v>501</v>
      </c>
      <c r="C9" s="634" t="s">
        <v>511</v>
      </c>
      <c r="D9" s="635" t="s">
        <v>512</v>
      </c>
      <c r="E9" s="634" t="s">
        <v>502</v>
      </c>
      <c r="F9" s="635" t="s">
        <v>503</v>
      </c>
      <c r="G9" s="634" t="s">
        <v>532</v>
      </c>
      <c r="H9" s="634" t="s">
        <v>533</v>
      </c>
      <c r="I9" s="634" t="s">
        <v>533</v>
      </c>
      <c r="J9" s="634" t="s">
        <v>534</v>
      </c>
      <c r="K9" s="634" t="s">
        <v>535</v>
      </c>
      <c r="L9" s="636">
        <v>179.4</v>
      </c>
      <c r="M9" s="636">
        <v>23</v>
      </c>
      <c r="N9" s="637">
        <v>4126.2</v>
      </c>
    </row>
    <row r="10" spans="1:14" ht="14.4" customHeight="1" x14ac:dyDescent="0.3">
      <c r="A10" s="632" t="s">
        <v>499</v>
      </c>
      <c r="B10" s="633" t="s">
        <v>501</v>
      </c>
      <c r="C10" s="634" t="s">
        <v>511</v>
      </c>
      <c r="D10" s="635" t="s">
        <v>512</v>
      </c>
      <c r="E10" s="634" t="s">
        <v>502</v>
      </c>
      <c r="F10" s="635" t="s">
        <v>503</v>
      </c>
      <c r="G10" s="634" t="s">
        <v>532</v>
      </c>
      <c r="H10" s="634" t="s">
        <v>536</v>
      </c>
      <c r="I10" s="634" t="s">
        <v>536</v>
      </c>
      <c r="J10" s="634" t="s">
        <v>537</v>
      </c>
      <c r="K10" s="634" t="s">
        <v>538</v>
      </c>
      <c r="L10" s="636">
        <v>181.59</v>
      </c>
      <c r="M10" s="636">
        <v>6</v>
      </c>
      <c r="N10" s="637">
        <v>1089.54</v>
      </c>
    </row>
    <row r="11" spans="1:14" ht="14.4" customHeight="1" x14ac:dyDescent="0.3">
      <c r="A11" s="632" t="s">
        <v>499</v>
      </c>
      <c r="B11" s="633" t="s">
        <v>501</v>
      </c>
      <c r="C11" s="634" t="s">
        <v>511</v>
      </c>
      <c r="D11" s="635" t="s">
        <v>512</v>
      </c>
      <c r="E11" s="634" t="s">
        <v>502</v>
      </c>
      <c r="F11" s="635" t="s">
        <v>503</v>
      </c>
      <c r="G11" s="634" t="s">
        <v>532</v>
      </c>
      <c r="H11" s="634" t="s">
        <v>539</v>
      </c>
      <c r="I11" s="634" t="s">
        <v>539</v>
      </c>
      <c r="J11" s="634" t="s">
        <v>540</v>
      </c>
      <c r="K11" s="634" t="s">
        <v>538</v>
      </c>
      <c r="L11" s="636">
        <v>149.5</v>
      </c>
      <c r="M11" s="636">
        <v>16</v>
      </c>
      <c r="N11" s="637">
        <v>2392</v>
      </c>
    </row>
    <row r="12" spans="1:14" ht="14.4" customHeight="1" x14ac:dyDescent="0.3">
      <c r="A12" s="632" t="s">
        <v>499</v>
      </c>
      <c r="B12" s="633" t="s">
        <v>501</v>
      </c>
      <c r="C12" s="634" t="s">
        <v>511</v>
      </c>
      <c r="D12" s="635" t="s">
        <v>512</v>
      </c>
      <c r="E12" s="634" t="s">
        <v>502</v>
      </c>
      <c r="F12" s="635" t="s">
        <v>503</v>
      </c>
      <c r="G12" s="634" t="s">
        <v>532</v>
      </c>
      <c r="H12" s="634" t="s">
        <v>541</v>
      </c>
      <c r="I12" s="634" t="s">
        <v>541</v>
      </c>
      <c r="J12" s="634" t="s">
        <v>534</v>
      </c>
      <c r="K12" s="634" t="s">
        <v>542</v>
      </c>
      <c r="L12" s="636">
        <v>97.18</v>
      </c>
      <c r="M12" s="636">
        <v>18</v>
      </c>
      <c r="N12" s="637">
        <v>1749.2400000000002</v>
      </c>
    </row>
    <row r="13" spans="1:14" ht="14.4" customHeight="1" x14ac:dyDescent="0.3">
      <c r="A13" s="632" t="s">
        <v>499</v>
      </c>
      <c r="B13" s="633" t="s">
        <v>501</v>
      </c>
      <c r="C13" s="634" t="s">
        <v>511</v>
      </c>
      <c r="D13" s="635" t="s">
        <v>512</v>
      </c>
      <c r="E13" s="634" t="s">
        <v>502</v>
      </c>
      <c r="F13" s="635" t="s">
        <v>503</v>
      </c>
      <c r="G13" s="634" t="s">
        <v>532</v>
      </c>
      <c r="H13" s="634" t="s">
        <v>543</v>
      </c>
      <c r="I13" s="634" t="s">
        <v>543</v>
      </c>
      <c r="J13" s="634" t="s">
        <v>534</v>
      </c>
      <c r="K13" s="634" t="s">
        <v>544</v>
      </c>
      <c r="L13" s="636">
        <v>97.75</v>
      </c>
      <c r="M13" s="636">
        <v>14</v>
      </c>
      <c r="N13" s="637">
        <v>1368.5</v>
      </c>
    </row>
    <row r="14" spans="1:14" ht="14.4" customHeight="1" x14ac:dyDescent="0.3">
      <c r="A14" s="632" t="s">
        <v>499</v>
      </c>
      <c r="B14" s="633" t="s">
        <v>501</v>
      </c>
      <c r="C14" s="634" t="s">
        <v>511</v>
      </c>
      <c r="D14" s="635" t="s">
        <v>512</v>
      </c>
      <c r="E14" s="634" t="s">
        <v>502</v>
      </c>
      <c r="F14" s="635" t="s">
        <v>503</v>
      </c>
      <c r="G14" s="634" t="s">
        <v>532</v>
      </c>
      <c r="H14" s="634" t="s">
        <v>545</v>
      </c>
      <c r="I14" s="634" t="s">
        <v>546</v>
      </c>
      <c r="J14" s="634" t="s">
        <v>547</v>
      </c>
      <c r="K14" s="634" t="s">
        <v>548</v>
      </c>
      <c r="L14" s="636">
        <v>40.14</v>
      </c>
      <c r="M14" s="636">
        <v>2</v>
      </c>
      <c r="N14" s="637">
        <v>80.28</v>
      </c>
    </row>
    <row r="15" spans="1:14" ht="14.4" customHeight="1" x14ac:dyDescent="0.3">
      <c r="A15" s="632" t="s">
        <v>499</v>
      </c>
      <c r="B15" s="633" t="s">
        <v>501</v>
      </c>
      <c r="C15" s="634" t="s">
        <v>511</v>
      </c>
      <c r="D15" s="635" t="s">
        <v>512</v>
      </c>
      <c r="E15" s="634" t="s">
        <v>502</v>
      </c>
      <c r="F15" s="635" t="s">
        <v>503</v>
      </c>
      <c r="G15" s="634" t="s">
        <v>532</v>
      </c>
      <c r="H15" s="634" t="s">
        <v>549</v>
      </c>
      <c r="I15" s="634" t="s">
        <v>550</v>
      </c>
      <c r="J15" s="634" t="s">
        <v>551</v>
      </c>
      <c r="K15" s="634" t="s">
        <v>552</v>
      </c>
      <c r="L15" s="636">
        <v>84.57</v>
      </c>
      <c r="M15" s="636">
        <v>1</v>
      </c>
      <c r="N15" s="637">
        <v>84.57</v>
      </c>
    </row>
    <row r="16" spans="1:14" ht="14.4" customHeight="1" x14ac:dyDescent="0.3">
      <c r="A16" s="632" t="s">
        <v>499</v>
      </c>
      <c r="B16" s="633" t="s">
        <v>501</v>
      </c>
      <c r="C16" s="634" t="s">
        <v>511</v>
      </c>
      <c r="D16" s="635" t="s">
        <v>512</v>
      </c>
      <c r="E16" s="634" t="s">
        <v>502</v>
      </c>
      <c r="F16" s="635" t="s">
        <v>503</v>
      </c>
      <c r="G16" s="634" t="s">
        <v>532</v>
      </c>
      <c r="H16" s="634" t="s">
        <v>553</v>
      </c>
      <c r="I16" s="634" t="s">
        <v>554</v>
      </c>
      <c r="J16" s="634" t="s">
        <v>555</v>
      </c>
      <c r="K16" s="634" t="s">
        <v>556</v>
      </c>
      <c r="L16" s="636">
        <v>97.78</v>
      </c>
      <c r="M16" s="636">
        <v>9</v>
      </c>
      <c r="N16" s="637">
        <v>880.02</v>
      </c>
    </row>
    <row r="17" spans="1:14" ht="14.4" customHeight="1" x14ac:dyDescent="0.3">
      <c r="A17" s="632" t="s">
        <v>499</v>
      </c>
      <c r="B17" s="633" t="s">
        <v>501</v>
      </c>
      <c r="C17" s="634" t="s">
        <v>511</v>
      </c>
      <c r="D17" s="635" t="s">
        <v>512</v>
      </c>
      <c r="E17" s="634" t="s">
        <v>502</v>
      </c>
      <c r="F17" s="635" t="s">
        <v>503</v>
      </c>
      <c r="G17" s="634" t="s">
        <v>532</v>
      </c>
      <c r="H17" s="634" t="s">
        <v>557</v>
      </c>
      <c r="I17" s="634" t="s">
        <v>558</v>
      </c>
      <c r="J17" s="634" t="s">
        <v>555</v>
      </c>
      <c r="K17" s="634" t="s">
        <v>559</v>
      </c>
      <c r="L17" s="636">
        <v>99.464042740545281</v>
      </c>
      <c r="M17" s="636">
        <v>27</v>
      </c>
      <c r="N17" s="637">
        <v>2685.5291539947225</v>
      </c>
    </row>
    <row r="18" spans="1:14" ht="14.4" customHeight="1" x14ac:dyDescent="0.3">
      <c r="A18" s="632" t="s">
        <v>499</v>
      </c>
      <c r="B18" s="633" t="s">
        <v>501</v>
      </c>
      <c r="C18" s="634" t="s">
        <v>511</v>
      </c>
      <c r="D18" s="635" t="s">
        <v>512</v>
      </c>
      <c r="E18" s="634" t="s">
        <v>502</v>
      </c>
      <c r="F18" s="635" t="s">
        <v>503</v>
      </c>
      <c r="G18" s="634" t="s">
        <v>532</v>
      </c>
      <c r="H18" s="634" t="s">
        <v>560</v>
      </c>
      <c r="I18" s="634" t="s">
        <v>561</v>
      </c>
      <c r="J18" s="634" t="s">
        <v>562</v>
      </c>
      <c r="K18" s="634" t="s">
        <v>563</v>
      </c>
      <c r="L18" s="636">
        <v>65.199999999999989</v>
      </c>
      <c r="M18" s="636">
        <v>15</v>
      </c>
      <c r="N18" s="637">
        <v>977.99999999999989</v>
      </c>
    </row>
    <row r="19" spans="1:14" ht="14.4" customHeight="1" x14ac:dyDescent="0.3">
      <c r="A19" s="632" t="s">
        <v>499</v>
      </c>
      <c r="B19" s="633" t="s">
        <v>501</v>
      </c>
      <c r="C19" s="634" t="s">
        <v>511</v>
      </c>
      <c r="D19" s="635" t="s">
        <v>512</v>
      </c>
      <c r="E19" s="634" t="s">
        <v>502</v>
      </c>
      <c r="F19" s="635" t="s">
        <v>503</v>
      </c>
      <c r="G19" s="634" t="s">
        <v>532</v>
      </c>
      <c r="H19" s="634" t="s">
        <v>564</v>
      </c>
      <c r="I19" s="634" t="s">
        <v>565</v>
      </c>
      <c r="J19" s="634" t="s">
        <v>566</v>
      </c>
      <c r="K19" s="634" t="s">
        <v>567</v>
      </c>
      <c r="L19" s="636">
        <v>42.479866983648598</v>
      </c>
      <c r="M19" s="636">
        <v>2</v>
      </c>
      <c r="N19" s="637">
        <v>84.959733967297197</v>
      </c>
    </row>
    <row r="20" spans="1:14" ht="14.4" customHeight="1" x14ac:dyDescent="0.3">
      <c r="A20" s="632" t="s">
        <v>499</v>
      </c>
      <c r="B20" s="633" t="s">
        <v>501</v>
      </c>
      <c r="C20" s="634" t="s">
        <v>511</v>
      </c>
      <c r="D20" s="635" t="s">
        <v>512</v>
      </c>
      <c r="E20" s="634" t="s">
        <v>502</v>
      </c>
      <c r="F20" s="635" t="s">
        <v>503</v>
      </c>
      <c r="G20" s="634" t="s">
        <v>532</v>
      </c>
      <c r="H20" s="634" t="s">
        <v>568</v>
      </c>
      <c r="I20" s="634" t="s">
        <v>569</v>
      </c>
      <c r="J20" s="634" t="s">
        <v>570</v>
      </c>
      <c r="K20" s="634" t="s">
        <v>571</v>
      </c>
      <c r="L20" s="636">
        <v>77.29988052913356</v>
      </c>
      <c r="M20" s="636">
        <v>8</v>
      </c>
      <c r="N20" s="637">
        <v>618.39904423306848</v>
      </c>
    </row>
    <row r="21" spans="1:14" ht="14.4" customHeight="1" x14ac:dyDescent="0.3">
      <c r="A21" s="632" t="s">
        <v>499</v>
      </c>
      <c r="B21" s="633" t="s">
        <v>501</v>
      </c>
      <c r="C21" s="634" t="s">
        <v>511</v>
      </c>
      <c r="D21" s="635" t="s">
        <v>512</v>
      </c>
      <c r="E21" s="634" t="s">
        <v>502</v>
      </c>
      <c r="F21" s="635" t="s">
        <v>503</v>
      </c>
      <c r="G21" s="634" t="s">
        <v>532</v>
      </c>
      <c r="H21" s="634" t="s">
        <v>572</v>
      </c>
      <c r="I21" s="634" t="s">
        <v>573</v>
      </c>
      <c r="J21" s="634" t="s">
        <v>574</v>
      </c>
      <c r="K21" s="634" t="s">
        <v>575</v>
      </c>
      <c r="L21" s="636">
        <v>60.286999999999999</v>
      </c>
      <c r="M21" s="636">
        <v>10</v>
      </c>
      <c r="N21" s="637">
        <v>602.87</v>
      </c>
    </row>
    <row r="22" spans="1:14" ht="14.4" customHeight="1" x14ac:dyDescent="0.3">
      <c r="A22" s="632" t="s">
        <v>499</v>
      </c>
      <c r="B22" s="633" t="s">
        <v>501</v>
      </c>
      <c r="C22" s="634" t="s">
        <v>511</v>
      </c>
      <c r="D22" s="635" t="s">
        <v>512</v>
      </c>
      <c r="E22" s="634" t="s">
        <v>502</v>
      </c>
      <c r="F22" s="635" t="s">
        <v>503</v>
      </c>
      <c r="G22" s="634" t="s">
        <v>532</v>
      </c>
      <c r="H22" s="634" t="s">
        <v>576</v>
      </c>
      <c r="I22" s="634" t="s">
        <v>577</v>
      </c>
      <c r="J22" s="634" t="s">
        <v>578</v>
      </c>
      <c r="K22" s="634" t="s">
        <v>579</v>
      </c>
      <c r="L22" s="636">
        <v>56.373283657571115</v>
      </c>
      <c r="M22" s="636">
        <v>9</v>
      </c>
      <c r="N22" s="637">
        <v>507.35955291814003</v>
      </c>
    </row>
    <row r="23" spans="1:14" ht="14.4" customHeight="1" x14ac:dyDescent="0.3">
      <c r="A23" s="632" t="s">
        <v>499</v>
      </c>
      <c r="B23" s="633" t="s">
        <v>501</v>
      </c>
      <c r="C23" s="634" t="s">
        <v>511</v>
      </c>
      <c r="D23" s="635" t="s">
        <v>512</v>
      </c>
      <c r="E23" s="634" t="s">
        <v>502</v>
      </c>
      <c r="F23" s="635" t="s">
        <v>503</v>
      </c>
      <c r="G23" s="634" t="s">
        <v>532</v>
      </c>
      <c r="H23" s="634" t="s">
        <v>580</v>
      </c>
      <c r="I23" s="634" t="s">
        <v>581</v>
      </c>
      <c r="J23" s="634" t="s">
        <v>574</v>
      </c>
      <c r="K23" s="634" t="s">
        <v>582</v>
      </c>
      <c r="L23" s="636">
        <v>65.23</v>
      </c>
      <c r="M23" s="636">
        <v>4</v>
      </c>
      <c r="N23" s="637">
        <v>260.92</v>
      </c>
    </row>
    <row r="24" spans="1:14" ht="14.4" customHeight="1" x14ac:dyDescent="0.3">
      <c r="A24" s="632" t="s">
        <v>499</v>
      </c>
      <c r="B24" s="633" t="s">
        <v>501</v>
      </c>
      <c r="C24" s="634" t="s">
        <v>511</v>
      </c>
      <c r="D24" s="635" t="s">
        <v>512</v>
      </c>
      <c r="E24" s="634" t="s">
        <v>502</v>
      </c>
      <c r="F24" s="635" t="s">
        <v>503</v>
      </c>
      <c r="G24" s="634" t="s">
        <v>532</v>
      </c>
      <c r="H24" s="634" t="s">
        <v>583</v>
      </c>
      <c r="I24" s="634" t="s">
        <v>584</v>
      </c>
      <c r="J24" s="634" t="s">
        <v>585</v>
      </c>
      <c r="K24" s="634" t="s">
        <v>579</v>
      </c>
      <c r="L24" s="636">
        <v>30.837058823529414</v>
      </c>
      <c r="M24" s="636">
        <v>17</v>
      </c>
      <c r="N24" s="637">
        <v>524.23</v>
      </c>
    </row>
    <row r="25" spans="1:14" ht="14.4" customHeight="1" x14ac:dyDescent="0.3">
      <c r="A25" s="632" t="s">
        <v>499</v>
      </c>
      <c r="B25" s="633" t="s">
        <v>501</v>
      </c>
      <c r="C25" s="634" t="s">
        <v>511</v>
      </c>
      <c r="D25" s="635" t="s">
        <v>512</v>
      </c>
      <c r="E25" s="634" t="s">
        <v>502</v>
      </c>
      <c r="F25" s="635" t="s">
        <v>503</v>
      </c>
      <c r="G25" s="634" t="s">
        <v>532</v>
      </c>
      <c r="H25" s="634" t="s">
        <v>586</v>
      </c>
      <c r="I25" s="634" t="s">
        <v>587</v>
      </c>
      <c r="J25" s="634" t="s">
        <v>588</v>
      </c>
      <c r="K25" s="634" t="s">
        <v>589</v>
      </c>
      <c r="L25" s="636">
        <v>137.05669386315574</v>
      </c>
      <c r="M25" s="636">
        <v>3</v>
      </c>
      <c r="N25" s="637">
        <v>411.17008158946726</v>
      </c>
    </row>
    <row r="26" spans="1:14" ht="14.4" customHeight="1" x14ac:dyDescent="0.3">
      <c r="A26" s="632" t="s">
        <v>499</v>
      </c>
      <c r="B26" s="633" t="s">
        <v>501</v>
      </c>
      <c r="C26" s="634" t="s">
        <v>511</v>
      </c>
      <c r="D26" s="635" t="s">
        <v>512</v>
      </c>
      <c r="E26" s="634" t="s">
        <v>502</v>
      </c>
      <c r="F26" s="635" t="s">
        <v>503</v>
      </c>
      <c r="G26" s="634" t="s">
        <v>532</v>
      </c>
      <c r="H26" s="634" t="s">
        <v>590</v>
      </c>
      <c r="I26" s="634" t="s">
        <v>591</v>
      </c>
      <c r="J26" s="634" t="s">
        <v>592</v>
      </c>
      <c r="K26" s="634" t="s">
        <v>593</v>
      </c>
      <c r="L26" s="636">
        <v>133.74958119263201</v>
      </c>
      <c r="M26" s="636">
        <v>1</v>
      </c>
      <c r="N26" s="637">
        <v>133.74958119263201</v>
      </c>
    </row>
    <row r="27" spans="1:14" ht="14.4" customHeight="1" x14ac:dyDescent="0.3">
      <c r="A27" s="632" t="s">
        <v>499</v>
      </c>
      <c r="B27" s="633" t="s">
        <v>501</v>
      </c>
      <c r="C27" s="634" t="s">
        <v>511</v>
      </c>
      <c r="D27" s="635" t="s">
        <v>512</v>
      </c>
      <c r="E27" s="634" t="s">
        <v>502</v>
      </c>
      <c r="F27" s="635" t="s">
        <v>503</v>
      </c>
      <c r="G27" s="634" t="s">
        <v>532</v>
      </c>
      <c r="H27" s="634" t="s">
        <v>594</v>
      </c>
      <c r="I27" s="634" t="s">
        <v>595</v>
      </c>
      <c r="J27" s="634" t="s">
        <v>596</v>
      </c>
      <c r="K27" s="634" t="s">
        <v>597</v>
      </c>
      <c r="L27" s="636">
        <v>27.428470605256329</v>
      </c>
      <c r="M27" s="636">
        <v>14</v>
      </c>
      <c r="N27" s="637">
        <v>383.9985884735886</v>
      </c>
    </row>
    <row r="28" spans="1:14" ht="14.4" customHeight="1" x14ac:dyDescent="0.3">
      <c r="A28" s="632" t="s">
        <v>499</v>
      </c>
      <c r="B28" s="633" t="s">
        <v>501</v>
      </c>
      <c r="C28" s="634" t="s">
        <v>511</v>
      </c>
      <c r="D28" s="635" t="s">
        <v>512</v>
      </c>
      <c r="E28" s="634" t="s">
        <v>502</v>
      </c>
      <c r="F28" s="635" t="s">
        <v>503</v>
      </c>
      <c r="G28" s="634" t="s">
        <v>532</v>
      </c>
      <c r="H28" s="634" t="s">
        <v>598</v>
      </c>
      <c r="I28" s="634" t="s">
        <v>599</v>
      </c>
      <c r="J28" s="634" t="s">
        <v>600</v>
      </c>
      <c r="K28" s="634" t="s">
        <v>601</v>
      </c>
      <c r="L28" s="636">
        <v>81.291047954607095</v>
      </c>
      <c r="M28" s="636">
        <v>2</v>
      </c>
      <c r="N28" s="637">
        <v>162.58209590921419</v>
      </c>
    </row>
    <row r="29" spans="1:14" ht="14.4" customHeight="1" x14ac:dyDescent="0.3">
      <c r="A29" s="632" t="s">
        <v>499</v>
      </c>
      <c r="B29" s="633" t="s">
        <v>501</v>
      </c>
      <c r="C29" s="634" t="s">
        <v>511</v>
      </c>
      <c r="D29" s="635" t="s">
        <v>512</v>
      </c>
      <c r="E29" s="634" t="s">
        <v>502</v>
      </c>
      <c r="F29" s="635" t="s">
        <v>503</v>
      </c>
      <c r="G29" s="634" t="s">
        <v>532</v>
      </c>
      <c r="H29" s="634" t="s">
        <v>602</v>
      </c>
      <c r="I29" s="634" t="s">
        <v>603</v>
      </c>
      <c r="J29" s="634" t="s">
        <v>604</v>
      </c>
      <c r="K29" s="634" t="s">
        <v>605</v>
      </c>
      <c r="L29" s="636">
        <v>121.21</v>
      </c>
      <c r="M29" s="636">
        <v>10</v>
      </c>
      <c r="N29" s="637">
        <v>1212.0999999999999</v>
      </c>
    </row>
    <row r="30" spans="1:14" ht="14.4" customHeight="1" x14ac:dyDescent="0.3">
      <c r="A30" s="632" t="s">
        <v>499</v>
      </c>
      <c r="B30" s="633" t="s">
        <v>501</v>
      </c>
      <c r="C30" s="634" t="s">
        <v>511</v>
      </c>
      <c r="D30" s="635" t="s">
        <v>512</v>
      </c>
      <c r="E30" s="634" t="s">
        <v>502</v>
      </c>
      <c r="F30" s="635" t="s">
        <v>503</v>
      </c>
      <c r="G30" s="634" t="s">
        <v>532</v>
      </c>
      <c r="H30" s="634" t="s">
        <v>606</v>
      </c>
      <c r="I30" s="634" t="s">
        <v>607</v>
      </c>
      <c r="J30" s="634" t="s">
        <v>608</v>
      </c>
      <c r="K30" s="634" t="s">
        <v>609</v>
      </c>
      <c r="L30" s="636">
        <v>38.270000000000003</v>
      </c>
      <c r="M30" s="636">
        <v>3</v>
      </c>
      <c r="N30" s="637">
        <v>114.81</v>
      </c>
    </row>
    <row r="31" spans="1:14" ht="14.4" customHeight="1" x14ac:dyDescent="0.3">
      <c r="A31" s="632" t="s">
        <v>499</v>
      </c>
      <c r="B31" s="633" t="s">
        <v>501</v>
      </c>
      <c r="C31" s="634" t="s">
        <v>511</v>
      </c>
      <c r="D31" s="635" t="s">
        <v>512</v>
      </c>
      <c r="E31" s="634" t="s">
        <v>502</v>
      </c>
      <c r="F31" s="635" t="s">
        <v>503</v>
      </c>
      <c r="G31" s="634" t="s">
        <v>532</v>
      </c>
      <c r="H31" s="634" t="s">
        <v>610</v>
      </c>
      <c r="I31" s="634" t="s">
        <v>611</v>
      </c>
      <c r="J31" s="634" t="s">
        <v>608</v>
      </c>
      <c r="K31" s="634" t="s">
        <v>612</v>
      </c>
      <c r="L31" s="636">
        <v>55.490671740936271</v>
      </c>
      <c r="M31" s="636">
        <v>3</v>
      </c>
      <c r="N31" s="637">
        <v>166.47201522280881</v>
      </c>
    </row>
    <row r="32" spans="1:14" ht="14.4" customHeight="1" x14ac:dyDescent="0.3">
      <c r="A32" s="632" t="s">
        <v>499</v>
      </c>
      <c r="B32" s="633" t="s">
        <v>501</v>
      </c>
      <c r="C32" s="634" t="s">
        <v>511</v>
      </c>
      <c r="D32" s="635" t="s">
        <v>512</v>
      </c>
      <c r="E32" s="634" t="s">
        <v>502</v>
      </c>
      <c r="F32" s="635" t="s">
        <v>503</v>
      </c>
      <c r="G32" s="634" t="s">
        <v>532</v>
      </c>
      <c r="H32" s="634" t="s">
        <v>613</v>
      </c>
      <c r="I32" s="634" t="s">
        <v>614</v>
      </c>
      <c r="J32" s="634" t="s">
        <v>615</v>
      </c>
      <c r="K32" s="634" t="s">
        <v>616</v>
      </c>
      <c r="L32" s="636">
        <v>52.84</v>
      </c>
      <c r="M32" s="636">
        <v>3</v>
      </c>
      <c r="N32" s="637">
        <v>158.52000000000001</v>
      </c>
    </row>
    <row r="33" spans="1:14" ht="14.4" customHeight="1" x14ac:dyDescent="0.3">
      <c r="A33" s="632" t="s">
        <v>499</v>
      </c>
      <c r="B33" s="633" t="s">
        <v>501</v>
      </c>
      <c r="C33" s="634" t="s">
        <v>511</v>
      </c>
      <c r="D33" s="635" t="s">
        <v>512</v>
      </c>
      <c r="E33" s="634" t="s">
        <v>502</v>
      </c>
      <c r="F33" s="635" t="s">
        <v>503</v>
      </c>
      <c r="G33" s="634" t="s">
        <v>532</v>
      </c>
      <c r="H33" s="634" t="s">
        <v>617</v>
      </c>
      <c r="I33" s="634" t="s">
        <v>618</v>
      </c>
      <c r="J33" s="634" t="s">
        <v>619</v>
      </c>
      <c r="K33" s="634" t="s">
        <v>620</v>
      </c>
      <c r="L33" s="636">
        <v>56.140453073060165</v>
      </c>
      <c r="M33" s="636">
        <v>3</v>
      </c>
      <c r="N33" s="637">
        <v>168.42135921918049</v>
      </c>
    </row>
    <row r="34" spans="1:14" ht="14.4" customHeight="1" x14ac:dyDescent="0.3">
      <c r="A34" s="632" t="s">
        <v>499</v>
      </c>
      <c r="B34" s="633" t="s">
        <v>501</v>
      </c>
      <c r="C34" s="634" t="s">
        <v>511</v>
      </c>
      <c r="D34" s="635" t="s">
        <v>512</v>
      </c>
      <c r="E34" s="634" t="s">
        <v>502</v>
      </c>
      <c r="F34" s="635" t="s">
        <v>503</v>
      </c>
      <c r="G34" s="634" t="s">
        <v>532</v>
      </c>
      <c r="H34" s="634" t="s">
        <v>621</v>
      </c>
      <c r="I34" s="634" t="s">
        <v>622</v>
      </c>
      <c r="J34" s="634" t="s">
        <v>623</v>
      </c>
      <c r="K34" s="634" t="s">
        <v>624</v>
      </c>
      <c r="L34" s="636">
        <v>37.260000000000005</v>
      </c>
      <c r="M34" s="636">
        <v>2</v>
      </c>
      <c r="N34" s="637">
        <v>74.52000000000001</v>
      </c>
    </row>
    <row r="35" spans="1:14" ht="14.4" customHeight="1" x14ac:dyDescent="0.3">
      <c r="A35" s="632" t="s">
        <v>499</v>
      </c>
      <c r="B35" s="633" t="s">
        <v>501</v>
      </c>
      <c r="C35" s="634" t="s">
        <v>511</v>
      </c>
      <c r="D35" s="635" t="s">
        <v>512</v>
      </c>
      <c r="E35" s="634" t="s">
        <v>502</v>
      </c>
      <c r="F35" s="635" t="s">
        <v>503</v>
      </c>
      <c r="G35" s="634" t="s">
        <v>532</v>
      </c>
      <c r="H35" s="634" t="s">
        <v>625</v>
      </c>
      <c r="I35" s="634" t="s">
        <v>626</v>
      </c>
      <c r="J35" s="634" t="s">
        <v>627</v>
      </c>
      <c r="K35" s="634" t="s">
        <v>548</v>
      </c>
      <c r="L35" s="636">
        <v>37.769757995824705</v>
      </c>
      <c r="M35" s="636">
        <v>2</v>
      </c>
      <c r="N35" s="637">
        <v>75.539515991649409</v>
      </c>
    </row>
    <row r="36" spans="1:14" ht="14.4" customHeight="1" x14ac:dyDescent="0.3">
      <c r="A36" s="632" t="s">
        <v>499</v>
      </c>
      <c r="B36" s="633" t="s">
        <v>501</v>
      </c>
      <c r="C36" s="634" t="s">
        <v>511</v>
      </c>
      <c r="D36" s="635" t="s">
        <v>512</v>
      </c>
      <c r="E36" s="634" t="s">
        <v>502</v>
      </c>
      <c r="F36" s="635" t="s">
        <v>503</v>
      </c>
      <c r="G36" s="634" t="s">
        <v>532</v>
      </c>
      <c r="H36" s="634" t="s">
        <v>628</v>
      </c>
      <c r="I36" s="634" t="s">
        <v>629</v>
      </c>
      <c r="J36" s="634" t="s">
        <v>630</v>
      </c>
      <c r="K36" s="634" t="s">
        <v>579</v>
      </c>
      <c r="L36" s="636">
        <v>67.280000000000015</v>
      </c>
      <c r="M36" s="636">
        <v>3</v>
      </c>
      <c r="N36" s="637">
        <v>201.84000000000003</v>
      </c>
    </row>
    <row r="37" spans="1:14" ht="14.4" customHeight="1" x14ac:dyDescent="0.3">
      <c r="A37" s="632" t="s">
        <v>499</v>
      </c>
      <c r="B37" s="633" t="s">
        <v>501</v>
      </c>
      <c r="C37" s="634" t="s">
        <v>511</v>
      </c>
      <c r="D37" s="635" t="s">
        <v>512</v>
      </c>
      <c r="E37" s="634" t="s">
        <v>502</v>
      </c>
      <c r="F37" s="635" t="s">
        <v>503</v>
      </c>
      <c r="G37" s="634" t="s">
        <v>532</v>
      </c>
      <c r="H37" s="634" t="s">
        <v>631</v>
      </c>
      <c r="I37" s="634" t="s">
        <v>632</v>
      </c>
      <c r="J37" s="634" t="s">
        <v>633</v>
      </c>
      <c r="K37" s="634" t="s">
        <v>634</v>
      </c>
      <c r="L37" s="636">
        <v>73.589753545405998</v>
      </c>
      <c r="M37" s="636">
        <v>2</v>
      </c>
      <c r="N37" s="637">
        <v>147.179507090812</v>
      </c>
    </row>
    <row r="38" spans="1:14" ht="14.4" customHeight="1" x14ac:dyDescent="0.3">
      <c r="A38" s="632" t="s">
        <v>499</v>
      </c>
      <c r="B38" s="633" t="s">
        <v>501</v>
      </c>
      <c r="C38" s="634" t="s">
        <v>511</v>
      </c>
      <c r="D38" s="635" t="s">
        <v>512</v>
      </c>
      <c r="E38" s="634" t="s">
        <v>502</v>
      </c>
      <c r="F38" s="635" t="s">
        <v>503</v>
      </c>
      <c r="G38" s="634" t="s">
        <v>532</v>
      </c>
      <c r="H38" s="634" t="s">
        <v>635</v>
      </c>
      <c r="I38" s="634" t="s">
        <v>636</v>
      </c>
      <c r="J38" s="634" t="s">
        <v>637</v>
      </c>
      <c r="K38" s="634" t="s">
        <v>638</v>
      </c>
      <c r="L38" s="636">
        <v>31.14</v>
      </c>
      <c r="M38" s="636">
        <v>1</v>
      </c>
      <c r="N38" s="637">
        <v>31.14</v>
      </c>
    </row>
    <row r="39" spans="1:14" ht="14.4" customHeight="1" x14ac:dyDescent="0.3">
      <c r="A39" s="632" t="s">
        <v>499</v>
      </c>
      <c r="B39" s="633" t="s">
        <v>501</v>
      </c>
      <c r="C39" s="634" t="s">
        <v>511</v>
      </c>
      <c r="D39" s="635" t="s">
        <v>512</v>
      </c>
      <c r="E39" s="634" t="s">
        <v>502</v>
      </c>
      <c r="F39" s="635" t="s">
        <v>503</v>
      </c>
      <c r="G39" s="634" t="s">
        <v>532</v>
      </c>
      <c r="H39" s="634" t="s">
        <v>639</v>
      </c>
      <c r="I39" s="634" t="s">
        <v>640</v>
      </c>
      <c r="J39" s="634" t="s">
        <v>641</v>
      </c>
      <c r="K39" s="634" t="s">
        <v>642</v>
      </c>
      <c r="L39" s="636">
        <v>60.350000000000016</v>
      </c>
      <c r="M39" s="636">
        <v>11</v>
      </c>
      <c r="N39" s="637">
        <v>663.85000000000014</v>
      </c>
    </row>
    <row r="40" spans="1:14" ht="14.4" customHeight="1" x14ac:dyDescent="0.3">
      <c r="A40" s="632" t="s">
        <v>499</v>
      </c>
      <c r="B40" s="633" t="s">
        <v>501</v>
      </c>
      <c r="C40" s="634" t="s">
        <v>511</v>
      </c>
      <c r="D40" s="635" t="s">
        <v>512</v>
      </c>
      <c r="E40" s="634" t="s">
        <v>502</v>
      </c>
      <c r="F40" s="635" t="s">
        <v>503</v>
      </c>
      <c r="G40" s="634" t="s">
        <v>532</v>
      </c>
      <c r="H40" s="634" t="s">
        <v>643</v>
      </c>
      <c r="I40" s="634" t="s">
        <v>644</v>
      </c>
      <c r="J40" s="634" t="s">
        <v>645</v>
      </c>
      <c r="K40" s="634" t="s">
        <v>646</v>
      </c>
      <c r="L40" s="636">
        <v>119.29</v>
      </c>
      <c r="M40" s="636">
        <v>1</v>
      </c>
      <c r="N40" s="637">
        <v>119.29</v>
      </c>
    </row>
    <row r="41" spans="1:14" ht="14.4" customHeight="1" x14ac:dyDescent="0.3">
      <c r="A41" s="632" t="s">
        <v>499</v>
      </c>
      <c r="B41" s="633" t="s">
        <v>501</v>
      </c>
      <c r="C41" s="634" t="s">
        <v>511</v>
      </c>
      <c r="D41" s="635" t="s">
        <v>512</v>
      </c>
      <c r="E41" s="634" t="s">
        <v>502</v>
      </c>
      <c r="F41" s="635" t="s">
        <v>503</v>
      </c>
      <c r="G41" s="634" t="s">
        <v>532</v>
      </c>
      <c r="H41" s="634" t="s">
        <v>647</v>
      </c>
      <c r="I41" s="634" t="s">
        <v>648</v>
      </c>
      <c r="J41" s="634" t="s">
        <v>649</v>
      </c>
      <c r="K41" s="634" t="s">
        <v>650</v>
      </c>
      <c r="L41" s="636">
        <v>101.1920623726208</v>
      </c>
      <c r="M41" s="636">
        <v>20</v>
      </c>
      <c r="N41" s="637">
        <v>2023.8412474524159</v>
      </c>
    </row>
    <row r="42" spans="1:14" ht="14.4" customHeight="1" x14ac:dyDescent="0.3">
      <c r="A42" s="632" t="s">
        <v>499</v>
      </c>
      <c r="B42" s="633" t="s">
        <v>501</v>
      </c>
      <c r="C42" s="634" t="s">
        <v>511</v>
      </c>
      <c r="D42" s="635" t="s">
        <v>512</v>
      </c>
      <c r="E42" s="634" t="s">
        <v>502</v>
      </c>
      <c r="F42" s="635" t="s">
        <v>503</v>
      </c>
      <c r="G42" s="634" t="s">
        <v>532</v>
      </c>
      <c r="H42" s="634" t="s">
        <v>651</v>
      </c>
      <c r="I42" s="634" t="s">
        <v>652</v>
      </c>
      <c r="J42" s="634" t="s">
        <v>653</v>
      </c>
      <c r="K42" s="634" t="s">
        <v>654</v>
      </c>
      <c r="L42" s="636">
        <v>260.00116881849095</v>
      </c>
      <c r="M42" s="636">
        <v>27</v>
      </c>
      <c r="N42" s="637">
        <v>7020.0315580992565</v>
      </c>
    </row>
    <row r="43" spans="1:14" ht="14.4" customHeight="1" x14ac:dyDescent="0.3">
      <c r="A43" s="632" t="s">
        <v>499</v>
      </c>
      <c r="B43" s="633" t="s">
        <v>501</v>
      </c>
      <c r="C43" s="634" t="s">
        <v>511</v>
      </c>
      <c r="D43" s="635" t="s">
        <v>512</v>
      </c>
      <c r="E43" s="634" t="s">
        <v>502</v>
      </c>
      <c r="F43" s="635" t="s">
        <v>503</v>
      </c>
      <c r="G43" s="634" t="s">
        <v>532</v>
      </c>
      <c r="H43" s="634" t="s">
        <v>655</v>
      </c>
      <c r="I43" s="634" t="s">
        <v>656</v>
      </c>
      <c r="J43" s="634" t="s">
        <v>657</v>
      </c>
      <c r="K43" s="634" t="s">
        <v>658</v>
      </c>
      <c r="L43" s="636">
        <v>151.13999999999999</v>
      </c>
      <c r="M43" s="636">
        <v>1</v>
      </c>
      <c r="N43" s="637">
        <v>151.13999999999999</v>
      </c>
    </row>
    <row r="44" spans="1:14" ht="14.4" customHeight="1" x14ac:dyDescent="0.3">
      <c r="A44" s="632" t="s">
        <v>499</v>
      </c>
      <c r="B44" s="633" t="s">
        <v>501</v>
      </c>
      <c r="C44" s="634" t="s">
        <v>511</v>
      </c>
      <c r="D44" s="635" t="s">
        <v>512</v>
      </c>
      <c r="E44" s="634" t="s">
        <v>502</v>
      </c>
      <c r="F44" s="635" t="s">
        <v>503</v>
      </c>
      <c r="G44" s="634" t="s">
        <v>532</v>
      </c>
      <c r="H44" s="634" t="s">
        <v>659</v>
      </c>
      <c r="I44" s="634" t="s">
        <v>660</v>
      </c>
      <c r="J44" s="634" t="s">
        <v>661</v>
      </c>
      <c r="K44" s="634" t="s">
        <v>662</v>
      </c>
      <c r="L44" s="636">
        <v>75.073165260728317</v>
      </c>
      <c r="M44" s="636">
        <v>6</v>
      </c>
      <c r="N44" s="637">
        <v>450.43899156436987</v>
      </c>
    </row>
    <row r="45" spans="1:14" ht="14.4" customHeight="1" x14ac:dyDescent="0.3">
      <c r="A45" s="632" t="s">
        <v>499</v>
      </c>
      <c r="B45" s="633" t="s">
        <v>501</v>
      </c>
      <c r="C45" s="634" t="s">
        <v>511</v>
      </c>
      <c r="D45" s="635" t="s">
        <v>512</v>
      </c>
      <c r="E45" s="634" t="s">
        <v>502</v>
      </c>
      <c r="F45" s="635" t="s">
        <v>503</v>
      </c>
      <c r="G45" s="634" t="s">
        <v>532</v>
      </c>
      <c r="H45" s="634" t="s">
        <v>663</v>
      </c>
      <c r="I45" s="634" t="s">
        <v>664</v>
      </c>
      <c r="J45" s="634" t="s">
        <v>665</v>
      </c>
      <c r="K45" s="634" t="s">
        <v>666</v>
      </c>
      <c r="L45" s="636">
        <v>598.61856416685396</v>
      </c>
      <c r="M45" s="636">
        <v>3</v>
      </c>
      <c r="N45" s="637">
        <v>1795.8556925005619</v>
      </c>
    </row>
    <row r="46" spans="1:14" ht="14.4" customHeight="1" x14ac:dyDescent="0.3">
      <c r="A46" s="632" t="s">
        <v>499</v>
      </c>
      <c r="B46" s="633" t="s">
        <v>501</v>
      </c>
      <c r="C46" s="634" t="s">
        <v>511</v>
      </c>
      <c r="D46" s="635" t="s">
        <v>512</v>
      </c>
      <c r="E46" s="634" t="s">
        <v>502</v>
      </c>
      <c r="F46" s="635" t="s">
        <v>503</v>
      </c>
      <c r="G46" s="634" t="s">
        <v>532</v>
      </c>
      <c r="H46" s="634" t="s">
        <v>667</v>
      </c>
      <c r="I46" s="634" t="s">
        <v>668</v>
      </c>
      <c r="J46" s="634" t="s">
        <v>669</v>
      </c>
      <c r="K46" s="634" t="s">
        <v>670</v>
      </c>
      <c r="L46" s="636">
        <v>265.13970301051603</v>
      </c>
      <c r="M46" s="636">
        <v>18</v>
      </c>
      <c r="N46" s="637">
        <v>4772.5146541892882</v>
      </c>
    </row>
    <row r="47" spans="1:14" ht="14.4" customHeight="1" x14ac:dyDescent="0.3">
      <c r="A47" s="632" t="s">
        <v>499</v>
      </c>
      <c r="B47" s="633" t="s">
        <v>501</v>
      </c>
      <c r="C47" s="634" t="s">
        <v>511</v>
      </c>
      <c r="D47" s="635" t="s">
        <v>512</v>
      </c>
      <c r="E47" s="634" t="s">
        <v>502</v>
      </c>
      <c r="F47" s="635" t="s">
        <v>503</v>
      </c>
      <c r="G47" s="634" t="s">
        <v>532</v>
      </c>
      <c r="H47" s="634" t="s">
        <v>671</v>
      </c>
      <c r="I47" s="634" t="s">
        <v>672</v>
      </c>
      <c r="J47" s="634" t="s">
        <v>673</v>
      </c>
      <c r="K47" s="634" t="s">
        <v>674</v>
      </c>
      <c r="L47" s="636">
        <v>363.77017167274045</v>
      </c>
      <c r="M47" s="636">
        <v>15</v>
      </c>
      <c r="N47" s="637">
        <v>5456.5525750911065</v>
      </c>
    </row>
    <row r="48" spans="1:14" ht="14.4" customHeight="1" x14ac:dyDescent="0.3">
      <c r="A48" s="632" t="s">
        <v>499</v>
      </c>
      <c r="B48" s="633" t="s">
        <v>501</v>
      </c>
      <c r="C48" s="634" t="s">
        <v>511</v>
      </c>
      <c r="D48" s="635" t="s">
        <v>512</v>
      </c>
      <c r="E48" s="634" t="s">
        <v>502</v>
      </c>
      <c r="F48" s="635" t="s">
        <v>503</v>
      </c>
      <c r="G48" s="634" t="s">
        <v>532</v>
      </c>
      <c r="H48" s="634" t="s">
        <v>675</v>
      </c>
      <c r="I48" s="634" t="s">
        <v>676</v>
      </c>
      <c r="J48" s="634" t="s">
        <v>677</v>
      </c>
      <c r="K48" s="634" t="s">
        <v>678</v>
      </c>
      <c r="L48" s="636">
        <v>42.21</v>
      </c>
      <c r="M48" s="636">
        <v>3</v>
      </c>
      <c r="N48" s="637">
        <v>126.63</v>
      </c>
    </row>
    <row r="49" spans="1:14" ht="14.4" customHeight="1" x14ac:dyDescent="0.3">
      <c r="A49" s="632" t="s">
        <v>499</v>
      </c>
      <c r="B49" s="633" t="s">
        <v>501</v>
      </c>
      <c r="C49" s="634" t="s">
        <v>511</v>
      </c>
      <c r="D49" s="635" t="s">
        <v>512</v>
      </c>
      <c r="E49" s="634" t="s">
        <v>502</v>
      </c>
      <c r="F49" s="635" t="s">
        <v>503</v>
      </c>
      <c r="G49" s="634" t="s">
        <v>532</v>
      </c>
      <c r="H49" s="634" t="s">
        <v>679</v>
      </c>
      <c r="I49" s="634" t="s">
        <v>680</v>
      </c>
      <c r="J49" s="634" t="s">
        <v>681</v>
      </c>
      <c r="K49" s="634" t="s">
        <v>682</v>
      </c>
      <c r="L49" s="636">
        <v>298.98</v>
      </c>
      <c r="M49" s="636">
        <v>1</v>
      </c>
      <c r="N49" s="637">
        <v>298.98</v>
      </c>
    </row>
    <row r="50" spans="1:14" ht="14.4" customHeight="1" x14ac:dyDescent="0.3">
      <c r="A50" s="632" t="s">
        <v>499</v>
      </c>
      <c r="B50" s="633" t="s">
        <v>501</v>
      </c>
      <c r="C50" s="634" t="s">
        <v>511</v>
      </c>
      <c r="D50" s="635" t="s">
        <v>512</v>
      </c>
      <c r="E50" s="634" t="s">
        <v>502</v>
      </c>
      <c r="F50" s="635" t="s">
        <v>503</v>
      </c>
      <c r="G50" s="634" t="s">
        <v>532</v>
      </c>
      <c r="H50" s="634" t="s">
        <v>683</v>
      </c>
      <c r="I50" s="634" t="s">
        <v>684</v>
      </c>
      <c r="J50" s="634" t="s">
        <v>685</v>
      </c>
      <c r="K50" s="634" t="s">
        <v>686</v>
      </c>
      <c r="L50" s="636">
        <v>132.26</v>
      </c>
      <c r="M50" s="636">
        <v>2</v>
      </c>
      <c r="N50" s="637">
        <v>264.52</v>
      </c>
    </row>
    <row r="51" spans="1:14" ht="14.4" customHeight="1" x14ac:dyDescent="0.3">
      <c r="A51" s="632" t="s">
        <v>499</v>
      </c>
      <c r="B51" s="633" t="s">
        <v>501</v>
      </c>
      <c r="C51" s="634" t="s">
        <v>511</v>
      </c>
      <c r="D51" s="635" t="s">
        <v>512</v>
      </c>
      <c r="E51" s="634" t="s">
        <v>502</v>
      </c>
      <c r="F51" s="635" t="s">
        <v>503</v>
      </c>
      <c r="G51" s="634" t="s">
        <v>532</v>
      </c>
      <c r="H51" s="634" t="s">
        <v>687</v>
      </c>
      <c r="I51" s="634" t="s">
        <v>688</v>
      </c>
      <c r="J51" s="634" t="s">
        <v>689</v>
      </c>
      <c r="K51" s="634" t="s">
        <v>690</v>
      </c>
      <c r="L51" s="636">
        <v>297.25749999999999</v>
      </c>
      <c r="M51" s="636">
        <v>4</v>
      </c>
      <c r="N51" s="637">
        <v>1189.03</v>
      </c>
    </row>
    <row r="52" spans="1:14" ht="14.4" customHeight="1" x14ac:dyDescent="0.3">
      <c r="A52" s="632" t="s">
        <v>499</v>
      </c>
      <c r="B52" s="633" t="s">
        <v>501</v>
      </c>
      <c r="C52" s="634" t="s">
        <v>511</v>
      </c>
      <c r="D52" s="635" t="s">
        <v>512</v>
      </c>
      <c r="E52" s="634" t="s">
        <v>502</v>
      </c>
      <c r="F52" s="635" t="s">
        <v>503</v>
      </c>
      <c r="G52" s="634" t="s">
        <v>532</v>
      </c>
      <c r="H52" s="634" t="s">
        <v>691</v>
      </c>
      <c r="I52" s="634" t="s">
        <v>691</v>
      </c>
      <c r="J52" s="634" t="s">
        <v>692</v>
      </c>
      <c r="K52" s="634" t="s">
        <v>693</v>
      </c>
      <c r="L52" s="636">
        <v>38.1898473494809</v>
      </c>
      <c r="M52" s="636">
        <v>25</v>
      </c>
      <c r="N52" s="637">
        <v>954.74618373702242</v>
      </c>
    </row>
    <row r="53" spans="1:14" ht="14.4" customHeight="1" x14ac:dyDescent="0.3">
      <c r="A53" s="632" t="s">
        <v>499</v>
      </c>
      <c r="B53" s="633" t="s">
        <v>501</v>
      </c>
      <c r="C53" s="634" t="s">
        <v>511</v>
      </c>
      <c r="D53" s="635" t="s">
        <v>512</v>
      </c>
      <c r="E53" s="634" t="s">
        <v>502</v>
      </c>
      <c r="F53" s="635" t="s">
        <v>503</v>
      </c>
      <c r="G53" s="634" t="s">
        <v>532</v>
      </c>
      <c r="H53" s="634" t="s">
        <v>694</v>
      </c>
      <c r="I53" s="634" t="s">
        <v>695</v>
      </c>
      <c r="J53" s="634" t="s">
        <v>696</v>
      </c>
      <c r="K53" s="634" t="s">
        <v>697</v>
      </c>
      <c r="L53" s="636">
        <v>237.48965018578789</v>
      </c>
      <c r="M53" s="636">
        <v>26</v>
      </c>
      <c r="N53" s="637">
        <v>6174.7309048304851</v>
      </c>
    </row>
    <row r="54" spans="1:14" ht="14.4" customHeight="1" x14ac:dyDescent="0.3">
      <c r="A54" s="632" t="s">
        <v>499</v>
      </c>
      <c r="B54" s="633" t="s">
        <v>501</v>
      </c>
      <c r="C54" s="634" t="s">
        <v>511</v>
      </c>
      <c r="D54" s="635" t="s">
        <v>512</v>
      </c>
      <c r="E54" s="634" t="s">
        <v>502</v>
      </c>
      <c r="F54" s="635" t="s">
        <v>503</v>
      </c>
      <c r="G54" s="634" t="s">
        <v>532</v>
      </c>
      <c r="H54" s="634" t="s">
        <v>698</v>
      </c>
      <c r="I54" s="634" t="s">
        <v>699</v>
      </c>
      <c r="J54" s="634" t="s">
        <v>627</v>
      </c>
      <c r="K54" s="634" t="s">
        <v>700</v>
      </c>
      <c r="L54" s="636">
        <v>164.87881921058502</v>
      </c>
      <c r="M54" s="636">
        <v>6</v>
      </c>
      <c r="N54" s="637">
        <v>989.27291526351019</v>
      </c>
    </row>
    <row r="55" spans="1:14" ht="14.4" customHeight="1" x14ac:dyDescent="0.3">
      <c r="A55" s="632" t="s">
        <v>499</v>
      </c>
      <c r="B55" s="633" t="s">
        <v>501</v>
      </c>
      <c r="C55" s="634" t="s">
        <v>511</v>
      </c>
      <c r="D55" s="635" t="s">
        <v>512</v>
      </c>
      <c r="E55" s="634" t="s">
        <v>502</v>
      </c>
      <c r="F55" s="635" t="s">
        <v>503</v>
      </c>
      <c r="G55" s="634" t="s">
        <v>532</v>
      </c>
      <c r="H55" s="634" t="s">
        <v>701</v>
      </c>
      <c r="I55" s="634" t="s">
        <v>702</v>
      </c>
      <c r="J55" s="634" t="s">
        <v>703</v>
      </c>
      <c r="K55" s="634" t="s">
        <v>704</v>
      </c>
      <c r="L55" s="636">
        <v>77.290000000000006</v>
      </c>
      <c r="M55" s="636">
        <v>1</v>
      </c>
      <c r="N55" s="637">
        <v>77.290000000000006</v>
      </c>
    </row>
    <row r="56" spans="1:14" ht="14.4" customHeight="1" x14ac:dyDescent="0.3">
      <c r="A56" s="632" t="s">
        <v>499</v>
      </c>
      <c r="B56" s="633" t="s">
        <v>501</v>
      </c>
      <c r="C56" s="634" t="s">
        <v>511</v>
      </c>
      <c r="D56" s="635" t="s">
        <v>512</v>
      </c>
      <c r="E56" s="634" t="s">
        <v>502</v>
      </c>
      <c r="F56" s="635" t="s">
        <v>503</v>
      </c>
      <c r="G56" s="634" t="s">
        <v>532</v>
      </c>
      <c r="H56" s="634" t="s">
        <v>705</v>
      </c>
      <c r="I56" s="634" t="s">
        <v>706</v>
      </c>
      <c r="J56" s="634" t="s">
        <v>707</v>
      </c>
      <c r="K56" s="634" t="s">
        <v>708</v>
      </c>
      <c r="L56" s="636">
        <v>117.93</v>
      </c>
      <c r="M56" s="636">
        <v>4</v>
      </c>
      <c r="N56" s="637">
        <v>471.72</v>
      </c>
    </row>
    <row r="57" spans="1:14" ht="14.4" customHeight="1" x14ac:dyDescent="0.3">
      <c r="A57" s="632" t="s">
        <v>499</v>
      </c>
      <c r="B57" s="633" t="s">
        <v>501</v>
      </c>
      <c r="C57" s="634" t="s">
        <v>511</v>
      </c>
      <c r="D57" s="635" t="s">
        <v>512</v>
      </c>
      <c r="E57" s="634" t="s">
        <v>502</v>
      </c>
      <c r="F57" s="635" t="s">
        <v>503</v>
      </c>
      <c r="G57" s="634" t="s">
        <v>532</v>
      </c>
      <c r="H57" s="634" t="s">
        <v>709</v>
      </c>
      <c r="I57" s="634" t="s">
        <v>710</v>
      </c>
      <c r="J57" s="634" t="s">
        <v>711</v>
      </c>
      <c r="K57" s="634" t="s">
        <v>712</v>
      </c>
      <c r="L57" s="636">
        <v>85.69</v>
      </c>
      <c r="M57" s="636">
        <v>2</v>
      </c>
      <c r="N57" s="637">
        <v>171.38</v>
      </c>
    </row>
    <row r="58" spans="1:14" ht="14.4" customHeight="1" x14ac:dyDescent="0.3">
      <c r="A58" s="632" t="s">
        <v>499</v>
      </c>
      <c r="B58" s="633" t="s">
        <v>501</v>
      </c>
      <c r="C58" s="634" t="s">
        <v>511</v>
      </c>
      <c r="D58" s="635" t="s">
        <v>512</v>
      </c>
      <c r="E58" s="634" t="s">
        <v>502</v>
      </c>
      <c r="F58" s="635" t="s">
        <v>503</v>
      </c>
      <c r="G58" s="634" t="s">
        <v>532</v>
      </c>
      <c r="H58" s="634" t="s">
        <v>713</v>
      </c>
      <c r="I58" s="634" t="s">
        <v>714</v>
      </c>
      <c r="J58" s="634" t="s">
        <v>715</v>
      </c>
      <c r="K58" s="634" t="s">
        <v>716</v>
      </c>
      <c r="L58" s="636">
        <v>45.050127500841981</v>
      </c>
      <c r="M58" s="636">
        <v>1</v>
      </c>
      <c r="N58" s="637">
        <v>45.050127500841981</v>
      </c>
    </row>
    <row r="59" spans="1:14" ht="14.4" customHeight="1" x14ac:dyDescent="0.3">
      <c r="A59" s="632" t="s">
        <v>499</v>
      </c>
      <c r="B59" s="633" t="s">
        <v>501</v>
      </c>
      <c r="C59" s="634" t="s">
        <v>511</v>
      </c>
      <c r="D59" s="635" t="s">
        <v>512</v>
      </c>
      <c r="E59" s="634" t="s">
        <v>502</v>
      </c>
      <c r="F59" s="635" t="s">
        <v>503</v>
      </c>
      <c r="G59" s="634" t="s">
        <v>532</v>
      </c>
      <c r="H59" s="634" t="s">
        <v>717</v>
      </c>
      <c r="I59" s="634" t="s">
        <v>718</v>
      </c>
      <c r="J59" s="634" t="s">
        <v>719</v>
      </c>
      <c r="K59" s="634" t="s">
        <v>720</v>
      </c>
      <c r="L59" s="636">
        <v>108.53</v>
      </c>
      <c r="M59" s="636">
        <v>7</v>
      </c>
      <c r="N59" s="637">
        <v>759.71</v>
      </c>
    </row>
    <row r="60" spans="1:14" ht="14.4" customHeight="1" x14ac:dyDescent="0.3">
      <c r="A60" s="632" t="s">
        <v>499</v>
      </c>
      <c r="B60" s="633" t="s">
        <v>501</v>
      </c>
      <c r="C60" s="634" t="s">
        <v>511</v>
      </c>
      <c r="D60" s="635" t="s">
        <v>512</v>
      </c>
      <c r="E60" s="634" t="s">
        <v>502</v>
      </c>
      <c r="F60" s="635" t="s">
        <v>503</v>
      </c>
      <c r="G60" s="634" t="s">
        <v>532</v>
      </c>
      <c r="H60" s="634" t="s">
        <v>721</v>
      </c>
      <c r="I60" s="634" t="s">
        <v>721</v>
      </c>
      <c r="J60" s="634" t="s">
        <v>722</v>
      </c>
      <c r="K60" s="634" t="s">
        <v>723</v>
      </c>
      <c r="L60" s="636">
        <v>67.42</v>
      </c>
      <c r="M60" s="636">
        <v>3</v>
      </c>
      <c r="N60" s="637">
        <v>202.26</v>
      </c>
    </row>
    <row r="61" spans="1:14" ht="14.4" customHeight="1" x14ac:dyDescent="0.3">
      <c r="A61" s="632" t="s">
        <v>499</v>
      </c>
      <c r="B61" s="633" t="s">
        <v>501</v>
      </c>
      <c r="C61" s="634" t="s">
        <v>511</v>
      </c>
      <c r="D61" s="635" t="s">
        <v>512</v>
      </c>
      <c r="E61" s="634" t="s">
        <v>502</v>
      </c>
      <c r="F61" s="635" t="s">
        <v>503</v>
      </c>
      <c r="G61" s="634" t="s">
        <v>532</v>
      </c>
      <c r="H61" s="634" t="s">
        <v>724</v>
      </c>
      <c r="I61" s="634" t="s">
        <v>725</v>
      </c>
      <c r="J61" s="634" t="s">
        <v>726</v>
      </c>
      <c r="K61" s="634" t="s">
        <v>727</v>
      </c>
      <c r="L61" s="636">
        <v>66.200000000000017</v>
      </c>
      <c r="M61" s="636">
        <v>2</v>
      </c>
      <c r="N61" s="637">
        <v>132.40000000000003</v>
      </c>
    </row>
    <row r="62" spans="1:14" ht="14.4" customHeight="1" x14ac:dyDescent="0.3">
      <c r="A62" s="632" t="s">
        <v>499</v>
      </c>
      <c r="B62" s="633" t="s">
        <v>501</v>
      </c>
      <c r="C62" s="634" t="s">
        <v>511</v>
      </c>
      <c r="D62" s="635" t="s">
        <v>512</v>
      </c>
      <c r="E62" s="634" t="s">
        <v>502</v>
      </c>
      <c r="F62" s="635" t="s">
        <v>503</v>
      </c>
      <c r="G62" s="634" t="s">
        <v>532</v>
      </c>
      <c r="H62" s="634" t="s">
        <v>728</v>
      </c>
      <c r="I62" s="634" t="s">
        <v>729</v>
      </c>
      <c r="J62" s="634" t="s">
        <v>730</v>
      </c>
      <c r="K62" s="634" t="s">
        <v>731</v>
      </c>
      <c r="L62" s="636">
        <v>76.920007734883953</v>
      </c>
      <c r="M62" s="636">
        <v>12</v>
      </c>
      <c r="N62" s="637">
        <v>923.04009281860749</v>
      </c>
    </row>
    <row r="63" spans="1:14" ht="14.4" customHeight="1" x14ac:dyDescent="0.3">
      <c r="A63" s="632" t="s">
        <v>499</v>
      </c>
      <c r="B63" s="633" t="s">
        <v>501</v>
      </c>
      <c r="C63" s="634" t="s">
        <v>511</v>
      </c>
      <c r="D63" s="635" t="s">
        <v>512</v>
      </c>
      <c r="E63" s="634" t="s">
        <v>502</v>
      </c>
      <c r="F63" s="635" t="s">
        <v>503</v>
      </c>
      <c r="G63" s="634" t="s">
        <v>532</v>
      </c>
      <c r="H63" s="634" t="s">
        <v>732</v>
      </c>
      <c r="I63" s="634" t="s">
        <v>733</v>
      </c>
      <c r="J63" s="634" t="s">
        <v>734</v>
      </c>
      <c r="K63" s="634" t="s">
        <v>735</v>
      </c>
      <c r="L63" s="636">
        <v>54.72</v>
      </c>
      <c r="M63" s="636">
        <v>2</v>
      </c>
      <c r="N63" s="637">
        <v>109.44</v>
      </c>
    </row>
    <row r="64" spans="1:14" ht="14.4" customHeight="1" x14ac:dyDescent="0.3">
      <c r="A64" s="632" t="s">
        <v>499</v>
      </c>
      <c r="B64" s="633" t="s">
        <v>501</v>
      </c>
      <c r="C64" s="634" t="s">
        <v>511</v>
      </c>
      <c r="D64" s="635" t="s">
        <v>512</v>
      </c>
      <c r="E64" s="634" t="s">
        <v>502</v>
      </c>
      <c r="F64" s="635" t="s">
        <v>503</v>
      </c>
      <c r="G64" s="634" t="s">
        <v>532</v>
      </c>
      <c r="H64" s="634" t="s">
        <v>736</v>
      </c>
      <c r="I64" s="634" t="s">
        <v>737</v>
      </c>
      <c r="J64" s="634" t="s">
        <v>738</v>
      </c>
      <c r="K64" s="634" t="s">
        <v>739</v>
      </c>
      <c r="L64" s="636">
        <v>21.4</v>
      </c>
      <c r="M64" s="636">
        <v>2</v>
      </c>
      <c r="N64" s="637">
        <v>42.8</v>
      </c>
    </row>
    <row r="65" spans="1:14" ht="14.4" customHeight="1" x14ac:dyDescent="0.3">
      <c r="A65" s="632" t="s">
        <v>499</v>
      </c>
      <c r="B65" s="633" t="s">
        <v>501</v>
      </c>
      <c r="C65" s="634" t="s">
        <v>511</v>
      </c>
      <c r="D65" s="635" t="s">
        <v>512</v>
      </c>
      <c r="E65" s="634" t="s">
        <v>502</v>
      </c>
      <c r="F65" s="635" t="s">
        <v>503</v>
      </c>
      <c r="G65" s="634" t="s">
        <v>532</v>
      </c>
      <c r="H65" s="634" t="s">
        <v>740</v>
      </c>
      <c r="I65" s="634" t="s">
        <v>741</v>
      </c>
      <c r="J65" s="634" t="s">
        <v>738</v>
      </c>
      <c r="K65" s="634" t="s">
        <v>742</v>
      </c>
      <c r="L65" s="636">
        <v>53.419576765675075</v>
      </c>
      <c r="M65" s="636">
        <v>1</v>
      </c>
      <c r="N65" s="637">
        <v>53.419576765675075</v>
      </c>
    </row>
    <row r="66" spans="1:14" ht="14.4" customHeight="1" x14ac:dyDescent="0.3">
      <c r="A66" s="632" t="s">
        <v>499</v>
      </c>
      <c r="B66" s="633" t="s">
        <v>501</v>
      </c>
      <c r="C66" s="634" t="s">
        <v>511</v>
      </c>
      <c r="D66" s="635" t="s">
        <v>512</v>
      </c>
      <c r="E66" s="634" t="s">
        <v>502</v>
      </c>
      <c r="F66" s="635" t="s">
        <v>503</v>
      </c>
      <c r="G66" s="634" t="s">
        <v>532</v>
      </c>
      <c r="H66" s="634" t="s">
        <v>743</v>
      </c>
      <c r="I66" s="634" t="s">
        <v>744</v>
      </c>
      <c r="J66" s="634" t="s">
        <v>745</v>
      </c>
      <c r="K66" s="634" t="s">
        <v>746</v>
      </c>
      <c r="L66" s="636">
        <v>72.08</v>
      </c>
      <c r="M66" s="636">
        <v>1</v>
      </c>
      <c r="N66" s="637">
        <v>72.08</v>
      </c>
    </row>
    <row r="67" spans="1:14" ht="14.4" customHeight="1" x14ac:dyDescent="0.3">
      <c r="A67" s="632" t="s">
        <v>499</v>
      </c>
      <c r="B67" s="633" t="s">
        <v>501</v>
      </c>
      <c r="C67" s="634" t="s">
        <v>511</v>
      </c>
      <c r="D67" s="635" t="s">
        <v>512</v>
      </c>
      <c r="E67" s="634" t="s">
        <v>502</v>
      </c>
      <c r="F67" s="635" t="s">
        <v>503</v>
      </c>
      <c r="G67" s="634" t="s">
        <v>532</v>
      </c>
      <c r="H67" s="634" t="s">
        <v>747</v>
      </c>
      <c r="I67" s="634" t="s">
        <v>748</v>
      </c>
      <c r="J67" s="634" t="s">
        <v>749</v>
      </c>
      <c r="K67" s="634" t="s">
        <v>750</v>
      </c>
      <c r="L67" s="636">
        <v>192.45910267931967</v>
      </c>
      <c r="M67" s="636">
        <v>3</v>
      </c>
      <c r="N67" s="637">
        <v>577.37730803795898</v>
      </c>
    </row>
    <row r="68" spans="1:14" ht="14.4" customHeight="1" x14ac:dyDescent="0.3">
      <c r="A68" s="632" t="s">
        <v>499</v>
      </c>
      <c r="B68" s="633" t="s">
        <v>501</v>
      </c>
      <c r="C68" s="634" t="s">
        <v>511</v>
      </c>
      <c r="D68" s="635" t="s">
        <v>512</v>
      </c>
      <c r="E68" s="634" t="s">
        <v>502</v>
      </c>
      <c r="F68" s="635" t="s">
        <v>503</v>
      </c>
      <c r="G68" s="634" t="s">
        <v>532</v>
      </c>
      <c r="H68" s="634" t="s">
        <v>751</v>
      </c>
      <c r="I68" s="634" t="s">
        <v>752</v>
      </c>
      <c r="J68" s="634" t="s">
        <v>753</v>
      </c>
      <c r="K68" s="634" t="s">
        <v>754</v>
      </c>
      <c r="L68" s="636">
        <v>46</v>
      </c>
      <c r="M68" s="636">
        <v>6</v>
      </c>
      <c r="N68" s="637">
        <v>276</v>
      </c>
    </row>
    <row r="69" spans="1:14" ht="14.4" customHeight="1" x14ac:dyDescent="0.3">
      <c r="A69" s="632" t="s">
        <v>499</v>
      </c>
      <c r="B69" s="633" t="s">
        <v>501</v>
      </c>
      <c r="C69" s="634" t="s">
        <v>511</v>
      </c>
      <c r="D69" s="635" t="s">
        <v>512</v>
      </c>
      <c r="E69" s="634" t="s">
        <v>502</v>
      </c>
      <c r="F69" s="635" t="s">
        <v>503</v>
      </c>
      <c r="G69" s="634" t="s">
        <v>532</v>
      </c>
      <c r="H69" s="634" t="s">
        <v>755</v>
      </c>
      <c r="I69" s="634" t="s">
        <v>756</v>
      </c>
      <c r="J69" s="634" t="s">
        <v>757</v>
      </c>
      <c r="K69" s="634" t="s">
        <v>758</v>
      </c>
      <c r="L69" s="636">
        <v>39.034000000000006</v>
      </c>
      <c r="M69" s="636">
        <v>5</v>
      </c>
      <c r="N69" s="637">
        <v>195.17000000000002</v>
      </c>
    </row>
    <row r="70" spans="1:14" ht="14.4" customHeight="1" x14ac:dyDescent="0.3">
      <c r="A70" s="632" t="s">
        <v>499</v>
      </c>
      <c r="B70" s="633" t="s">
        <v>501</v>
      </c>
      <c r="C70" s="634" t="s">
        <v>511</v>
      </c>
      <c r="D70" s="635" t="s">
        <v>512</v>
      </c>
      <c r="E70" s="634" t="s">
        <v>502</v>
      </c>
      <c r="F70" s="635" t="s">
        <v>503</v>
      </c>
      <c r="G70" s="634" t="s">
        <v>532</v>
      </c>
      <c r="H70" s="634" t="s">
        <v>759</v>
      </c>
      <c r="I70" s="634" t="s">
        <v>760</v>
      </c>
      <c r="J70" s="634" t="s">
        <v>761</v>
      </c>
      <c r="K70" s="634" t="s">
        <v>762</v>
      </c>
      <c r="L70" s="636">
        <v>178.08</v>
      </c>
      <c r="M70" s="636">
        <v>1</v>
      </c>
      <c r="N70" s="637">
        <v>178.08</v>
      </c>
    </row>
    <row r="71" spans="1:14" ht="14.4" customHeight="1" x14ac:dyDescent="0.3">
      <c r="A71" s="632" t="s">
        <v>499</v>
      </c>
      <c r="B71" s="633" t="s">
        <v>501</v>
      </c>
      <c r="C71" s="634" t="s">
        <v>511</v>
      </c>
      <c r="D71" s="635" t="s">
        <v>512</v>
      </c>
      <c r="E71" s="634" t="s">
        <v>502</v>
      </c>
      <c r="F71" s="635" t="s">
        <v>503</v>
      </c>
      <c r="G71" s="634" t="s">
        <v>532</v>
      </c>
      <c r="H71" s="634" t="s">
        <v>763</v>
      </c>
      <c r="I71" s="634" t="s">
        <v>764</v>
      </c>
      <c r="J71" s="634" t="s">
        <v>765</v>
      </c>
      <c r="K71" s="634" t="s">
        <v>766</v>
      </c>
      <c r="L71" s="636">
        <v>382.37848977384004</v>
      </c>
      <c r="M71" s="636">
        <v>3</v>
      </c>
      <c r="N71" s="637">
        <v>1147.1354693215201</v>
      </c>
    </row>
    <row r="72" spans="1:14" ht="14.4" customHeight="1" x14ac:dyDescent="0.3">
      <c r="A72" s="632" t="s">
        <v>499</v>
      </c>
      <c r="B72" s="633" t="s">
        <v>501</v>
      </c>
      <c r="C72" s="634" t="s">
        <v>511</v>
      </c>
      <c r="D72" s="635" t="s">
        <v>512</v>
      </c>
      <c r="E72" s="634" t="s">
        <v>502</v>
      </c>
      <c r="F72" s="635" t="s">
        <v>503</v>
      </c>
      <c r="G72" s="634" t="s">
        <v>532</v>
      </c>
      <c r="H72" s="634" t="s">
        <v>767</v>
      </c>
      <c r="I72" s="634" t="s">
        <v>768</v>
      </c>
      <c r="J72" s="634" t="s">
        <v>641</v>
      </c>
      <c r="K72" s="634" t="s">
        <v>769</v>
      </c>
      <c r="L72" s="636">
        <v>22.489919210098666</v>
      </c>
      <c r="M72" s="636">
        <v>88</v>
      </c>
      <c r="N72" s="637">
        <v>1979.1128904886828</v>
      </c>
    </row>
    <row r="73" spans="1:14" ht="14.4" customHeight="1" x14ac:dyDescent="0.3">
      <c r="A73" s="632" t="s">
        <v>499</v>
      </c>
      <c r="B73" s="633" t="s">
        <v>501</v>
      </c>
      <c r="C73" s="634" t="s">
        <v>511</v>
      </c>
      <c r="D73" s="635" t="s">
        <v>512</v>
      </c>
      <c r="E73" s="634" t="s">
        <v>502</v>
      </c>
      <c r="F73" s="635" t="s">
        <v>503</v>
      </c>
      <c r="G73" s="634" t="s">
        <v>532</v>
      </c>
      <c r="H73" s="634" t="s">
        <v>770</v>
      </c>
      <c r="I73" s="634" t="s">
        <v>771</v>
      </c>
      <c r="J73" s="634" t="s">
        <v>772</v>
      </c>
      <c r="K73" s="634" t="s">
        <v>773</v>
      </c>
      <c r="L73" s="636">
        <v>75.482473558203196</v>
      </c>
      <c r="M73" s="636">
        <v>7</v>
      </c>
      <c r="N73" s="637">
        <v>528.37731490742237</v>
      </c>
    </row>
    <row r="74" spans="1:14" ht="14.4" customHeight="1" x14ac:dyDescent="0.3">
      <c r="A74" s="632" t="s">
        <v>499</v>
      </c>
      <c r="B74" s="633" t="s">
        <v>501</v>
      </c>
      <c r="C74" s="634" t="s">
        <v>511</v>
      </c>
      <c r="D74" s="635" t="s">
        <v>512</v>
      </c>
      <c r="E74" s="634" t="s">
        <v>502</v>
      </c>
      <c r="F74" s="635" t="s">
        <v>503</v>
      </c>
      <c r="G74" s="634" t="s">
        <v>532</v>
      </c>
      <c r="H74" s="634" t="s">
        <v>774</v>
      </c>
      <c r="I74" s="634" t="s">
        <v>775</v>
      </c>
      <c r="J74" s="634" t="s">
        <v>776</v>
      </c>
      <c r="K74" s="634" t="s">
        <v>777</v>
      </c>
      <c r="L74" s="636">
        <v>60.399559739625801</v>
      </c>
      <c r="M74" s="636">
        <v>1</v>
      </c>
      <c r="N74" s="637">
        <v>60.399559739625801</v>
      </c>
    </row>
    <row r="75" spans="1:14" ht="14.4" customHeight="1" x14ac:dyDescent="0.3">
      <c r="A75" s="632" t="s">
        <v>499</v>
      </c>
      <c r="B75" s="633" t="s">
        <v>501</v>
      </c>
      <c r="C75" s="634" t="s">
        <v>511</v>
      </c>
      <c r="D75" s="635" t="s">
        <v>512</v>
      </c>
      <c r="E75" s="634" t="s">
        <v>502</v>
      </c>
      <c r="F75" s="635" t="s">
        <v>503</v>
      </c>
      <c r="G75" s="634" t="s">
        <v>532</v>
      </c>
      <c r="H75" s="634" t="s">
        <v>778</v>
      </c>
      <c r="I75" s="634" t="s">
        <v>779</v>
      </c>
      <c r="J75" s="634" t="s">
        <v>780</v>
      </c>
      <c r="K75" s="634" t="s">
        <v>781</v>
      </c>
      <c r="L75" s="636">
        <v>77</v>
      </c>
      <c r="M75" s="636">
        <v>2</v>
      </c>
      <c r="N75" s="637">
        <v>154</v>
      </c>
    </row>
    <row r="76" spans="1:14" ht="14.4" customHeight="1" x14ac:dyDescent="0.3">
      <c r="A76" s="632" t="s">
        <v>499</v>
      </c>
      <c r="B76" s="633" t="s">
        <v>501</v>
      </c>
      <c r="C76" s="634" t="s">
        <v>511</v>
      </c>
      <c r="D76" s="635" t="s">
        <v>512</v>
      </c>
      <c r="E76" s="634" t="s">
        <v>502</v>
      </c>
      <c r="F76" s="635" t="s">
        <v>503</v>
      </c>
      <c r="G76" s="634" t="s">
        <v>532</v>
      </c>
      <c r="H76" s="634" t="s">
        <v>782</v>
      </c>
      <c r="I76" s="634" t="s">
        <v>783</v>
      </c>
      <c r="J76" s="634" t="s">
        <v>784</v>
      </c>
      <c r="K76" s="634" t="s">
        <v>785</v>
      </c>
      <c r="L76" s="636">
        <v>103.4911111111111</v>
      </c>
      <c r="M76" s="636">
        <v>9</v>
      </c>
      <c r="N76" s="637">
        <v>931.41999999999985</v>
      </c>
    </row>
    <row r="77" spans="1:14" ht="14.4" customHeight="1" x14ac:dyDescent="0.3">
      <c r="A77" s="632" t="s">
        <v>499</v>
      </c>
      <c r="B77" s="633" t="s">
        <v>501</v>
      </c>
      <c r="C77" s="634" t="s">
        <v>511</v>
      </c>
      <c r="D77" s="635" t="s">
        <v>512</v>
      </c>
      <c r="E77" s="634" t="s">
        <v>502</v>
      </c>
      <c r="F77" s="635" t="s">
        <v>503</v>
      </c>
      <c r="G77" s="634" t="s">
        <v>532</v>
      </c>
      <c r="H77" s="634" t="s">
        <v>786</v>
      </c>
      <c r="I77" s="634" t="s">
        <v>787</v>
      </c>
      <c r="J77" s="634" t="s">
        <v>788</v>
      </c>
      <c r="K77" s="634" t="s">
        <v>789</v>
      </c>
      <c r="L77" s="636">
        <v>67.87</v>
      </c>
      <c r="M77" s="636">
        <v>2</v>
      </c>
      <c r="N77" s="637">
        <v>135.74</v>
      </c>
    </row>
    <row r="78" spans="1:14" ht="14.4" customHeight="1" x14ac:dyDescent="0.3">
      <c r="A78" s="632" t="s">
        <v>499</v>
      </c>
      <c r="B78" s="633" t="s">
        <v>501</v>
      </c>
      <c r="C78" s="634" t="s">
        <v>511</v>
      </c>
      <c r="D78" s="635" t="s">
        <v>512</v>
      </c>
      <c r="E78" s="634" t="s">
        <v>502</v>
      </c>
      <c r="F78" s="635" t="s">
        <v>503</v>
      </c>
      <c r="G78" s="634" t="s">
        <v>532</v>
      </c>
      <c r="H78" s="634" t="s">
        <v>790</v>
      </c>
      <c r="I78" s="634" t="s">
        <v>791</v>
      </c>
      <c r="J78" s="634" t="s">
        <v>792</v>
      </c>
      <c r="K78" s="634" t="s">
        <v>793</v>
      </c>
      <c r="L78" s="636">
        <v>100.1930769230769</v>
      </c>
      <c r="M78" s="636">
        <v>13</v>
      </c>
      <c r="N78" s="637">
        <v>1302.5099999999998</v>
      </c>
    </row>
    <row r="79" spans="1:14" ht="14.4" customHeight="1" x14ac:dyDescent="0.3">
      <c r="A79" s="632" t="s">
        <v>499</v>
      </c>
      <c r="B79" s="633" t="s">
        <v>501</v>
      </c>
      <c r="C79" s="634" t="s">
        <v>511</v>
      </c>
      <c r="D79" s="635" t="s">
        <v>512</v>
      </c>
      <c r="E79" s="634" t="s">
        <v>502</v>
      </c>
      <c r="F79" s="635" t="s">
        <v>503</v>
      </c>
      <c r="G79" s="634" t="s">
        <v>532</v>
      </c>
      <c r="H79" s="634" t="s">
        <v>794</v>
      </c>
      <c r="I79" s="634" t="s">
        <v>795</v>
      </c>
      <c r="J79" s="634" t="s">
        <v>796</v>
      </c>
      <c r="K79" s="634"/>
      <c r="L79" s="636">
        <v>198.99714971987299</v>
      </c>
      <c r="M79" s="636">
        <v>5</v>
      </c>
      <c r="N79" s="637">
        <v>994.98574859936491</v>
      </c>
    </row>
    <row r="80" spans="1:14" ht="14.4" customHeight="1" x14ac:dyDescent="0.3">
      <c r="A80" s="632" t="s">
        <v>499</v>
      </c>
      <c r="B80" s="633" t="s">
        <v>501</v>
      </c>
      <c r="C80" s="634" t="s">
        <v>511</v>
      </c>
      <c r="D80" s="635" t="s">
        <v>512</v>
      </c>
      <c r="E80" s="634" t="s">
        <v>502</v>
      </c>
      <c r="F80" s="635" t="s">
        <v>503</v>
      </c>
      <c r="G80" s="634" t="s">
        <v>532</v>
      </c>
      <c r="H80" s="634" t="s">
        <v>797</v>
      </c>
      <c r="I80" s="634" t="s">
        <v>798</v>
      </c>
      <c r="J80" s="634" t="s">
        <v>799</v>
      </c>
      <c r="K80" s="634" t="s">
        <v>800</v>
      </c>
      <c r="L80" s="636">
        <v>161.82</v>
      </c>
      <c r="M80" s="636">
        <v>2</v>
      </c>
      <c r="N80" s="637">
        <v>323.64</v>
      </c>
    </row>
    <row r="81" spans="1:14" ht="14.4" customHeight="1" x14ac:dyDescent="0.3">
      <c r="A81" s="632" t="s">
        <v>499</v>
      </c>
      <c r="B81" s="633" t="s">
        <v>501</v>
      </c>
      <c r="C81" s="634" t="s">
        <v>511</v>
      </c>
      <c r="D81" s="635" t="s">
        <v>512</v>
      </c>
      <c r="E81" s="634" t="s">
        <v>502</v>
      </c>
      <c r="F81" s="635" t="s">
        <v>503</v>
      </c>
      <c r="G81" s="634" t="s">
        <v>532</v>
      </c>
      <c r="H81" s="634" t="s">
        <v>801</v>
      </c>
      <c r="I81" s="634" t="s">
        <v>802</v>
      </c>
      <c r="J81" s="634" t="s">
        <v>803</v>
      </c>
      <c r="K81" s="634" t="s">
        <v>804</v>
      </c>
      <c r="L81" s="636">
        <v>75.239999999999995</v>
      </c>
      <c r="M81" s="636">
        <v>1</v>
      </c>
      <c r="N81" s="637">
        <v>75.239999999999995</v>
      </c>
    </row>
    <row r="82" spans="1:14" ht="14.4" customHeight="1" x14ac:dyDescent="0.3">
      <c r="A82" s="632" t="s">
        <v>499</v>
      </c>
      <c r="B82" s="633" t="s">
        <v>501</v>
      </c>
      <c r="C82" s="634" t="s">
        <v>511</v>
      </c>
      <c r="D82" s="635" t="s">
        <v>512</v>
      </c>
      <c r="E82" s="634" t="s">
        <v>502</v>
      </c>
      <c r="F82" s="635" t="s">
        <v>503</v>
      </c>
      <c r="G82" s="634" t="s">
        <v>532</v>
      </c>
      <c r="H82" s="634" t="s">
        <v>805</v>
      </c>
      <c r="I82" s="634" t="s">
        <v>805</v>
      </c>
      <c r="J82" s="634" t="s">
        <v>806</v>
      </c>
      <c r="K82" s="634" t="s">
        <v>807</v>
      </c>
      <c r="L82" s="636">
        <v>127.61000000000001</v>
      </c>
      <c r="M82" s="636">
        <v>3</v>
      </c>
      <c r="N82" s="637">
        <v>382.83000000000004</v>
      </c>
    </row>
    <row r="83" spans="1:14" ht="14.4" customHeight="1" x14ac:dyDescent="0.3">
      <c r="A83" s="632" t="s">
        <v>499</v>
      </c>
      <c r="B83" s="633" t="s">
        <v>501</v>
      </c>
      <c r="C83" s="634" t="s">
        <v>511</v>
      </c>
      <c r="D83" s="635" t="s">
        <v>512</v>
      </c>
      <c r="E83" s="634" t="s">
        <v>502</v>
      </c>
      <c r="F83" s="635" t="s">
        <v>503</v>
      </c>
      <c r="G83" s="634" t="s">
        <v>532</v>
      </c>
      <c r="H83" s="634" t="s">
        <v>808</v>
      </c>
      <c r="I83" s="634" t="s">
        <v>809</v>
      </c>
      <c r="J83" s="634" t="s">
        <v>810</v>
      </c>
      <c r="K83" s="634" t="s">
        <v>811</v>
      </c>
      <c r="L83" s="636">
        <v>87.740000000000009</v>
      </c>
      <c r="M83" s="636">
        <v>2</v>
      </c>
      <c r="N83" s="637">
        <v>175.48000000000002</v>
      </c>
    </row>
    <row r="84" spans="1:14" ht="14.4" customHeight="1" x14ac:dyDescent="0.3">
      <c r="A84" s="632" t="s">
        <v>499</v>
      </c>
      <c r="B84" s="633" t="s">
        <v>501</v>
      </c>
      <c r="C84" s="634" t="s">
        <v>511</v>
      </c>
      <c r="D84" s="635" t="s">
        <v>512</v>
      </c>
      <c r="E84" s="634" t="s">
        <v>502</v>
      </c>
      <c r="F84" s="635" t="s">
        <v>503</v>
      </c>
      <c r="G84" s="634" t="s">
        <v>532</v>
      </c>
      <c r="H84" s="634" t="s">
        <v>812</v>
      </c>
      <c r="I84" s="634" t="s">
        <v>813</v>
      </c>
      <c r="J84" s="634" t="s">
        <v>814</v>
      </c>
      <c r="K84" s="634" t="s">
        <v>815</v>
      </c>
      <c r="L84" s="636">
        <v>122.98</v>
      </c>
      <c r="M84" s="636">
        <v>1</v>
      </c>
      <c r="N84" s="637">
        <v>122.98</v>
      </c>
    </row>
    <row r="85" spans="1:14" ht="14.4" customHeight="1" x14ac:dyDescent="0.3">
      <c r="A85" s="632" t="s">
        <v>499</v>
      </c>
      <c r="B85" s="633" t="s">
        <v>501</v>
      </c>
      <c r="C85" s="634" t="s">
        <v>511</v>
      </c>
      <c r="D85" s="635" t="s">
        <v>512</v>
      </c>
      <c r="E85" s="634" t="s">
        <v>502</v>
      </c>
      <c r="F85" s="635" t="s">
        <v>503</v>
      </c>
      <c r="G85" s="634" t="s">
        <v>532</v>
      </c>
      <c r="H85" s="634" t="s">
        <v>816</v>
      </c>
      <c r="I85" s="634" t="s">
        <v>816</v>
      </c>
      <c r="J85" s="634" t="s">
        <v>817</v>
      </c>
      <c r="K85" s="634" t="s">
        <v>818</v>
      </c>
      <c r="L85" s="636">
        <v>100.3500989985</v>
      </c>
      <c r="M85" s="636">
        <v>3</v>
      </c>
      <c r="N85" s="637">
        <v>301.05029699549999</v>
      </c>
    </row>
    <row r="86" spans="1:14" ht="14.4" customHeight="1" x14ac:dyDescent="0.3">
      <c r="A86" s="632" t="s">
        <v>499</v>
      </c>
      <c r="B86" s="633" t="s">
        <v>501</v>
      </c>
      <c r="C86" s="634" t="s">
        <v>511</v>
      </c>
      <c r="D86" s="635" t="s">
        <v>512</v>
      </c>
      <c r="E86" s="634" t="s">
        <v>502</v>
      </c>
      <c r="F86" s="635" t="s">
        <v>503</v>
      </c>
      <c r="G86" s="634" t="s">
        <v>532</v>
      </c>
      <c r="H86" s="634" t="s">
        <v>819</v>
      </c>
      <c r="I86" s="634" t="s">
        <v>820</v>
      </c>
      <c r="J86" s="634" t="s">
        <v>821</v>
      </c>
      <c r="K86" s="634" t="s">
        <v>822</v>
      </c>
      <c r="L86" s="636">
        <v>69.623636363636351</v>
      </c>
      <c r="M86" s="636">
        <v>11</v>
      </c>
      <c r="N86" s="637">
        <v>765.8599999999999</v>
      </c>
    </row>
    <row r="87" spans="1:14" ht="14.4" customHeight="1" x14ac:dyDescent="0.3">
      <c r="A87" s="632" t="s">
        <v>499</v>
      </c>
      <c r="B87" s="633" t="s">
        <v>501</v>
      </c>
      <c r="C87" s="634" t="s">
        <v>511</v>
      </c>
      <c r="D87" s="635" t="s">
        <v>512</v>
      </c>
      <c r="E87" s="634" t="s">
        <v>502</v>
      </c>
      <c r="F87" s="635" t="s">
        <v>503</v>
      </c>
      <c r="G87" s="634" t="s">
        <v>532</v>
      </c>
      <c r="H87" s="634" t="s">
        <v>823</v>
      </c>
      <c r="I87" s="634" t="s">
        <v>824</v>
      </c>
      <c r="J87" s="634" t="s">
        <v>825</v>
      </c>
      <c r="K87" s="634" t="s">
        <v>826</v>
      </c>
      <c r="L87" s="636">
        <v>100.51</v>
      </c>
      <c r="M87" s="636">
        <v>3</v>
      </c>
      <c r="N87" s="637">
        <v>301.53000000000003</v>
      </c>
    </row>
    <row r="88" spans="1:14" ht="14.4" customHeight="1" x14ac:dyDescent="0.3">
      <c r="A88" s="632" t="s">
        <v>499</v>
      </c>
      <c r="B88" s="633" t="s">
        <v>501</v>
      </c>
      <c r="C88" s="634" t="s">
        <v>511</v>
      </c>
      <c r="D88" s="635" t="s">
        <v>512</v>
      </c>
      <c r="E88" s="634" t="s">
        <v>502</v>
      </c>
      <c r="F88" s="635" t="s">
        <v>503</v>
      </c>
      <c r="G88" s="634" t="s">
        <v>532</v>
      </c>
      <c r="H88" s="634" t="s">
        <v>827</v>
      </c>
      <c r="I88" s="634" t="s">
        <v>828</v>
      </c>
      <c r="J88" s="634" t="s">
        <v>829</v>
      </c>
      <c r="K88" s="634" t="s">
        <v>830</v>
      </c>
      <c r="L88" s="636">
        <v>184.25571428571428</v>
      </c>
      <c r="M88" s="636">
        <v>1</v>
      </c>
      <c r="N88" s="637">
        <v>184.25571428571428</v>
      </c>
    </row>
    <row r="89" spans="1:14" ht="14.4" customHeight="1" x14ac:dyDescent="0.3">
      <c r="A89" s="632" t="s">
        <v>499</v>
      </c>
      <c r="B89" s="633" t="s">
        <v>501</v>
      </c>
      <c r="C89" s="634" t="s">
        <v>511</v>
      </c>
      <c r="D89" s="635" t="s">
        <v>512</v>
      </c>
      <c r="E89" s="634" t="s">
        <v>502</v>
      </c>
      <c r="F89" s="635" t="s">
        <v>503</v>
      </c>
      <c r="G89" s="634" t="s">
        <v>532</v>
      </c>
      <c r="H89" s="634" t="s">
        <v>831</v>
      </c>
      <c r="I89" s="634" t="s">
        <v>832</v>
      </c>
      <c r="J89" s="634" t="s">
        <v>833</v>
      </c>
      <c r="K89" s="634" t="s">
        <v>834</v>
      </c>
      <c r="L89" s="636">
        <v>22.262495977988635</v>
      </c>
      <c r="M89" s="636">
        <v>12</v>
      </c>
      <c r="N89" s="637">
        <v>267.14995173586362</v>
      </c>
    </row>
    <row r="90" spans="1:14" ht="14.4" customHeight="1" x14ac:dyDescent="0.3">
      <c r="A90" s="632" t="s">
        <v>499</v>
      </c>
      <c r="B90" s="633" t="s">
        <v>501</v>
      </c>
      <c r="C90" s="634" t="s">
        <v>511</v>
      </c>
      <c r="D90" s="635" t="s">
        <v>512</v>
      </c>
      <c r="E90" s="634" t="s">
        <v>502</v>
      </c>
      <c r="F90" s="635" t="s">
        <v>503</v>
      </c>
      <c r="G90" s="634" t="s">
        <v>532</v>
      </c>
      <c r="H90" s="634" t="s">
        <v>835</v>
      </c>
      <c r="I90" s="634" t="s">
        <v>835</v>
      </c>
      <c r="J90" s="634" t="s">
        <v>836</v>
      </c>
      <c r="K90" s="634" t="s">
        <v>837</v>
      </c>
      <c r="L90" s="636">
        <v>154.5</v>
      </c>
      <c r="M90" s="636">
        <v>3</v>
      </c>
      <c r="N90" s="637">
        <v>463.5</v>
      </c>
    </row>
    <row r="91" spans="1:14" ht="14.4" customHeight="1" x14ac:dyDescent="0.3">
      <c r="A91" s="632" t="s">
        <v>499</v>
      </c>
      <c r="B91" s="633" t="s">
        <v>501</v>
      </c>
      <c r="C91" s="634" t="s">
        <v>511</v>
      </c>
      <c r="D91" s="635" t="s">
        <v>512</v>
      </c>
      <c r="E91" s="634" t="s">
        <v>502</v>
      </c>
      <c r="F91" s="635" t="s">
        <v>503</v>
      </c>
      <c r="G91" s="634" t="s">
        <v>532</v>
      </c>
      <c r="H91" s="634" t="s">
        <v>838</v>
      </c>
      <c r="I91" s="634" t="s">
        <v>839</v>
      </c>
      <c r="J91" s="634" t="s">
        <v>840</v>
      </c>
      <c r="K91" s="634" t="s">
        <v>841</v>
      </c>
      <c r="L91" s="636">
        <v>105.70516465422432</v>
      </c>
      <c r="M91" s="636">
        <v>2</v>
      </c>
      <c r="N91" s="637">
        <v>211.41032930844864</v>
      </c>
    </row>
    <row r="92" spans="1:14" ht="14.4" customHeight="1" x14ac:dyDescent="0.3">
      <c r="A92" s="632" t="s">
        <v>499</v>
      </c>
      <c r="B92" s="633" t="s">
        <v>501</v>
      </c>
      <c r="C92" s="634" t="s">
        <v>511</v>
      </c>
      <c r="D92" s="635" t="s">
        <v>512</v>
      </c>
      <c r="E92" s="634" t="s">
        <v>502</v>
      </c>
      <c r="F92" s="635" t="s">
        <v>503</v>
      </c>
      <c r="G92" s="634" t="s">
        <v>532</v>
      </c>
      <c r="H92" s="634" t="s">
        <v>842</v>
      </c>
      <c r="I92" s="634" t="s">
        <v>843</v>
      </c>
      <c r="J92" s="634" t="s">
        <v>844</v>
      </c>
      <c r="K92" s="634" t="s">
        <v>845</v>
      </c>
      <c r="L92" s="636">
        <v>121.26155932334437</v>
      </c>
      <c r="M92" s="636">
        <v>11</v>
      </c>
      <c r="N92" s="637">
        <v>1333.8771525567881</v>
      </c>
    </row>
    <row r="93" spans="1:14" ht="14.4" customHeight="1" x14ac:dyDescent="0.3">
      <c r="A93" s="632" t="s">
        <v>499</v>
      </c>
      <c r="B93" s="633" t="s">
        <v>501</v>
      </c>
      <c r="C93" s="634" t="s">
        <v>511</v>
      </c>
      <c r="D93" s="635" t="s">
        <v>512</v>
      </c>
      <c r="E93" s="634" t="s">
        <v>502</v>
      </c>
      <c r="F93" s="635" t="s">
        <v>503</v>
      </c>
      <c r="G93" s="634" t="s">
        <v>532</v>
      </c>
      <c r="H93" s="634" t="s">
        <v>846</v>
      </c>
      <c r="I93" s="634" t="s">
        <v>847</v>
      </c>
      <c r="J93" s="634" t="s">
        <v>848</v>
      </c>
      <c r="K93" s="634" t="s">
        <v>849</v>
      </c>
      <c r="L93" s="636">
        <v>119.251875</v>
      </c>
      <c r="M93" s="636">
        <v>16</v>
      </c>
      <c r="N93" s="637">
        <v>1908.03</v>
      </c>
    </row>
    <row r="94" spans="1:14" ht="14.4" customHeight="1" x14ac:dyDescent="0.3">
      <c r="A94" s="632" t="s">
        <v>499</v>
      </c>
      <c r="B94" s="633" t="s">
        <v>501</v>
      </c>
      <c r="C94" s="634" t="s">
        <v>511</v>
      </c>
      <c r="D94" s="635" t="s">
        <v>512</v>
      </c>
      <c r="E94" s="634" t="s">
        <v>502</v>
      </c>
      <c r="F94" s="635" t="s">
        <v>503</v>
      </c>
      <c r="G94" s="634" t="s">
        <v>532</v>
      </c>
      <c r="H94" s="634" t="s">
        <v>850</v>
      </c>
      <c r="I94" s="634" t="s">
        <v>851</v>
      </c>
      <c r="J94" s="634" t="s">
        <v>848</v>
      </c>
      <c r="K94" s="634" t="s">
        <v>852</v>
      </c>
      <c r="L94" s="636">
        <v>139.41932969779697</v>
      </c>
      <c r="M94" s="636">
        <v>8</v>
      </c>
      <c r="N94" s="637">
        <v>1115.3546375823757</v>
      </c>
    </row>
    <row r="95" spans="1:14" ht="14.4" customHeight="1" x14ac:dyDescent="0.3">
      <c r="A95" s="632" t="s">
        <v>499</v>
      </c>
      <c r="B95" s="633" t="s">
        <v>501</v>
      </c>
      <c r="C95" s="634" t="s">
        <v>511</v>
      </c>
      <c r="D95" s="635" t="s">
        <v>512</v>
      </c>
      <c r="E95" s="634" t="s">
        <v>502</v>
      </c>
      <c r="F95" s="635" t="s">
        <v>503</v>
      </c>
      <c r="G95" s="634" t="s">
        <v>532</v>
      </c>
      <c r="H95" s="634" t="s">
        <v>853</v>
      </c>
      <c r="I95" s="634" t="s">
        <v>854</v>
      </c>
      <c r="J95" s="634" t="s">
        <v>855</v>
      </c>
      <c r="K95" s="634" t="s">
        <v>856</v>
      </c>
      <c r="L95" s="636">
        <v>81.319674953123595</v>
      </c>
      <c r="M95" s="636">
        <v>1</v>
      </c>
      <c r="N95" s="637">
        <v>81.319674953123595</v>
      </c>
    </row>
    <row r="96" spans="1:14" ht="14.4" customHeight="1" x14ac:dyDescent="0.3">
      <c r="A96" s="632" t="s">
        <v>499</v>
      </c>
      <c r="B96" s="633" t="s">
        <v>501</v>
      </c>
      <c r="C96" s="634" t="s">
        <v>511</v>
      </c>
      <c r="D96" s="635" t="s">
        <v>512</v>
      </c>
      <c r="E96" s="634" t="s">
        <v>502</v>
      </c>
      <c r="F96" s="635" t="s">
        <v>503</v>
      </c>
      <c r="G96" s="634" t="s">
        <v>532</v>
      </c>
      <c r="H96" s="634" t="s">
        <v>857</v>
      </c>
      <c r="I96" s="634" t="s">
        <v>858</v>
      </c>
      <c r="J96" s="634" t="s">
        <v>859</v>
      </c>
      <c r="K96" s="634" t="s">
        <v>860</v>
      </c>
      <c r="L96" s="636">
        <v>72.957202690846316</v>
      </c>
      <c r="M96" s="636">
        <v>22</v>
      </c>
      <c r="N96" s="637">
        <v>1605.0584591986189</v>
      </c>
    </row>
    <row r="97" spans="1:14" ht="14.4" customHeight="1" x14ac:dyDescent="0.3">
      <c r="A97" s="632" t="s">
        <v>499</v>
      </c>
      <c r="B97" s="633" t="s">
        <v>501</v>
      </c>
      <c r="C97" s="634" t="s">
        <v>511</v>
      </c>
      <c r="D97" s="635" t="s">
        <v>512</v>
      </c>
      <c r="E97" s="634" t="s">
        <v>502</v>
      </c>
      <c r="F97" s="635" t="s">
        <v>503</v>
      </c>
      <c r="G97" s="634" t="s">
        <v>532</v>
      </c>
      <c r="H97" s="634" t="s">
        <v>861</v>
      </c>
      <c r="I97" s="634" t="s">
        <v>862</v>
      </c>
      <c r="J97" s="634" t="s">
        <v>863</v>
      </c>
      <c r="K97" s="634" t="s">
        <v>864</v>
      </c>
      <c r="L97" s="636">
        <v>44.631377839928199</v>
      </c>
      <c r="M97" s="636">
        <v>60</v>
      </c>
      <c r="N97" s="637">
        <v>2677.882670395692</v>
      </c>
    </row>
    <row r="98" spans="1:14" ht="14.4" customHeight="1" x14ac:dyDescent="0.3">
      <c r="A98" s="632" t="s">
        <v>499</v>
      </c>
      <c r="B98" s="633" t="s">
        <v>501</v>
      </c>
      <c r="C98" s="634" t="s">
        <v>511</v>
      </c>
      <c r="D98" s="635" t="s">
        <v>512</v>
      </c>
      <c r="E98" s="634" t="s">
        <v>502</v>
      </c>
      <c r="F98" s="635" t="s">
        <v>503</v>
      </c>
      <c r="G98" s="634" t="s">
        <v>532</v>
      </c>
      <c r="H98" s="634" t="s">
        <v>865</v>
      </c>
      <c r="I98" s="634" t="s">
        <v>866</v>
      </c>
      <c r="J98" s="634" t="s">
        <v>867</v>
      </c>
      <c r="K98" s="634" t="s">
        <v>868</v>
      </c>
      <c r="L98" s="636">
        <v>59.23</v>
      </c>
      <c r="M98" s="636">
        <v>3</v>
      </c>
      <c r="N98" s="637">
        <v>177.69</v>
      </c>
    </row>
    <row r="99" spans="1:14" ht="14.4" customHeight="1" x14ac:dyDescent="0.3">
      <c r="A99" s="632" t="s">
        <v>499</v>
      </c>
      <c r="B99" s="633" t="s">
        <v>501</v>
      </c>
      <c r="C99" s="634" t="s">
        <v>511</v>
      </c>
      <c r="D99" s="635" t="s">
        <v>512</v>
      </c>
      <c r="E99" s="634" t="s">
        <v>502</v>
      </c>
      <c r="F99" s="635" t="s">
        <v>503</v>
      </c>
      <c r="G99" s="634" t="s">
        <v>532</v>
      </c>
      <c r="H99" s="634" t="s">
        <v>869</v>
      </c>
      <c r="I99" s="634" t="s">
        <v>870</v>
      </c>
      <c r="J99" s="634" t="s">
        <v>871</v>
      </c>
      <c r="K99" s="634" t="s">
        <v>872</v>
      </c>
      <c r="L99" s="636">
        <v>46.136000000000003</v>
      </c>
      <c r="M99" s="636">
        <v>15</v>
      </c>
      <c r="N99" s="637">
        <v>692.04000000000008</v>
      </c>
    </row>
    <row r="100" spans="1:14" ht="14.4" customHeight="1" x14ac:dyDescent="0.3">
      <c r="A100" s="632" t="s">
        <v>499</v>
      </c>
      <c r="B100" s="633" t="s">
        <v>501</v>
      </c>
      <c r="C100" s="634" t="s">
        <v>511</v>
      </c>
      <c r="D100" s="635" t="s">
        <v>512</v>
      </c>
      <c r="E100" s="634" t="s">
        <v>502</v>
      </c>
      <c r="F100" s="635" t="s">
        <v>503</v>
      </c>
      <c r="G100" s="634" t="s">
        <v>532</v>
      </c>
      <c r="H100" s="634" t="s">
        <v>873</v>
      </c>
      <c r="I100" s="634" t="s">
        <v>874</v>
      </c>
      <c r="J100" s="634" t="s">
        <v>875</v>
      </c>
      <c r="K100" s="634" t="s">
        <v>876</v>
      </c>
      <c r="L100" s="636">
        <v>92.564485811990792</v>
      </c>
      <c r="M100" s="636">
        <v>9</v>
      </c>
      <c r="N100" s="637">
        <v>833.08037230791717</v>
      </c>
    </row>
    <row r="101" spans="1:14" ht="14.4" customHeight="1" x14ac:dyDescent="0.3">
      <c r="A101" s="632" t="s">
        <v>499</v>
      </c>
      <c r="B101" s="633" t="s">
        <v>501</v>
      </c>
      <c r="C101" s="634" t="s">
        <v>511</v>
      </c>
      <c r="D101" s="635" t="s">
        <v>512</v>
      </c>
      <c r="E101" s="634" t="s">
        <v>502</v>
      </c>
      <c r="F101" s="635" t="s">
        <v>503</v>
      </c>
      <c r="G101" s="634" t="s">
        <v>532</v>
      </c>
      <c r="H101" s="634" t="s">
        <v>877</v>
      </c>
      <c r="I101" s="634" t="s">
        <v>877</v>
      </c>
      <c r="J101" s="634" t="s">
        <v>878</v>
      </c>
      <c r="K101" s="634" t="s">
        <v>879</v>
      </c>
      <c r="L101" s="636">
        <v>61.396666666666661</v>
      </c>
      <c r="M101" s="636">
        <v>9</v>
      </c>
      <c r="N101" s="637">
        <v>552.56999999999994</v>
      </c>
    </row>
    <row r="102" spans="1:14" ht="14.4" customHeight="1" x14ac:dyDescent="0.3">
      <c r="A102" s="632" t="s">
        <v>499</v>
      </c>
      <c r="B102" s="633" t="s">
        <v>501</v>
      </c>
      <c r="C102" s="634" t="s">
        <v>511</v>
      </c>
      <c r="D102" s="635" t="s">
        <v>512</v>
      </c>
      <c r="E102" s="634" t="s">
        <v>502</v>
      </c>
      <c r="F102" s="635" t="s">
        <v>503</v>
      </c>
      <c r="G102" s="634" t="s">
        <v>532</v>
      </c>
      <c r="H102" s="634" t="s">
        <v>880</v>
      </c>
      <c r="I102" s="634" t="s">
        <v>880</v>
      </c>
      <c r="J102" s="634" t="s">
        <v>878</v>
      </c>
      <c r="K102" s="634" t="s">
        <v>881</v>
      </c>
      <c r="L102" s="636">
        <v>99.659822395178068</v>
      </c>
      <c r="M102" s="636">
        <v>6</v>
      </c>
      <c r="N102" s="637">
        <v>597.95893437106838</v>
      </c>
    </row>
    <row r="103" spans="1:14" ht="14.4" customHeight="1" x14ac:dyDescent="0.3">
      <c r="A103" s="632" t="s">
        <v>499</v>
      </c>
      <c r="B103" s="633" t="s">
        <v>501</v>
      </c>
      <c r="C103" s="634" t="s">
        <v>511</v>
      </c>
      <c r="D103" s="635" t="s">
        <v>512</v>
      </c>
      <c r="E103" s="634" t="s">
        <v>502</v>
      </c>
      <c r="F103" s="635" t="s">
        <v>503</v>
      </c>
      <c r="G103" s="634" t="s">
        <v>532</v>
      </c>
      <c r="H103" s="634" t="s">
        <v>882</v>
      </c>
      <c r="I103" s="634" t="s">
        <v>882</v>
      </c>
      <c r="J103" s="634" t="s">
        <v>883</v>
      </c>
      <c r="K103" s="634" t="s">
        <v>884</v>
      </c>
      <c r="L103" s="636">
        <v>106.77734611829939</v>
      </c>
      <c r="M103" s="636">
        <v>13</v>
      </c>
      <c r="N103" s="637">
        <v>1388.105499537892</v>
      </c>
    </row>
    <row r="104" spans="1:14" ht="14.4" customHeight="1" x14ac:dyDescent="0.3">
      <c r="A104" s="632" t="s">
        <v>499</v>
      </c>
      <c r="B104" s="633" t="s">
        <v>501</v>
      </c>
      <c r="C104" s="634" t="s">
        <v>511</v>
      </c>
      <c r="D104" s="635" t="s">
        <v>512</v>
      </c>
      <c r="E104" s="634" t="s">
        <v>502</v>
      </c>
      <c r="F104" s="635" t="s">
        <v>503</v>
      </c>
      <c r="G104" s="634" t="s">
        <v>532</v>
      </c>
      <c r="H104" s="634" t="s">
        <v>885</v>
      </c>
      <c r="I104" s="634" t="s">
        <v>886</v>
      </c>
      <c r="J104" s="634" t="s">
        <v>887</v>
      </c>
      <c r="K104" s="634" t="s">
        <v>888</v>
      </c>
      <c r="L104" s="636">
        <v>41.7</v>
      </c>
      <c r="M104" s="636">
        <v>2</v>
      </c>
      <c r="N104" s="637">
        <v>83.4</v>
      </c>
    </row>
    <row r="105" spans="1:14" ht="14.4" customHeight="1" x14ac:dyDescent="0.3">
      <c r="A105" s="632" t="s">
        <v>499</v>
      </c>
      <c r="B105" s="633" t="s">
        <v>501</v>
      </c>
      <c r="C105" s="634" t="s">
        <v>511</v>
      </c>
      <c r="D105" s="635" t="s">
        <v>512</v>
      </c>
      <c r="E105" s="634" t="s">
        <v>502</v>
      </c>
      <c r="F105" s="635" t="s">
        <v>503</v>
      </c>
      <c r="G105" s="634" t="s">
        <v>532</v>
      </c>
      <c r="H105" s="634" t="s">
        <v>889</v>
      </c>
      <c r="I105" s="634" t="s">
        <v>890</v>
      </c>
      <c r="J105" s="634" t="s">
        <v>891</v>
      </c>
      <c r="K105" s="634" t="s">
        <v>892</v>
      </c>
      <c r="L105" s="636">
        <v>91.704931421577115</v>
      </c>
      <c r="M105" s="636">
        <v>50</v>
      </c>
      <c r="N105" s="637">
        <v>4585.2465710788556</v>
      </c>
    </row>
    <row r="106" spans="1:14" ht="14.4" customHeight="1" x14ac:dyDescent="0.3">
      <c r="A106" s="632" t="s">
        <v>499</v>
      </c>
      <c r="B106" s="633" t="s">
        <v>501</v>
      </c>
      <c r="C106" s="634" t="s">
        <v>511</v>
      </c>
      <c r="D106" s="635" t="s">
        <v>512</v>
      </c>
      <c r="E106" s="634" t="s">
        <v>502</v>
      </c>
      <c r="F106" s="635" t="s">
        <v>503</v>
      </c>
      <c r="G106" s="634" t="s">
        <v>532</v>
      </c>
      <c r="H106" s="634" t="s">
        <v>893</v>
      </c>
      <c r="I106" s="634" t="s">
        <v>894</v>
      </c>
      <c r="J106" s="634" t="s">
        <v>895</v>
      </c>
      <c r="K106" s="634" t="s">
        <v>896</v>
      </c>
      <c r="L106" s="636">
        <v>525.38499999999999</v>
      </c>
      <c r="M106" s="636">
        <v>4</v>
      </c>
      <c r="N106" s="637">
        <v>2101.54</v>
      </c>
    </row>
    <row r="107" spans="1:14" ht="14.4" customHeight="1" x14ac:dyDescent="0.3">
      <c r="A107" s="632" t="s">
        <v>499</v>
      </c>
      <c r="B107" s="633" t="s">
        <v>501</v>
      </c>
      <c r="C107" s="634" t="s">
        <v>511</v>
      </c>
      <c r="D107" s="635" t="s">
        <v>512</v>
      </c>
      <c r="E107" s="634" t="s">
        <v>502</v>
      </c>
      <c r="F107" s="635" t="s">
        <v>503</v>
      </c>
      <c r="G107" s="634" t="s">
        <v>532</v>
      </c>
      <c r="H107" s="634" t="s">
        <v>897</v>
      </c>
      <c r="I107" s="634" t="s">
        <v>898</v>
      </c>
      <c r="J107" s="634" t="s">
        <v>899</v>
      </c>
      <c r="K107" s="634" t="s">
        <v>900</v>
      </c>
      <c r="L107" s="636">
        <v>55.449907842847878</v>
      </c>
      <c r="M107" s="636">
        <v>2</v>
      </c>
      <c r="N107" s="637">
        <v>110.89981568569576</v>
      </c>
    </row>
    <row r="108" spans="1:14" ht="14.4" customHeight="1" x14ac:dyDescent="0.3">
      <c r="A108" s="632" t="s">
        <v>499</v>
      </c>
      <c r="B108" s="633" t="s">
        <v>501</v>
      </c>
      <c r="C108" s="634" t="s">
        <v>511</v>
      </c>
      <c r="D108" s="635" t="s">
        <v>512</v>
      </c>
      <c r="E108" s="634" t="s">
        <v>502</v>
      </c>
      <c r="F108" s="635" t="s">
        <v>503</v>
      </c>
      <c r="G108" s="634" t="s">
        <v>532</v>
      </c>
      <c r="H108" s="634" t="s">
        <v>901</v>
      </c>
      <c r="I108" s="634" t="s">
        <v>902</v>
      </c>
      <c r="J108" s="634" t="s">
        <v>903</v>
      </c>
      <c r="K108" s="634" t="s">
        <v>904</v>
      </c>
      <c r="L108" s="636">
        <v>39.036666666666669</v>
      </c>
      <c r="M108" s="636">
        <v>3</v>
      </c>
      <c r="N108" s="637">
        <v>117.11</v>
      </c>
    </row>
    <row r="109" spans="1:14" ht="14.4" customHeight="1" x14ac:dyDescent="0.3">
      <c r="A109" s="632" t="s">
        <v>499</v>
      </c>
      <c r="B109" s="633" t="s">
        <v>501</v>
      </c>
      <c r="C109" s="634" t="s">
        <v>511</v>
      </c>
      <c r="D109" s="635" t="s">
        <v>512</v>
      </c>
      <c r="E109" s="634" t="s">
        <v>502</v>
      </c>
      <c r="F109" s="635" t="s">
        <v>503</v>
      </c>
      <c r="G109" s="634" t="s">
        <v>532</v>
      </c>
      <c r="H109" s="634" t="s">
        <v>905</v>
      </c>
      <c r="I109" s="634" t="s">
        <v>906</v>
      </c>
      <c r="J109" s="634" t="s">
        <v>907</v>
      </c>
      <c r="K109" s="634" t="s">
        <v>908</v>
      </c>
      <c r="L109" s="636">
        <v>160.32355363425327</v>
      </c>
      <c r="M109" s="636">
        <v>3</v>
      </c>
      <c r="N109" s="637">
        <v>480.97066090275985</v>
      </c>
    </row>
    <row r="110" spans="1:14" ht="14.4" customHeight="1" x14ac:dyDescent="0.3">
      <c r="A110" s="632" t="s">
        <v>499</v>
      </c>
      <c r="B110" s="633" t="s">
        <v>501</v>
      </c>
      <c r="C110" s="634" t="s">
        <v>511</v>
      </c>
      <c r="D110" s="635" t="s">
        <v>512</v>
      </c>
      <c r="E110" s="634" t="s">
        <v>502</v>
      </c>
      <c r="F110" s="635" t="s">
        <v>503</v>
      </c>
      <c r="G110" s="634" t="s">
        <v>532</v>
      </c>
      <c r="H110" s="634" t="s">
        <v>909</v>
      </c>
      <c r="I110" s="634" t="s">
        <v>910</v>
      </c>
      <c r="J110" s="634" t="s">
        <v>669</v>
      </c>
      <c r="K110" s="634" t="s">
        <v>911</v>
      </c>
      <c r="L110" s="636">
        <v>167.12468294872073</v>
      </c>
      <c r="M110" s="636">
        <v>3</v>
      </c>
      <c r="N110" s="637">
        <v>501.37404884616217</v>
      </c>
    </row>
    <row r="111" spans="1:14" ht="14.4" customHeight="1" x14ac:dyDescent="0.3">
      <c r="A111" s="632" t="s">
        <v>499</v>
      </c>
      <c r="B111" s="633" t="s">
        <v>501</v>
      </c>
      <c r="C111" s="634" t="s">
        <v>511</v>
      </c>
      <c r="D111" s="635" t="s">
        <v>512</v>
      </c>
      <c r="E111" s="634" t="s">
        <v>502</v>
      </c>
      <c r="F111" s="635" t="s">
        <v>503</v>
      </c>
      <c r="G111" s="634" t="s">
        <v>532</v>
      </c>
      <c r="H111" s="634" t="s">
        <v>912</v>
      </c>
      <c r="I111" s="634" t="s">
        <v>913</v>
      </c>
      <c r="J111" s="634" t="s">
        <v>914</v>
      </c>
      <c r="K111" s="634" t="s">
        <v>915</v>
      </c>
      <c r="L111" s="636">
        <v>57.009977207414522</v>
      </c>
      <c r="M111" s="636">
        <v>13</v>
      </c>
      <c r="N111" s="637">
        <v>741.12970369638879</v>
      </c>
    </row>
    <row r="112" spans="1:14" ht="14.4" customHeight="1" x14ac:dyDescent="0.3">
      <c r="A112" s="632" t="s">
        <v>499</v>
      </c>
      <c r="B112" s="633" t="s">
        <v>501</v>
      </c>
      <c r="C112" s="634" t="s">
        <v>511</v>
      </c>
      <c r="D112" s="635" t="s">
        <v>512</v>
      </c>
      <c r="E112" s="634" t="s">
        <v>502</v>
      </c>
      <c r="F112" s="635" t="s">
        <v>503</v>
      </c>
      <c r="G112" s="634" t="s">
        <v>532</v>
      </c>
      <c r="H112" s="634" t="s">
        <v>916</v>
      </c>
      <c r="I112" s="634" t="s">
        <v>917</v>
      </c>
      <c r="J112" s="634" t="s">
        <v>918</v>
      </c>
      <c r="K112" s="634" t="s">
        <v>919</v>
      </c>
      <c r="L112" s="636">
        <v>215.96</v>
      </c>
      <c r="M112" s="636">
        <v>3</v>
      </c>
      <c r="N112" s="637">
        <v>647.88</v>
      </c>
    </row>
    <row r="113" spans="1:14" ht="14.4" customHeight="1" x14ac:dyDescent="0.3">
      <c r="A113" s="632" t="s">
        <v>499</v>
      </c>
      <c r="B113" s="633" t="s">
        <v>501</v>
      </c>
      <c r="C113" s="634" t="s">
        <v>511</v>
      </c>
      <c r="D113" s="635" t="s">
        <v>512</v>
      </c>
      <c r="E113" s="634" t="s">
        <v>502</v>
      </c>
      <c r="F113" s="635" t="s">
        <v>503</v>
      </c>
      <c r="G113" s="634" t="s">
        <v>532</v>
      </c>
      <c r="H113" s="634" t="s">
        <v>920</v>
      </c>
      <c r="I113" s="634" t="s">
        <v>920</v>
      </c>
      <c r="J113" s="634" t="s">
        <v>921</v>
      </c>
      <c r="K113" s="634" t="s">
        <v>922</v>
      </c>
      <c r="L113" s="636">
        <v>331.53589176079072</v>
      </c>
      <c r="M113" s="636">
        <v>8</v>
      </c>
      <c r="N113" s="637">
        <v>2652.2871340863258</v>
      </c>
    </row>
    <row r="114" spans="1:14" ht="14.4" customHeight="1" x14ac:dyDescent="0.3">
      <c r="A114" s="632" t="s">
        <v>499</v>
      </c>
      <c r="B114" s="633" t="s">
        <v>501</v>
      </c>
      <c r="C114" s="634" t="s">
        <v>511</v>
      </c>
      <c r="D114" s="635" t="s">
        <v>512</v>
      </c>
      <c r="E114" s="634" t="s">
        <v>502</v>
      </c>
      <c r="F114" s="635" t="s">
        <v>503</v>
      </c>
      <c r="G114" s="634" t="s">
        <v>532</v>
      </c>
      <c r="H114" s="634" t="s">
        <v>923</v>
      </c>
      <c r="I114" s="634" t="s">
        <v>246</v>
      </c>
      <c r="J114" s="634" t="s">
        <v>924</v>
      </c>
      <c r="K114" s="634"/>
      <c r="L114" s="636">
        <v>41.039999999999992</v>
      </c>
      <c r="M114" s="636">
        <v>2</v>
      </c>
      <c r="N114" s="637">
        <v>82.079999999999984</v>
      </c>
    </row>
    <row r="115" spans="1:14" ht="14.4" customHeight="1" x14ac:dyDescent="0.3">
      <c r="A115" s="632" t="s">
        <v>499</v>
      </c>
      <c r="B115" s="633" t="s">
        <v>501</v>
      </c>
      <c r="C115" s="634" t="s">
        <v>511</v>
      </c>
      <c r="D115" s="635" t="s">
        <v>512</v>
      </c>
      <c r="E115" s="634" t="s">
        <v>502</v>
      </c>
      <c r="F115" s="635" t="s">
        <v>503</v>
      </c>
      <c r="G115" s="634" t="s">
        <v>532</v>
      </c>
      <c r="H115" s="634" t="s">
        <v>925</v>
      </c>
      <c r="I115" s="634" t="s">
        <v>246</v>
      </c>
      <c r="J115" s="634" t="s">
        <v>926</v>
      </c>
      <c r="K115" s="634" t="s">
        <v>927</v>
      </c>
      <c r="L115" s="636">
        <v>38.4</v>
      </c>
      <c r="M115" s="636">
        <v>2</v>
      </c>
      <c r="N115" s="637">
        <v>76.8</v>
      </c>
    </row>
    <row r="116" spans="1:14" ht="14.4" customHeight="1" x14ac:dyDescent="0.3">
      <c r="A116" s="632" t="s">
        <v>499</v>
      </c>
      <c r="B116" s="633" t="s">
        <v>501</v>
      </c>
      <c r="C116" s="634" t="s">
        <v>511</v>
      </c>
      <c r="D116" s="635" t="s">
        <v>512</v>
      </c>
      <c r="E116" s="634" t="s">
        <v>502</v>
      </c>
      <c r="F116" s="635" t="s">
        <v>503</v>
      </c>
      <c r="G116" s="634" t="s">
        <v>532</v>
      </c>
      <c r="H116" s="634" t="s">
        <v>928</v>
      </c>
      <c r="I116" s="634" t="s">
        <v>929</v>
      </c>
      <c r="J116" s="634" t="s">
        <v>930</v>
      </c>
      <c r="K116" s="634" t="s">
        <v>931</v>
      </c>
      <c r="L116" s="636">
        <v>69.928323099701061</v>
      </c>
      <c r="M116" s="636">
        <v>25</v>
      </c>
      <c r="N116" s="637">
        <v>1748.2080774925266</v>
      </c>
    </row>
    <row r="117" spans="1:14" ht="14.4" customHeight="1" x14ac:dyDescent="0.3">
      <c r="A117" s="632" t="s">
        <v>499</v>
      </c>
      <c r="B117" s="633" t="s">
        <v>501</v>
      </c>
      <c r="C117" s="634" t="s">
        <v>511</v>
      </c>
      <c r="D117" s="635" t="s">
        <v>512</v>
      </c>
      <c r="E117" s="634" t="s">
        <v>502</v>
      </c>
      <c r="F117" s="635" t="s">
        <v>503</v>
      </c>
      <c r="G117" s="634" t="s">
        <v>532</v>
      </c>
      <c r="H117" s="634" t="s">
        <v>932</v>
      </c>
      <c r="I117" s="634" t="s">
        <v>933</v>
      </c>
      <c r="J117" s="634" t="s">
        <v>934</v>
      </c>
      <c r="K117" s="634" t="s">
        <v>935</v>
      </c>
      <c r="L117" s="636">
        <v>28.76</v>
      </c>
      <c r="M117" s="636">
        <v>4</v>
      </c>
      <c r="N117" s="637">
        <v>115.04</v>
      </c>
    </row>
    <row r="118" spans="1:14" ht="14.4" customHeight="1" x14ac:dyDescent="0.3">
      <c r="A118" s="632" t="s">
        <v>499</v>
      </c>
      <c r="B118" s="633" t="s">
        <v>501</v>
      </c>
      <c r="C118" s="634" t="s">
        <v>511</v>
      </c>
      <c r="D118" s="635" t="s">
        <v>512</v>
      </c>
      <c r="E118" s="634" t="s">
        <v>502</v>
      </c>
      <c r="F118" s="635" t="s">
        <v>503</v>
      </c>
      <c r="G118" s="634" t="s">
        <v>532</v>
      </c>
      <c r="H118" s="634" t="s">
        <v>936</v>
      </c>
      <c r="I118" s="634" t="s">
        <v>246</v>
      </c>
      <c r="J118" s="634" t="s">
        <v>937</v>
      </c>
      <c r="K118" s="634" t="s">
        <v>938</v>
      </c>
      <c r="L118" s="636">
        <v>1440.1225000000038</v>
      </c>
      <c r="M118" s="636">
        <v>1</v>
      </c>
      <c r="N118" s="637">
        <v>1440.1225000000038</v>
      </c>
    </row>
    <row r="119" spans="1:14" ht="14.4" customHeight="1" x14ac:dyDescent="0.3">
      <c r="A119" s="632" t="s">
        <v>499</v>
      </c>
      <c r="B119" s="633" t="s">
        <v>501</v>
      </c>
      <c r="C119" s="634" t="s">
        <v>511</v>
      </c>
      <c r="D119" s="635" t="s">
        <v>512</v>
      </c>
      <c r="E119" s="634" t="s">
        <v>502</v>
      </c>
      <c r="F119" s="635" t="s">
        <v>503</v>
      </c>
      <c r="G119" s="634" t="s">
        <v>532</v>
      </c>
      <c r="H119" s="634" t="s">
        <v>939</v>
      </c>
      <c r="I119" s="634" t="s">
        <v>940</v>
      </c>
      <c r="J119" s="634" t="s">
        <v>941</v>
      </c>
      <c r="K119" s="634" t="s">
        <v>942</v>
      </c>
      <c r="L119" s="636">
        <v>64.569999999999951</v>
      </c>
      <c r="M119" s="636">
        <v>2</v>
      </c>
      <c r="N119" s="637">
        <v>129.1399999999999</v>
      </c>
    </row>
    <row r="120" spans="1:14" ht="14.4" customHeight="1" x14ac:dyDescent="0.3">
      <c r="A120" s="632" t="s">
        <v>499</v>
      </c>
      <c r="B120" s="633" t="s">
        <v>501</v>
      </c>
      <c r="C120" s="634" t="s">
        <v>511</v>
      </c>
      <c r="D120" s="635" t="s">
        <v>512</v>
      </c>
      <c r="E120" s="634" t="s">
        <v>502</v>
      </c>
      <c r="F120" s="635" t="s">
        <v>503</v>
      </c>
      <c r="G120" s="634" t="s">
        <v>532</v>
      </c>
      <c r="H120" s="634" t="s">
        <v>943</v>
      </c>
      <c r="I120" s="634" t="s">
        <v>944</v>
      </c>
      <c r="J120" s="634" t="s">
        <v>945</v>
      </c>
      <c r="K120" s="634" t="s">
        <v>946</v>
      </c>
      <c r="L120" s="636">
        <v>97.9</v>
      </c>
      <c r="M120" s="636">
        <v>1</v>
      </c>
      <c r="N120" s="637">
        <v>97.9</v>
      </c>
    </row>
    <row r="121" spans="1:14" ht="14.4" customHeight="1" x14ac:dyDescent="0.3">
      <c r="A121" s="632" t="s">
        <v>499</v>
      </c>
      <c r="B121" s="633" t="s">
        <v>501</v>
      </c>
      <c r="C121" s="634" t="s">
        <v>511</v>
      </c>
      <c r="D121" s="635" t="s">
        <v>512</v>
      </c>
      <c r="E121" s="634" t="s">
        <v>502</v>
      </c>
      <c r="F121" s="635" t="s">
        <v>503</v>
      </c>
      <c r="G121" s="634" t="s">
        <v>532</v>
      </c>
      <c r="H121" s="634" t="s">
        <v>947</v>
      </c>
      <c r="I121" s="634" t="s">
        <v>948</v>
      </c>
      <c r="J121" s="634" t="s">
        <v>949</v>
      </c>
      <c r="K121" s="634" t="s">
        <v>950</v>
      </c>
      <c r="L121" s="636">
        <v>110.84428571428573</v>
      </c>
      <c r="M121" s="636">
        <v>7</v>
      </c>
      <c r="N121" s="637">
        <v>775.91000000000008</v>
      </c>
    </row>
    <row r="122" spans="1:14" ht="14.4" customHeight="1" x14ac:dyDescent="0.3">
      <c r="A122" s="632" t="s">
        <v>499</v>
      </c>
      <c r="B122" s="633" t="s">
        <v>501</v>
      </c>
      <c r="C122" s="634" t="s">
        <v>511</v>
      </c>
      <c r="D122" s="635" t="s">
        <v>512</v>
      </c>
      <c r="E122" s="634" t="s">
        <v>502</v>
      </c>
      <c r="F122" s="635" t="s">
        <v>503</v>
      </c>
      <c r="G122" s="634" t="s">
        <v>532</v>
      </c>
      <c r="H122" s="634" t="s">
        <v>951</v>
      </c>
      <c r="I122" s="634" t="s">
        <v>952</v>
      </c>
      <c r="J122" s="634" t="s">
        <v>953</v>
      </c>
      <c r="K122" s="634" t="s">
        <v>954</v>
      </c>
      <c r="L122" s="636">
        <v>18.190000000000001</v>
      </c>
      <c r="M122" s="636">
        <v>1</v>
      </c>
      <c r="N122" s="637">
        <v>18.190000000000001</v>
      </c>
    </row>
    <row r="123" spans="1:14" ht="14.4" customHeight="1" x14ac:dyDescent="0.3">
      <c r="A123" s="632" t="s">
        <v>499</v>
      </c>
      <c r="B123" s="633" t="s">
        <v>501</v>
      </c>
      <c r="C123" s="634" t="s">
        <v>511</v>
      </c>
      <c r="D123" s="635" t="s">
        <v>512</v>
      </c>
      <c r="E123" s="634" t="s">
        <v>502</v>
      </c>
      <c r="F123" s="635" t="s">
        <v>503</v>
      </c>
      <c r="G123" s="634" t="s">
        <v>532</v>
      </c>
      <c r="H123" s="634" t="s">
        <v>955</v>
      </c>
      <c r="I123" s="634" t="s">
        <v>956</v>
      </c>
      <c r="J123" s="634" t="s">
        <v>957</v>
      </c>
      <c r="K123" s="634" t="s">
        <v>958</v>
      </c>
      <c r="L123" s="636">
        <v>121.38</v>
      </c>
      <c r="M123" s="636">
        <v>4</v>
      </c>
      <c r="N123" s="637">
        <v>485.52</v>
      </c>
    </row>
    <row r="124" spans="1:14" ht="14.4" customHeight="1" x14ac:dyDescent="0.3">
      <c r="A124" s="632" t="s">
        <v>499</v>
      </c>
      <c r="B124" s="633" t="s">
        <v>501</v>
      </c>
      <c r="C124" s="634" t="s">
        <v>511</v>
      </c>
      <c r="D124" s="635" t="s">
        <v>512</v>
      </c>
      <c r="E124" s="634" t="s">
        <v>502</v>
      </c>
      <c r="F124" s="635" t="s">
        <v>503</v>
      </c>
      <c r="G124" s="634" t="s">
        <v>532</v>
      </c>
      <c r="H124" s="634" t="s">
        <v>959</v>
      </c>
      <c r="I124" s="634" t="s">
        <v>246</v>
      </c>
      <c r="J124" s="634" t="s">
        <v>960</v>
      </c>
      <c r="K124" s="634" t="s">
        <v>961</v>
      </c>
      <c r="L124" s="636">
        <v>43.48</v>
      </c>
      <c r="M124" s="636">
        <v>2</v>
      </c>
      <c r="N124" s="637">
        <v>86.96</v>
      </c>
    </row>
    <row r="125" spans="1:14" ht="14.4" customHeight="1" x14ac:dyDescent="0.3">
      <c r="A125" s="632" t="s">
        <v>499</v>
      </c>
      <c r="B125" s="633" t="s">
        <v>501</v>
      </c>
      <c r="C125" s="634" t="s">
        <v>511</v>
      </c>
      <c r="D125" s="635" t="s">
        <v>512</v>
      </c>
      <c r="E125" s="634" t="s">
        <v>502</v>
      </c>
      <c r="F125" s="635" t="s">
        <v>503</v>
      </c>
      <c r="G125" s="634" t="s">
        <v>532</v>
      </c>
      <c r="H125" s="634" t="s">
        <v>962</v>
      </c>
      <c r="I125" s="634" t="s">
        <v>963</v>
      </c>
      <c r="J125" s="634" t="s">
        <v>964</v>
      </c>
      <c r="K125" s="634" t="s">
        <v>965</v>
      </c>
      <c r="L125" s="636">
        <v>122.05765465792992</v>
      </c>
      <c r="M125" s="636">
        <v>9</v>
      </c>
      <c r="N125" s="637">
        <v>1098.5188919213692</v>
      </c>
    </row>
    <row r="126" spans="1:14" ht="14.4" customHeight="1" x14ac:dyDescent="0.3">
      <c r="A126" s="632" t="s">
        <v>499</v>
      </c>
      <c r="B126" s="633" t="s">
        <v>501</v>
      </c>
      <c r="C126" s="634" t="s">
        <v>511</v>
      </c>
      <c r="D126" s="635" t="s">
        <v>512</v>
      </c>
      <c r="E126" s="634" t="s">
        <v>502</v>
      </c>
      <c r="F126" s="635" t="s">
        <v>503</v>
      </c>
      <c r="G126" s="634" t="s">
        <v>532</v>
      </c>
      <c r="H126" s="634" t="s">
        <v>966</v>
      </c>
      <c r="I126" s="634" t="s">
        <v>967</v>
      </c>
      <c r="J126" s="634" t="s">
        <v>968</v>
      </c>
      <c r="K126" s="634" t="s">
        <v>969</v>
      </c>
      <c r="L126" s="636">
        <v>59.209999999999994</v>
      </c>
      <c r="M126" s="636">
        <v>11</v>
      </c>
      <c r="N126" s="637">
        <v>651.30999999999995</v>
      </c>
    </row>
    <row r="127" spans="1:14" ht="14.4" customHeight="1" x14ac:dyDescent="0.3">
      <c r="A127" s="632" t="s">
        <v>499</v>
      </c>
      <c r="B127" s="633" t="s">
        <v>501</v>
      </c>
      <c r="C127" s="634" t="s">
        <v>511</v>
      </c>
      <c r="D127" s="635" t="s">
        <v>512</v>
      </c>
      <c r="E127" s="634" t="s">
        <v>502</v>
      </c>
      <c r="F127" s="635" t="s">
        <v>503</v>
      </c>
      <c r="G127" s="634" t="s">
        <v>532</v>
      </c>
      <c r="H127" s="634" t="s">
        <v>970</v>
      </c>
      <c r="I127" s="634" t="s">
        <v>971</v>
      </c>
      <c r="J127" s="634" t="s">
        <v>972</v>
      </c>
      <c r="K127" s="634" t="s">
        <v>973</v>
      </c>
      <c r="L127" s="636">
        <v>115.09</v>
      </c>
      <c r="M127" s="636">
        <v>1</v>
      </c>
      <c r="N127" s="637">
        <v>115.09</v>
      </c>
    </row>
    <row r="128" spans="1:14" ht="14.4" customHeight="1" x14ac:dyDescent="0.3">
      <c r="A128" s="632" t="s">
        <v>499</v>
      </c>
      <c r="B128" s="633" t="s">
        <v>501</v>
      </c>
      <c r="C128" s="634" t="s">
        <v>511</v>
      </c>
      <c r="D128" s="635" t="s">
        <v>512</v>
      </c>
      <c r="E128" s="634" t="s">
        <v>502</v>
      </c>
      <c r="F128" s="635" t="s">
        <v>503</v>
      </c>
      <c r="G128" s="634" t="s">
        <v>532</v>
      </c>
      <c r="H128" s="634" t="s">
        <v>974</v>
      </c>
      <c r="I128" s="634" t="s">
        <v>975</v>
      </c>
      <c r="J128" s="634" t="s">
        <v>730</v>
      </c>
      <c r="K128" s="634" t="s">
        <v>976</v>
      </c>
      <c r="L128" s="636">
        <v>61.38</v>
      </c>
      <c r="M128" s="636">
        <v>4</v>
      </c>
      <c r="N128" s="637">
        <v>245.52</v>
      </c>
    </row>
    <row r="129" spans="1:14" ht="14.4" customHeight="1" x14ac:dyDescent="0.3">
      <c r="A129" s="632" t="s">
        <v>499</v>
      </c>
      <c r="B129" s="633" t="s">
        <v>501</v>
      </c>
      <c r="C129" s="634" t="s">
        <v>511</v>
      </c>
      <c r="D129" s="635" t="s">
        <v>512</v>
      </c>
      <c r="E129" s="634" t="s">
        <v>502</v>
      </c>
      <c r="F129" s="635" t="s">
        <v>503</v>
      </c>
      <c r="G129" s="634" t="s">
        <v>532</v>
      </c>
      <c r="H129" s="634" t="s">
        <v>977</v>
      </c>
      <c r="I129" s="634" t="s">
        <v>978</v>
      </c>
      <c r="J129" s="634" t="s">
        <v>979</v>
      </c>
      <c r="K129" s="634" t="s">
        <v>980</v>
      </c>
      <c r="L129" s="636">
        <v>28.219914143666397</v>
      </c>
      <c r="M129" s="636">
        <v>13</v>
      </c>
      <c r="N129" s="637">
        <v>366.85888386766317</v>
      </c>
    </row>
    <row r="130" spans="1:14" ht="14.4" customHeight="1" x14ac:dyDescent="0.3">
      <c r="A130" s="632" t="s">
        <v>499</v>
      </c>
      <c r="B130" s="633" t="s">
        <v>501</v>
      </c>
      <c r="C130" s="634" t="s">
        <v>511</v>
      </c>
      <c r="D130" s="635" t="s">
        <v>512</v>
      </c>
      <c r="E130" s="634" t="s">
        <v>502</v>
      </c>
      <c r="F130" s="635" t="s">
        <v>503</v>
      </c>
      <c r="G130" s="634" t="s">
        <v>532</v>
      </c>
      <c r="H130" s="634" t="s">
        <v>981</v>
      </c>
      <c r="I130" s="634" t="s">
        <v>982</v>
      </c>
      <c r="J130" s="634" t="s">
        <v>983</v>
      </c>
      <c r="K130" s="634" t="s">
        <v>984</v>
      </c>
      <c r="L130" s="636">
        <v>100.87996406223164</v>
      </c>
      <c r="M130" s="636">
        <v>6</v>
      </c>
      <c r="N130" s="637">
        <v>605.27978437338982</v>
      </c>
    </row>
    <row r="131" spans="1:14" ht="14.4" customHeight="1" x14ac:dyDescent="0.3">
      <c r="A131" s="632" t="s">
        <v>499</v>
      </c>
      <c r="B131" s="633" t="s">
        <v>501</v>
      </c>
      <c r="C131" s="634" t="s">
        <v>511</v>
      </c>
      <c r="D131" s="635" t="s">
        <v>512</v>
      </c>
      <c r="E131" s="634" t="s">
        <v>502</v>
      </c>
      <c r="F131" s="635" t="s">
        <v>503</v>
      </c>
      <c r="G131" s="634" t="s">
        <v>532</v>
      </c>
      <c r="H131" s="634" t="s">
        <v>985</v>
      </c>
      <c r="I131" s="634" t="s">
        <v>986</v>
      </c>
      <c r="J131" s="634" t="s">
        <v>987</v>
      </c>
      <c r="K131" s="634" t="s">
        <v>958</v>
      </c>
      <c r="L131" s="636">
        <v>117.95960912664695</v>
      </c>
      <c r="M131" s="636">
        <v>12</v>
      </c>
      <c r="N131" s="637">
        <v>1415.5153095197634</v>
      </c>
    </row>
    <row r="132" spans="1:14" ht="14.4" customHeight="1" x14ac:dyDescent="0.3">
      <c r="A132" s="632" t="s">
        <v>499</v>
      </c>
      <c r="B132" s="633" t="s">
        <v>501</v>
      </c>
      <c r="C132" s="634" t="s">
        <v>511</v>
      </c>
      <c r="D132" s="635" t="s">
        <v>512</v>
      </c>
      <c r="E132" s="634" t="s">
        <v>502</v>
      </c>
      <c r="F132" s="635" t="s">
        <v>503</v>
      </c>
      <c r="G132" s="634" t="s">
        <v>532</v>
      </c>
      <c r="H132" s="634" t="s">
        <v>988</v>
      </c>
      <c r="I132" s="634" t="s">
        <v>989</v>
      </c>
      <c r="J132" s="634" t="s">
        <v>990</v>
      </c>
      <c r="K132" s="634" t="s">
        <v>991</v>
      </c>
      <c r="L132" s="636">
        <v>527.85004746750303</v>
      </c>
      <c r="M132" s="636">
        <v>1</v>
      </c>
      <c r="N132" s="637">
        <v>527.85004746750303</v>
      </c>
    </row>
    <row r="133" spans="1:14" ht="14.4" customHeight="1" x14ac:dyDescent="0.3">
      <c r="A133" s="632" t="s">
        <v>499</v>
      </c>
      <c r="B133" s="633" t="s">
        <v>501</v>
      </c>
      <c r="C133" s="634" t="s">
        <v>511</v>
      </c>
      <c r="D133" s="635" t="s">
        <v>512</v>
      </c>
      <c r="E133" s="634" t="s">
        <v>502</v>
      </c>
      <c r="F133" s="635" t="s">
        <v>503</v>
      </c>
      <c r="G133" s="634" t="s">
        <v>532</v>
      </c>
      <c r="H133" s="634" t="s">
        <v>992</v>
      </c>
      <c r="I133" s="634" t="s">
        <v>246</v>
      </c>
      <c r="J133" s="634" t="s">
        <v>993</v>
      </c>
      <c r="K133" s="634"/>
      <c r="L133" s="636">
        <v>191.13</v>
      </c>
      <c r="M133" s="636">
        <v>8</v>
      </c>
      <c r="N133" s="637">
        <v>1529.04</v>
      </c>
    </row>
    <row r="134" spans="1:14" ht="14.4" customHeight="1" x14ac:dyDescent="0.3">
      <c r="A134" s="632" t="s">
        <v>499</v>
      </c>
      <c r="B134" s="633" t="s">
        <v>501</v>
      </c>
      <c r="C134" s="634" t="s">
        <v>511</v>
      </c>
      <c r="D134" s="635" t="s">
        <v>512</v>
      </c>
      <c r="E134" s="634" t="s">
        <v>502</v>
      </c>
      <c r="F134" s="635" t="s">
        <v>503</v>
      </c>
      <c r="G134" s="634" t="s">
        <v>532</v>
      </c>
      <c r="H134" s="634" t="s">
        <v>994</v>
      </c>
      <c r="I134" s="634" t="s">
        <v>995</v>
      </c>
      <c r="J134" s="634" t="s">
        <v>570</v>
      </c>
      <c r="K134" s="634" t="s">
        <v>996</v>
      </c>
      <c r="L134" s="636">
        <v>40.909897695220543</v>
      </c>
      <c r="M134" s="636">
        <v>1</v>
      </c>
      <c r="N134" s="637">
        <v>40.909897695220543</v>
      </c>
    </row>
    <row r="135" spans="1:14" ht="14.4" customHeight="1" x14ac:dyDescent="0.3">
      <c r="A135" s="632" t="s">
        <v>499</v>
      </c>
      <c r="B135" s="633" t="s">
        <v>501</v>
      </c>
      <c r="C135" s="634" t="s">
        <v>511</v>
      </c>
      <c r="D135" s="635" t="s">
        <v>512</v>
      </c>
      <c r="E135" s="634" t="s">
        <v>502</v>
      </c>
      <c r="F135" s="635" t="s">
        <v>503</v>
      </c>
      <c r="G135" s="634" t="s">
        <v>532</v>
      </c>
      <c r="H135" s="634" t="s">
        <v>997</v>
      </c>
      <c r="I135" s="634" t="s">
        <v>998</v>
      </c>
      <c r="J135" s="634" t="s">
        <v>999</v>
      </c>
      <c r="K135" s="634" t="s">
        <v>556</v>
      </c>
      <c r="L135" s="636">
        <v>56.025000000000006</v>
      </c>
      <c r="M135" s="636">
        <v>4</v>
      </c>
      <c r="N135" s="637">
        <v>224.10000000000002</v>
      </c>
    </row>
    <row r="136" spans="1:14" ht="14.4" customHeight="1" x14ac:dyDescent="0.3">
      <c r="A136" s="632" t="s">
        <v>499</v>
      </c>
      <c r="B136" s="633" t="s">
        <v>501</v>
      </c>
      <c r="C136" s="634" t="s">
        <v>511</v>
      </c>
      <c r="D136" s="635" t="s">
        <v>512</v>
      </c>
      <c r="E136" s="634" t="s">
        <v>502</v>
      </c>
      <c r="F136" s="635" t="s">
        <v>503</v>
      </c>
      <c r="G136" s="634" t="s">
        <v>532</v>
      </c>
      <c r="H136" s="634" t="s">
        <v>1000</v>
      </c>
      <c r="I136" s="634" t="s">
        <v>1001</v>
      </c>
      <c r="J136" s="634" t="s">
        <v>1002</v>
      </c>
      <c r="K136" s="634" t="s">
        <v>552</v>
      </c>
      <c r="L136" s="636">
        <v>121.72973980742185</v>
      </c>
      <c r="M136" s="636">
        <v>1</v>
      </c>
      <c r="N136" s="637">
        <v>121.72973980742185</v>
      </c>
    </row>
    <row r="137" spans="1:14" ht="14.4" customHeight="1" x14ac:dyDescent="0.3">
      <c r="A137" s="632" t="s">
        <v>499</v>
      </c>
      <c r="B137" s="633" t="s">
        <v>501</v>
      </c>
      <c r="C137" s="634" t="s">
        <v>511</v>
      </c>
      <c r="D137" s="635" t="s">
        <v>512</v>
      </c>
      <c r="E137" s="634" t="s">
        <v>502</v>
      </c>
      <c r="F137" s="635" t="s">
        <v>503</v>
      </c>
      <c r="G137" s="634" t="s">
        <v>532</v>
      </c>
      <c r="H137" s="634" t="s">
        <v>1003</v>
      </c>
      <c r="I137" s="634" t="s">
        <v>1004</v>
      </c>
      <c r="J137" s="634" t="s">
        <v>1005</v>
      </c>
      <c r="K137" s="634" t="s">
        <v>1006</v>
      </c>
      <c r="L137" s="636">
        <v>59.539528278328227</v>
      </c>
      <c r="M137" s="636">
        <v>2</v>
      </c>
      <c r="N137" s="637">
        <v>119.07905655665645</v>
      </c>
    </row>
    <row r="138" spans="1:14" ht="14.4" customHeight="1" x14ac:dyDescent="0.3">
      <c r="A138" s="632" t="s">
        <v>499</v>
      </c>
      <c r="B138" s="633" t="s">
        <v>501</v>
      </c>
      <c r="C138" s="634" t="s">
        <v>511</v>
      </c>
      <c r="D138" s="635" t="s">
        <v>512</v>
      </c>
      <c r="E138" s="634" t="s">
        <v>502</v>
      </c>
      <c r="F138" s="635" t="s">
        <v>503</v>
      </c>
      <c r="G138" s="634" t="s">
        <v>532</v>
      </c>
      <c r="H138" s="634" t="s">
        <v>1007</v>
      </c>
      <c r="I138" s="634" t="s">
        <v>1008</v>
      </c>
      <c r="J138" s="634" t="s">
        <v>608</v>
      </c>
      <c r="K138" s="634" t="s">
        <v>1009</v>
      </c>
      <c r="L138" s="636">
        <v>34.450417038660206</v>
      </c>
      <c r="M138" s="636">
        <v>1</v>
      </c>
      <c r="N138" s="637">
        <v>34.450417038660206</v>
      </c>
    </row>
    <row r="139" spans="1:14" ht="14.4" customHeight="1" x14ac:dyDescent="0.3">
      <c r="A139" s="632" t="s">
        <v>499</v>
      </c>
      <c r="B139" s="633" t="s">
        <v>501</v>
      </c>
      <c r="C139" s="634" t="s">
        <v>511</v>
      </c>
      <c r="D139" s="635" t="s">
        <v>512</v>
      </c>
      <c r="E139" s="634" t="s">
        <v>502</v>
      </c>
      <c r="F139" s="635" t="s">
        <v>503</v>
      </c>
      <c r="G139" s="634" t="s">
        <v>532</v>
      </c>
      <c r="H139" s="634" t="s">
        <v>1010</v>
      </c>
      <c r="I139" s="634" t="s">
        <v>1011</v>
      </c>
      <c r="J139" s="634" t="s">
        <v>1012</v>
      </c>
      <c r="K139" s="634" t="s">
        <v>1013</v>
      </c>
      <c r="L139" s="636">
        <v>104.64375000000001</v>
      </c>
      <c r="M139" s="636">
        <v>8</v>
      </c>
      <c r="N139" s="637">
        <v>837.15000000000009</v>
      </c>
    </row>
    <row r="140" spans="1:14" ht="14.4" customHeight="1" x14ac:dyDescent="0.3">
      <c r="A140" s="632" t="s">
        <v>499</v>
      </c>
      <c r="B140" s="633" t="s">
        <v>501</v>
      </c>
      <c r="C140" s="634" t="s">
        <v>511</v>
      </c>
      <c r="D140" s="635" t="s">
        <v>512</v>
      </c>
      <c r="E140" s="634" t="s">
        <v>502</v>
      </c>
      <c r="F140" s="635" t="s">
        <v>503</v>
      </c>
      <c r="G140" s="634" t="s">
        <v>532</v>
      </c>
      <c r="H140" s="634" t="s">
        <v>1014</v>
      </c>
      <c r="I140" s="634" t="s">
        <v>1015</v>
      </c>
      <c r="J140" s="634" t="s">
        <v>1016</v>
      </c>
      <c r="K140" s="634" t="s">
        <v>1017</v>
      </c>
      <c r="L140" s="636">
        <v>25.4000006251364</v>
      </c>
      <c r="M140" s="636">
        <v>1</v>
      </c>
      <c r="N140" s="637">
        <v>25.4000006251364</v>
      </c>
    </row>
    <row r="141" spans="1:14" ht="14.4" customHeight="1" x14ac:dyDescent="0.3">
      <c r="A141" s="632" t="s">
        <v>499</v>
      </c>
      <c r="B141" s="633" t="s">
        <v>501</v>
      </c>
      <c r="C141" s="634" t="s">
        <v>511</v>
      </c>
      <c r="D141" s="635" t="s">
        <v>512</v>
      </c>
      <c r="E141" s="634" t="s">
        <v>502</v>
      </c>
      <c r="F141" s="635" t="s">
        <v>503</v>
      </c>
      <c r="G141" s="634" t="s">
        <v>532</v>
      </c>
      <c r="H141" s="634" t="s">
        <v>1018</v>
      </c>
      <c r="I141" s="634" t="s">
        <v>1019</v>
      </c>
      <c r="J141" s="634" t="s">
        <v>1020</v>
      </c>
      <c r="K141" s="634" t="s">
        <v>1021</v>
      </c>
      <c r="L141" s="636">
        <v>81.389822327593748</v>
      </c>
      <c r="M141" s="636">
        <v>2</v>
      </c>
      <c r="N141" s="637">
        <v>162.7796446551875</v>
      </c>
    </row>
    <row r="142" spans="1:14" ht="14.4" customHeight="1" x14ac:dyDescent="0.3">
      <c r="A142" s="632" t="s">
        <v>499</v>
      </c>
      <c r="B142" s="633" t="s">
        <v>501</v>
      </c>
      <c r="C142" s="634" t="s">
        <v>511</v>
      </c>
      <c r="D142" s="635" t="s">
        <v>512</v>
      </c>
      <c r="E142" s="634" t="s">
        <v>502</v>
      </c>
      <c r="F142" s="635" t="s">
        <v>503</v>
      </c>
      <c r="G142" s="634" t="s">
        <v>532</v>
      </c>
      <c r="H142" s="634" t="s">
        <v>1022</v>
      </c>
      <c r="I142" s="634" t="s">
        <v>1023</v>
      </c>
      <c r="J142" s="634" t="s">
        <v>1024</v>
      </c>
      <c r="K142" s="634" t="s">
        <v>1025</v>
      </c>
      <c r="L142" s="636">
        <v>706.99991248581102</v>
      </c>
      <c r="M142" s="636">
        <v>1</v>
      </c>
      <c r="N142" s="637">
        <v>706.99991248581102</v>
      </c>
    </row>
    <row r="143" spans="1:14" ht="14.4" customHeight="1" x14ac:dyDescent="0.3">
      <c r="A143" s="632" t="s">
        <v>499</v>
      </c>
      <c r="B143" s="633" t="s">
        <v>501</v>
      </c>
      <c r="C143" s="634" t="s">
        <v>511</v>
      </c>
      <c r="D143" s="635" t="s">
        <v>512</v>
      </c>
      <c r="E143" s="634" t="s">
        <v>502</v>
      </c>
      <c r="F143" s="635" t="s">
        <v>503</v>
      </c>
      <c r="G143" s="634" t="s">
        <v>532</v>
      </c>
      <c r="H143" s="634" t="s">
        <v>1026</v>
      </c>
      <c r="I143" s="634" t="s">
        <v>1027</v>
      </c>
      <c r="J143" s="634" t="s">
        <v>1028</v>
      </c>
      <c r="K143" s="634" t="s">
        <v>1029</v>
      </c>
      <c r="L143" s="636">
        <v>119.749425493693</v>
      </c>
      <c r="M143" s="636">
        <v>2</v>
      </c>
      <c r="N143" s="637">
        <v>239.49885098738599</v>
      </c>
    </row>
    <row r="144" spans="1:14" ht="14.4" customHeight="1" x14ac:dyDescent="0.3">
      <c r="A144" s="632" t="s">
        <v>499</v>
      </c>
      <c r="B144" s="633" t="s">
        <v>501</v>
      </c>
      <c r="C144" s="634" t="s">
        <v>511</v>
      </c>
      <c r="D144" s="635" t="s">
        <v>512</v>
      </c>
      <c r="E144" s="634" t="s">
        <v>502</v>
      </c>
      <c r="F144" s="635" t="s">
        <v>503</v>
      </c>
      <c r="G144" s="634" t="s">
        <v>532</v>
      </c>
      <c r="H144" s="634" t="s">
        <v>1030</v>
      </c>
      <c r="I144" s="634" t="s">
        <v>1031</v>
      </c>
      <c r="J144" s="634" t="s">
        <v>1032</v>
      </c>
      <c r="K144" s="634" t="s">
        <v>1033</v>
      </c>
      <c r="L144" s="636">
        <v>79.420000000000016</v>
      </c>
      <c r="M144" s="636">
        <v>1</v>
      </c>
      <c r="N144" s="637">
        <v>79.420000000000016</v>
      </c>
    </row>
    <row r="145" spans="1:14" ht="14.4" customHeight="1" x14ac:dyDescent="0.3">
      <c r="A145" s="632" t="s">
        <v>499</v>
      </c>
      <c r="B145" s="633" t="s">
        <v>501</v>
      </c>
      <c r="C145" s="634" t="s">
        <v>511</v>
      </c>
      <c r="D145" s="635" t="s">
        <v>512</v>
      </c>
      <c r="E145" s="634" t="s">
        <v>502</v>
      </c>
      <c r="F145" s="635" t="s">
        <v>503</v>
      </c>
      <c r="G145" s="634" t="s">
        <v>532</v>
      </c>
      <c r="H145" s="634" t="s">
        <v>1034</v>
      </c>
      <c r="I145" s="634" t="s">
        <v>1035</v>
      </c>
      <c r="J145" s="634" t="s">
        <v>1036</v>
      </c>
      <c r="K145" s="634" t="s">
        <v>1037</v>
      </c>
      <c r="L145" s="636">
        <v>61.939333333333344</v>
      </c>
      <c r="M145" s="636">
        <v>1</v>
      </c>
      <c r="N145" s="637">
        <v>61.939333333333344</v>
      </c>
    </row>
    <row r="146" spans="1:14" ht="14.4" customHeight="1" x14ac:dyDescent="0.3">
      <c r="A146" s="632" t="s">
        <v>499</v>
      </c>
      <c r="B146" s="633" t="s">
        <v>501</v>
      </c>
      <c r="C146" s="634" t="s">
        <v>511</v>
      </c>
      <c r="D146" s="635" t="s">
        <v>512</v>
      </c>
      <c r="E146" s="634" t="s">
        <v>502</v>
      </c>
      <c r="F146" s="635" t="s">
        <v>503</v>
      </c>
      <c r="G146" s="634" t="s">
        <v>532</v>
      </c>
      <c r="H146" s="634" t="s">
        <v>1038</v>
      </c>
      <c r="I146" s="634" t="s">
        <v>1039</v>
      </c>
      <c r="J146" s="634" t="s">
        <v>1040</v>
      </c>
      <c r="K146" s="634" t="s">
        <v>1041</v>
      </c>
      <c r="L146" s="636">
        <v>65.459999999999994</v>
      </c>
      <c r="M146" s="636">
        <v>3</v>
      </c>
      <c r="N146" s="637">
        <v>196.38</v>
      </c>
    </row>
    <row r="147" spans="1:14" ht="14.4" customHeight="1" x14ac:dyDescent="0.3">
      <c r="A147" s="632" t="s">
        <v>499</v>
      </c>
      <c r="B147" s="633" t="s">
        <v>501</v>
      </c>
      <c r="C147" s="634" t="s">
        <v>511</v>
      </c>
      <c r="D147" s="635" t="s">
        <v>512</v>
      </c>
      <c r="E147" s="634" t="s">
        <v>502</v>
      </c>
      <c r="F147" s="635" t="s">
        <v>503</v>
      </c>
      <c r="G147" s="634" t="s">
        <v>532</v>
      </c>
      <c r="H147" s="634" t="s">
        <v>1042</v>
      </c>
      <c r="I147" s="634" t="s">
        <v>1043</v>
      </c>
      <c r="J147" s="634" t="s">
        <v>1044</v>
      </c>
      <c r="K147" s="634" t="s">
        <v>1045</v>
      </c>
      <c r="L147" s="636">
        <v>42.29</v>
      </c>
      <c r="M147" s="636">
        <v>1</v>
      </c>
      <c r="N147" s="637">
        <v>42.29</v>
      </c>
    </row>
    <row r="148" spans="1:14" ht="14.4" customHeight="1" x14ac:dyDescent="0.3">
      <c r="A148" s="632" t="s">
        <v>499</v>
      </c>
      <c r="B148" s="633" t="s">
        <v>501</v>
      </c>
      <c r="C148" s="634" t="s">
        <v>511</v>
      </c>
      <c r="D148" s="635" t="s">
        <v>512</v>
      </c>
      <c r="E148" s="634" t="s">
        <v>502</v>
      </c>
      <c r="F148" s="635" t="s">
        <v>503</v>
      </c>
      <c r="G148" s="634" t="s">
        <v>532</v>
      </c>
      <c r="H148" s="634" t="s">
        <v>1046</v>
      </c>
      <c r="I148" s="634" t="s">
        <v>1047</v>
      </c>
      <c r="J148" s="634" t="s">
        <v>1048</v>
      </c>
      <c r="K148" s="634" t="s">
        <v>1049</v>
      </c>
      <c r="L148" s="636">
        <v>51.870051171421849</v>
      </c>
      <c r="M148" s="636">
        <v>2</v>
      </c>
      <c r="N148" s="637">
        <v>103.7401023428437</v>
      </c>
    </row>
    <row r="149" spans="1:14" ht="14.4" customHeight="1" x14ac:dyDescent="0.3">
      <c r="A149" s="632" t="s">
        <v>499</v>
      </c>
      <c r="B149" s="633" t="s">
        <v>501</v>
      </c>
      <c r="C149" s="634" t="s">
        <v>511</v>
      </c>
      <c r="D149" s="635" t="s">
        <v>512</v>
      </c>
      <c r="E149" s="634" t="s">
        <v>502</v>
      </c>
      <c r="F149" s="635" t="s">
        <v>503</v>
      </c>
      <c r="G149" s="634" t="s">
        <v>532</v>
      </c>
      <c r="H149" s="634" t="s">
        <v>1050</v>
      </c>
      <c r="I149" s="634" t="s">
        <v>1051</v>
      </c>
      <c r="J149" s="634" t="s">
        <v>1052</v>
      </c>
      <c r="K149" s="634" t="s">
        <v>1053</v>
      </c>
      <c r="L149" s="636">
        <v>979.69</v>
      </c>
      <c r="M149" s="636">
        <v>1</v>
      </c>
      <c r="N149" s="637">
        <v>979.69</v>
      </c>
    </row>
    <row r="150" spans="1:14" ht="14.4" customHeight="1" x14ac:dyDescent="0.3">
      <c r="A150" s="632" t="s">
        <v>499</v>
      </c>
      <c r="B150" s="633" t="s">
        <v>501</v>
      </c>
      <c r="C150" s="634" t="s">
        <v>511</v>
      </c>
      <c r="D150" s="635" t="s">
        <v>512</v>
      </c>
      <c r="E150" s="634" t="s">
        <v>502</v>
      </c>
      <c r="F150" s="635" t="s">
        <v>503</v>
      </c>
      <c r="G150" s="634" t="s">
        <v>532</v>
      </c>
      <c r="H150" s="634" t="s">
        <v>1054</v>
      </c>
      <c r="I150" s="634" t="s">
        <v>1055</v>
      </c>
      <c r="J150" s="634" t="s">
        <v>1056</v>
      </c>
      <c r="K150" s="634" t="s">
        <v>1057</v>
      </c>
      <c r="L150" s="636">
        <v>490.48</v>
      </c>
      <c r="M150" s="636">
        <v>1</v>
      </c>
      <c r="N150" s="637">
        <v>490.48</v>
      </c>
    </row>
    <row r="151" spans="1:14" ht="14.4" customHeight="1" x14ac:dyDescent="0.3">
      <c r="A151" s="632" t="s">
        <v>499</v>
      </c>
      <c r="B151" s="633" t="s">
        <v>501</v>
      </c>
      <c r="C151" s="634" t="s">
        <v>511</v>
      </c>
      <c r="D151" s="635" t="s">
        <v>512</v>
      </c>
      <c r="E151" s="634" t="s">
        <v>502</v>
      </c>
      <c r="F151" s="635" t="s">
        <v>503</v>
      </c>
      <c r="G151" s="634" t="s">
        <v>532</v>
      </c>
      <c r="H151" s="634" t="s">
        <v>1058</v>
      </c>
      <c r="I151" s="634" t="s">
        <v>1059</v>
      </c>
      <c r="J151" s="634" t="s">
        <v>1060</v>
      </c>
      <c r="K151" s="634" t="s">
        <v>1061</v>
      </c>
      <c r="L151" s="636">
        <v>65.489612635769447</v>
      </c>
      <c r="M151" s="636">
        <v>4</v>
      </c>
      <c r="N151" s="637">
        <v>261.95845054307779</v>
      </c>
    </row>
    <row r="152" spans="1:14" ht="14.4" customHeight="1" x14ac:dyDescent="0.3">
      <c r="A152" s="632" t="s">
        <v>499</v>
      </c>
      <c r="B152" s="633" t="s">
        <v>501</v>
      </c>
      <c r="C152" s="634" t="s">
        <v>511</v>
      </c>
      <c r="D152" s="635" t="s">
        <v>512</v>
      </c>
      <c r="E152" s="634" t="s">
        <v>502</v>
      </c>
      <c r="F152" s="635" t="s">
        <v>503</v>
      </c>
      <c r="G152" s="634" t="s">
        <v>532</v>
      </c>
      <c r="H152" s="634" t="s">
        <v>1062</v>
      </c>
      <c r="I152" s="634" t="s">
        <v>1063</v>
      </c>
      <c r="J152" s="634" t="s">
        <v>1064</v>
      </c>
      <c r="K152" s="634" t="s">
        <v>1065</v>
      </c>
      <c r="L152" s="636">
        <v>108.85000000000002</v>
      </c>
      <c r="M152" s="636">
        <v>1</v>
      </c>
      <c r="N152" s="637">
        <v>108.85000000000002</v>
      </c>
    </row>
    <row r="153" spans="1:14" ht="14.4" customHeight="1" x14ac:dyDescent="0.3">
      <c r="A153" s="632" t="s">
        <v>499</v>
      </c>
      <c r="B153" s="633" t="s">
        <v>501</v>
      </c>
      <c r="C153" s="634" t="s">
        <v>511</v>
      </c>
      <c r="D153" s="635" t="s">
        <v>512</v>
      </c>
      <c r="E153" s="634" t="s">
        <v>502</v>
      </c>
      <c r="F153" s="635" t="s">
        <v>503</v>
      </c>
      <c r="G153" s="634" t="s">
        <v>532</v>
      </c>
      <c r="H153" s="634" t="s">
        <v>1066</v>
      </c>
      <c r="I153" s="634" t="s">
        <v>1066</v>
      </c>
      <c r="J153" s="634" t="s">
        <v>1067</v>
      </c>
      <c r="K153" s="634" t="s">
        <v>1068</v>
      </c>
      <c r="L153" s="636">
        <v>252.34</v>
      </c>
      <c r="M153" s="636">
        <v>1</v>
      </c>
      <c r="N153" s="637">
        <v>252.34</v>
      </c>
    </row>
    <row r="154" spans="1:14" ht="14.4" customHeight="1" x14ac:dyDescent="0.3">
      <c r="A154" s="632" t="s">
        <v>499</v>
      </c>
      <c r="B154" s="633" t="s">
        <v>501</v>
      </c>
      <c r="C154" s="634" t="s">
        <v>511</v>
      </c>
      <c r="D154" s="635" t="s">
        <v>512</v>
      </c>
      <c r="E154" s="634" t="s">
        <v>502</v>
      </c>
      <c r="F154" s="635" t="s">
        <v>503</v>
      </c>
      <c r="G154" s="634" t="s">
        <v>532</v>
      </c>
      <c r="H154" s="634" t="s">
        <v>1069</v>
      </c>
      <c r="I154" s="634" t="s">
        <v>1070</v>
      </c>
      <c r="J154" s="634" t="s">
        <v>1071</v>
      </c>
      <c r="K154" s="634" t="s">
        <v>1072</v>
      </c>
      <c r="L154" s="636">
        <v>67.458202814333731</v>
      </c>
      <c r="M154" s="636">
        <v>3</v>
      </c>
      <c r="N154" s="637">
        <v>202.37460844300119</v>
      </c>
    </row>
    <row r="155" spans="1:14" ht="14.4" customHeight="1" x14ac:dyDescent="0.3">
      <c r="A155" s="632" t="s">
        <v>499</v>
      </c>
      <c r="B155" s="633" t="s">
        <v>501</v>
      </c>
      <c r="C155" s="634" t="s">
        <v>511</v>
      </c>
      <c r="D155" s="635" t="s">
        <v>512</v>
      </c>
      <c r="E155" s="634" t="s">
        <v>502</v>
      </c>
      <c r="F155" s="635" t="s">
        <v>503</v>
      </c>
      <c r="G155" s="634" t="s">
        <v>532</v>
      </c>
      <c r="H155" s="634" t="s">
        <v>1073</v>
      </c>
      <c r="I155" s="634" t="s">
        <v>1073</v>
      </c>
      <c r="J155" s="634" t="s">
        <v>1074</v>
      </c>
      <c r="K155" s="634" t="s">
        <v>723</v>
      </c>
      <c r="L155" s="636">
        <v>109.11628197706224</v>
      </c>
      <c r="M155" s="636">
        <v>8</v>
      </c>
      <c r="N155" s="637">
        <v>872.93025581649795</v>
      </c>
    </row>
    <row r="156" spans="1:14" ht="14.4" customHeight="1" x14ac:dyDescent="0.3">
      <c r="A156" s="632" t="s">
        <v>499</v>
      </c>
      <c r="B156" s="633" t="s">
        <v>501</v>
      </c>
      <c r="C156" s="634" t="s">
        <v>511</v>
      </c>
      <c r="D156" s="635" t="s">
        <v>512</v>
      </c>
      <c r="E156" s="634" t="s">
        <v>502</v>
      </c>
      <c r="F156" s="635" t="s">
        <v>503</v>
      </c>
      <c r="G156" s="634" t="s">
        <v>532</v>
      </c>
      <c r="H156" s="634" t="s">
        <v>1075</v>
      </c>
      <c r="I156" s="634" t="s">
        <v>1076</v>
      </c>
      <c r="J156" s="634" t="s">
        <v>1077</v>
      </c>
      <c r="K156" s="634" t="s">
        <v>1078</v>
      </c>
      <c r="L156" s="636">
        <v>97.264581915932865</v>
      </c>
      <c r="M156" s="636">
        <v>15</v>
      </c>
      <c r="N156" s="637">
        <v>1458.9687287389929</v>
      </c>
    </row>
    <row r="157" spans="1:14" ht="14.4" customHeight="1" x14ac:dyDescent="0.3">
      <c r="A157" s="632" t="s">
        <v>499</v>
      </c>
      <c r="B157" s="633" t="s">
        <v>501</v>
      </c>
      <c r="C157" s="634" t="s">
        <v>511</v>
      </c>
      <c r="D157" s="635" t="s">
        <v>512</v>
      </c>
      <c r="E157" s="634" t="s">
        <v>502</v>
      </c>
      <c r="F157" s="635" t="s">
        <v>503</v>
      </c>
      <c r="G157" s="634" t="s">
        <v>532</v>
      </c>
      <c r="H157" s="634" t="s">
        <v>1079</v>
      </c>
      <c r="I157" s="634" t="s">
        <v>1080</v>
      </c>
      <c r="J157" s="634" t="s">
        <v>1081</v>
      </c>
      <c r="K157" s="634" t="s">
        <v>804</v>
      </c>
      <c r="L157" s="636">
        <v>55.79959847905409</v>
      </c>
      <c r="M157" s="636">
        <v>3</v>
      </c>
      <c r="N157" s="637">
        <v>167.39879543716228</v>
      </c>
    </row>
    <row r="158" spans="1:14" ht="14.4" customHeight="1" x14ac:dyDescent="0.3">
      <c r="A158" s="632" t="s">
        <v>499</v>
      </c>
      <c r="B158" s="633" t="s">
        <v>501</v>
      </c>
      <c r="C158" s="634" t="s">
        <v>511</v>
      </c>
      <c r="D158" s="635" t="s">
        <v>512</v>
      </c>
      <c r="E158" s="634" t="s">
        <v>502</v>
      </c>
      <c r="F158" s="635" t="s">
        <v>503</v>
      </c>
      <c r="G158" s="634" t="s">
        <v>532</v>
      </c>
      <c r="H158" s="634" t="s">
        <v>1082</v>
      </c>
      <c r="I158" s="634" t="s">
        <v>1083</v>
      </c>
      <c r="J158" s="634" t="s">
        <v>1084</v>
      </c>
      <c r="K158" s="634" t="s">
        <v>1085</v>
      </c>
      <c r="L158" s="636">
        <v>72.020229167184198</v>
      </c>
      <c r="M158" s="636">
        <v>3</v>
      </c>
      <c r="N158" s="637">
        <v>216.06068750155259</v>
      </c>
    </row>
    <row r="159" spans="1:14" ht="14.4" customHeight="1" x14ac:dyDescent="0.3">
      <c r="A159" s="632" t="s">
        <v>499</v>
      </c>
      <c r="B159" s="633" t="s">
        <v>501</v>
      </c>
      <c r="C159" s="634" t="s">
        <v>511</v>
      </c>
      <c r="D159" s="635" t="s">
        <v>512</v>
      </c>
      <c r="E159" s="634" t="s">
        <v>502</v>
      </c>
      <c r="F159" s="635" t="s">
        <v>503</v>
      </c>
      <c r="G159" s="634" t="s">
        <v>532</v>
      </c>
      <c r="H159" s="634" t="s">
        <v>1086</v>
      </c>
      <c r="I159" s="634" t="s">
        <v>1087</v>
      </c>
      <c r="J159" s="634" t="s">
        <v>1088</v>
      </c>
      <c r="K159" s="634" t="s">
        <v>1089</v>
      </c>
      <c r="L159" s="636">
        <v>44.229932443559306</v>
      </c>
      <c r="M159" s="636">
        <v>3</v>
      </c>
      <c r="N159" s="637">
        <v>132.68979733067792</v>
      </c>
    </row>
    <row r="160" spans="1:14" ht="14.4" customHeight="1" x14ac:dyDescent="0.3">
      <c r="A160" s="632" t="s">
        <v>499</v>
      </c>
      <c r="B160" s="633" t="s">
        <v>501</v>
      </c>
      <c r="C160" s="634" t="s">
        <v>511</v>
      </c>
      <c r="D160" s="635" t="s">
        <v>512</v>
      </c>
      <c r="E160" s="634" t="s">
        <v>502</v>
      </c>
      <c r="F160" s="635" t="s">
        <v>503</v>
      </c>
      <c r="G160" s="634" t="s">
        <v>532</v>
      </c>
      <c r="H160" s="634" t="s">
        <v>1090</v>
      </c>
      <c r="I160" s="634" t="s">
        <v>1091</v>
      </c>
      <c r="J160" s="634" t="s">
        <v>1092</v>
      </c>
      <c r="K160" s="634" t="s">
        <v>1093</v>
      </c>
      <c r="L160" s="636">
        <v>65.728628846780339</v>
      </c>
      <c r="M160" s="636">
        <v>9</v>
      </c>
      <c r="N160" s="637">
        <v>591.55765962102305</v>
      </c>
    </row>
    <row r="161" spans="1:14" ht="14.4" customHeight="1" x14ac:dyDescent="0.3">
      <c r="A161" s="632" t="s">
        <v>499</v>
      </c>
      <c r="B161" s="633" t="s">
        <v>501</v>
      </c>
      <c r="C161" s="634" t="s">
        <v>511</v>
      </c>
      <c r="D161" s="635" t="s">
        <v>512</v>
      </c>
      <c r="E161" s="634" t="s">
        <v>502</v>
      </c>
      <c r="F161" s="635" t="s">
        <v>503</v>
      </c>
      <c r="G161" s="634" t="s">
        <v>532</v>
      </c>
      <c r="H161" s="634" t="s">
        <v>1094</v>
      </c>
      <c r="I161" s="634" t="s">
        <v>1095</v>
      </c>
      <c r="J161" s="634" t="s">
        <v>1096</v>
      </c>
      <c r="K161" s="634" t="s">
        <v>1097</v>
      </c>
      <c r="L161" s="636">
        <v>84.889926465492749</v>
      </c>
      <c r="M161" s="636">
        <v>2</v>
      </c>
      <c r="N161" s="637">
        <v>169.7798529309855</v>
      </c>
    </row>
    <row r="162" spans="1:14" ht="14.4" customHeight="1" x14ac:dyDescent="0.3">
      <c r="A162" s="632" t="s">
        <v>499</v>
      </c>
      <c r="B162" s="633" t="s">
        <v>501</v>
      </c>
      <c r="C162" s="634" t="s">
        <v>511</v>
      </c>
      <c r="D162" s="635" t="s">
        <v>512</v>
      </c>
      <c r="E162" s="634" t="s">
        <v>502</v>
      </c>
      <c r="F162" s="635" t="s">
        <v>503</v>
      </c>
      <c r="G162" s="634" t="s">
        <v>532</v>
      </c>
      <c r="H162" s="634" t="s">
        <v>1098</v>
      </c>
      <c r="I162" s="634" t="s">
        <v>1099</v>
      </c>
      <c r="J162" s="634" t="s">
        <v>1100</v>
      </c>
      <c r="K162" s="634" t="s">
        <v>1101</v>
      </c>
      <c r="L162" s="636">
        <v>94.51</v>
      </c>
      <c r="M162" s="636">
        <v>2</v>
      </c>
      <c r="N162" s="637">
        <v>189.02</v>
      </c>
    </row>
    <row r="163" spans="1:14" ht="14.4" customHeight="1" x14ac:dyDescent="0.3">
      <c r="A163" s="632" t="s">
        <v>499</v>
      </c>
      <c r="B163" s="633" t="s">
        <v>501</v>
      </c>
      <c r="C163" s="634" t="s">
        <v>511</v>
      </c>
      <c r="D163" s="635" t="s">
        <v>512</v>
      </c>
      <c r="E163" s="634" t="s">
        <v>502</v>
      </c>
      <c r="F163" s="635" t="s">
        <v>503</v>
      </c>
      <c r="G163" s="634" t="s">
        <v>532</v>
      </c>
      <c r="H163" s="634" t="s">
        <v>1102</v>
      </c>
      <c r="I163" s="634" t="s">
        <v>1103</v>
      </c>
      <c r="J163" s="634" t="s">
        <v>1104</v>
      </c>
      <c r="K163" s="634" t="s">
        <v>1105</v>
      </c>
      <c r="L163" s="636">
        <v>153.84186232880944</v>
      </c>
      <c r="M163" s="636">
        <v>3</v>
      </c>
      <c r="N163" s="637">
        <v>461.52558698642832</v>
      </c>
    </row>
    <row r="164" spans="1:14" ht="14.4" customHeight="1" x14ac:dyDescent="0.3">
      <c r="A164" s="632" t="s">
        <v>499</v>
      </c>
      <c r="B164" s="633" t="s">
        <v>501</v>
      </c>
      <c r="C164" s="634" t="s">
        <v>511</v>
      </c>
      <c r="D164" s="635" t="s">
        <v>512</v>
      </c>
      <c r="E164" s="634" t="s">
        <v>502</v>
      </c>
      <c r="F164" s="635" t="s">
        <v>503</v>
      </c>
      <c r="G164" s="634" t="s">
        <v>532</v>
      </c>
      <c r="H164" s="634" t="s">
        <v>1106</v>
      </c>
      <c r="I164" s="634" t="s">
        <v>1107</v>
      </c>
      <c r="J164" s="634" t="s">
        <v>1108</v>
      </c>
      <c r="K164" s="634" t="s">
        <v>1109</v>
      </c>
      <c r="L164" s="636">
        <v>107.27842670409512</v>
      </c>
      <c r="M164" s="636">
        <v>8</v>
      </c>
      <c r="N164" s="637">
        <v>858.227413632761</v>
      </c>
    </row>
    <row r="165" spans="1:14" ht="14.4" customHeight="1" x14ac:dyDescent="0.3">
      <c r="A165" s="632" t="s">
        <v>499</v>
      </c>
      <c r="B165" s="633" t="s">
        <v>501</v>
      </c>
      <c r="C165" s="634" t="s">
        <v>511</v>
      </c>
      <c r="D165" s="635" t="s">
        <v>512</v>
      </c>
      <c r="E165" s="634" t="s">
        <v>502</v>
      </c>
      <c r="F165" s="635" t="s">
        <v>503</v>
      </c>
      <c r="G165" s="634" t="s">
        <v>532</v>
      </c>
      <c r="H165" s="634" t="s">
        <v>1110</v>
      </c>
      <c r="I165" s="634" t="s">
        <v>246</v>
      </c>
      <c r="J165" s="634" t="s">
        <v>1111</v>
      </c>
      <c r="K165" s="634"/>
      <c r="L165" s="636">
        <v>574.23</v>
      </c>
      <c r="M165" s="636">
        <v>2</v>
      </c>
      <c r="N165" s="637">
        <v>1148.46</v>
      </c>
    </row>
    <row r="166" spans="1:14" ht="14.4" customHeight="1" x14ac:dyDescent="0.3">
      <c r="A166" s="632" t="s">
        <v>499</v>
      </c>
      <c r="B166" s="633" t="s">
        <v>501</v>
      </c>
      <c r="C166" s="634" t="s">
        <v>511</v>
      </c>
      <c r="D166" s="635" t="s">
        <v>512</v>
      </c>
      <c r="E166" s="634" t="s">
        <v>502</v>
      </c>
      <c r="F166" s="635" t="s">
        <v>503</v>
      </c>
      <c r="G166" s="634" t="s">
        <v>532</v>
      </c>
      <c r="H166" s="634" t="s">
        <v>1112</v>
      </c>
      <c r="I166" s="634" t="s">
        <v>1113</v>
      </c>
      <c r="J166" s="634" t="s">
        <v>1114</v>
      </c>
      <c r="K166" s="634" t="s">
        <v>958</v>
      </c>
      <c r="L166" s="636">
        <v>118.39100000000001</v>
      </c>
      <c r="M166" s="636">
        <v>10</v>
      </c>
      <c r="N166" s="637">
        <v>1183.9100000000001</v>
      </c>
    </row>
    <row r="167" spans="1:14" ht="14.4" customHeight="1" x14ac:dyDescent="0.3">
      <c r="A167" s="632" t="s">
        <v>499</v>
      </c>
      <c r="B167" s="633" t="s">
        <v>501</v>
      </c>
      <c r="C167" s="634" t="s">
        <v>511</v>
      </c>
      <c r="D167" s="635" t="s">
        <v>512</v>
      </c>
      <c r="E167" s="634" t="s">
        <v>502</v>
      </c>
      <c r="F167" s="635" t="s">
        <v>503</v>
      </c>
      <c r="G167" s="634" t="s">
        <v>532</v>
      </c>
      <c r="H167" s="634" t="s">
        <v>1115</v>
      </c>
      <c r="I167" s="634" t="s">
        <v>1116</v>
      </c>
      <c r="J167" s="634" t="s">
        <v>1117</v>
      </c>
      <c r="K167" s="634" t="s">
        <v>1118</v>
      </c>
      <c r="L167" s="636">
        <v>106.28990507748399</v>
      </c>
      <c r="M167" s="636">
        <v>5</v>
      </c>
      <c r="N167" s="637">
        <v>531.44952538741995</v>
      </c>
    </row>
    <row r="168" spans="1:14" ht="14.4" customHeight="1" x14ac:dyDescent="0.3">
      <c r="A168" s="632" t="s">
        <v>499</v>
      </c>
      <c r="B168" s="633" t="s">
        <v>501</v>
      </c>
      <c r="C168" s="634" t="s">
        <v>511</v>
      </c>
      <c r="D168" s="635" t="s">
        <v>512</v>
      </c>
      <c r="E168" s="634" t="s">
        <v>502</v>
      </c>
      <c r="F168" s="635" t="s">
        <v>503</v>
      </c>
      <c r="G168" s="634" t="s">
        <v>532</v>
      </c>
      <c r="H168" s="634" t="s">
        <v>1119</v>
      </c>
      <c r="I168" s="634" t="s">
        <v>1120</v>
      </c>
      <c r="J168" s="634" t="s">
        <v>1121</v>
      </c>
      <c r="K168" s="634" t="s">
        <v>1122</v>
      </c>
      <c r="L168" s="636">
        <v>59.04999999999999</v>
      </c>
      <c r="M168" s="636">
        <v>10</v>
      </c>
      <c r="N168" s="637">
        <v>590.49999999999989</v>
      </c>
    </row>
    <row r="169" spans="1:14" ht="14.4" customHeight="1" x14ac:dyDescent="0.3">
      <c r="A169" s="632" t="s">
        <v>499</v>
      </c>
      <c r="B169" s="633" t="s">
        <v>501</v>
      </c>
      <c r="C169" s="634" t="s">
        <v>511</v>
      </c>
      <c r="D169" s="635" t="s">
        <v>512</v>
      </c>
      <c r="E169" s="634" t="s">
        <v>502</v>
      </c>
      <c r="F169" s="635" t="s">
        <v>503</v>
      </c>
      <c r="G169" s="634" t="s">
        <v>532</v>
      </c>
      <c r="H169" s="634" t="s">
        <v>1123</v>
      </c>
      <c r="I169" s="634" t="s">
        <v>1124</v>
      </c>
      <c r="J169" s="634" t="s">
        <v>1125</v>
      </c>
      <c r="K169" s="634" t="s">
        <v>1126</v>
      </c>
      <c r="L169" s="636">
        <v>49.519607664474535</v>
      </c>
      <c r="M169" s="636">
        <v>9</v>
      </c>
      <c r="N169" s="637">
        <v>445.67646898027078</v>
      </c>
    </row>
    <row r="170" spans="1:14" ht="14.4" customHeight="1" x14ac:dyDescent="0.3">
      <c r="A170" s="632" t="s">
        <v>499</v>
      </c>
      <c r="B170" s="633" t="s">
        <v>501</v>
      </c>
      <c r="C170" s="634" t="s">
        <v>511</v>
      </c>
      <c r="D170" s="635" t="s">
        <v>512</v>
      </c>
      <c r="E170" s="634" t="s">
        <v>502</v>
      </c>
      <c r="F170" s="635" t="s">
        <v>503</v>
      </c>
      <c r="G170" s="634" t="s">
        <v>532</v>
      </c>
      <c r="H170" s="634" t="s">
        <v>1127</v>
      </c>
      <c r="I170" s="634" t="s">
        <v>1128</v>
      </c>
      <c r="J170" s="634" t="s">
        <v>1129</v>
      </c>
      <c r="K170" s="634" t="s">
        <v>1130</v>
      </c>
      <c r="L170" s="636">
        <v>65.599999999999994</v>
      </c>
      <c r="M170" s="636">
        <v>2</v>
      </c>
      <c r="N170" s="637">
        <v>131.19999999999999</v>
      </c>
    </row>
    <row r="171" spans="1:14" ht="14.4" customHeight="1" x14ac:dyDescent="0.3">
      <c r="A171" s="632" t="s">
        <v>499</v>
      </c>
      <c r="B171" s="633" t="s">
        <v>501</v>
      </c>
      <c r="C171" s="634" t="s">
        <v>511</v>
      </c>
      <c r="D171" s="635" t="s">
        <v>512</v>
      </c>
      <c r="E171" s="634" t="s">
        <v>502</v>
      </c>
      <c r="F171" s="635" t="s">
        <v>503</v>
      </c>
      <c r="G171" s="634" t="s">
        <v>532</v>
      </c>
      <c r="H171" s="634" t="s">
        <v>1131</v>
      </c>
      <c r="I171" s="634" t="s">
        <v>1131</v>
      </c>
      <c r="J171" s="634" t="s">
        <v>540</v>
      </c>
      <c r="K171" s="634" t="s">
        <v>1132</v>
      </c>
      <c r="L171" s="636">
        <v>300.14999999999998</v>
      </c>
      <c r="M171" s="636">
        <v>2</v>
      </c>
      <c r="N171" s="637">
        <v>600.29999999999995</v>
      </c>
    </row>
    <row r="172" spans="1:14" ht="14.4" customHeight="1" x14ac:dyDescent="0.3">
      <c r="A172" s="632" t="s">
        <v>499</v>
      </c>
      <c r="B172" s="633" t="s">
        <v>501</v>
      </c>
      <c r="C172" s="634" t="s">
        <v>511</v>
      </c>
      <c r="D172" s="635" t="s">
        <v>512</v>
      </c>
      <c r="E172" s="634" t="s">
        <v>502</v>
      </c>
      <c r="F172" s="635" t="s">
        <v>503</v>
      </c>
      <c r="G172" s="634" t="s">
        <v>532</v>
      </c>
      <c r="H172" s="634" t="s">
        <v>1133</v>
      </c>
      <c r="I172" s="634" t="s">
        <v>1134</v>
      </c>
      <c r="J172" s="634" t="s">
        <v>1135</v>
      </c>
      <c r="K172" s="634" t="s">
        <v>582</v>
      </c>
      <c r="L172" s="636">
        <v>41.61</v>
      </c>
      <c r="M172" s="636">
        <v>2</v>
      </c>
      <c r="N172" s="637">
        <v>83.22</v>
      </c>
    </row>
    <row r="173" spans="1:14" ht="14.4" customHeight="1" x14ac:dyDescent="0.3">
      <c r="A173" s="632" t="s">
        <v>499</v>
      </c>
      <c r="B173" s="633" t="s">
        <v>501</v>
      </c>
      <c r="C173" s="634" t="s">
        <v>511</v>
      </c>
      <c r="D173" s="635" t="s">
        <v>512</v>
      </c>
      <c r="E173" s="634" t="s">
        <v>502</v>
      </c>
      <c r="F173" s="635" t="s">
        <v>503</v>
      </c>
      <c r="G173" s="634" t="s">
        <v>532</v>
      </c>
      <c r="H173" s="634" t="s">
        <v>1136</v>
      </c>
      <c r="I173" s="634" t="s">
        <v>1137</v>
      </c>
      <c r="J173" s="634" t="s">
        <v>1138</v>
      </c>
      <c r="K173" s="634" t="s">
        <v>1139</v>
      </c>
      <c r="L173" s="636">
        <v>64.099999999999994</v>
      </c>
      <c r="M173" s="636">
        <v>3</v>
      </c>
      <c r="N173" s="637">
        <v>192.29999999999998</v>
      </c>
    </row>
    <row r="174" spans="1:14" ht="14.4" customHeight="1" x14ac:dyDescent="0.3">
      <c r="A174" s="632" t="s">
        <v>499</v>
      </c>
      <c r="B174" s="633" t="s">
        <v>501</v>
      </c>
      <c r="C174" s="634" t="s">
        <v>511</v>
      </c>
      <c r="D174" s="635" t="s">
        <v>512</v>
      </c>
      <c r="E174" s="634" t="s">
        <v>502</v>
      </c>
      <c r="F174" s="635" t="s">
        <v>503</v>
      </c>
      <c r="G174" s="634" t="s">
        <v>532</v>
      </c>
      <c r="H174" s="634" t="s">
        <v>1140</v>
      </c>
      <c r="I174" s="634" t="s">
        <v>1141</v>
      </c>
      <c r="J174" s="634" t="s">
        <v>1142</v>
      </c>
      <c r="K174" s="634" t="s">
        <v>1143</v>
      </c>
      <c r="L174" s="636">
        <v>266.56915930337959</v>
      </c>
      <c r="M174" s="636">
        <v>15</v>
      </c>
      <c r="N174" s="637">
        <v>3998.5373895506937</v>
      </c>
    </row>
    <row r="175" spans="1:14" ht="14.4" customHeight="1" x14ac:dyDescent="0.3">
      <c r="A175" s="632" t="s">
        <v>499</v>
      </c>
      <c r="B175" s="633" t="s">
        <v>501</v>
      </c>
      <c r="C175" s="634" t="s">
        <v>511</v>
      </c>
      <c r="D175" s="635" t="s">
        <v>512</v>
      </c>
      <c r="E175" s="634" t="s">
        <v>502</v>
      </c>
      <c r="F175" s="635" t="s">
        <v>503</v>
      </c>
      <c r="G175" s="634" t="s">
        <v>532</v>
      </c>
      <c r="H175" s="634" t="s">
        <v>1144</v>
      </c>
      <c r="I175" s="634" t="s">
        <v>1144</v>
      </c>
      <c r="J175" s="634" t="s">
        <v>1145</v>
      </c>
      <c r="K175" s="634" t="s">
        <v>837</v>
      </c>
      <c r="L175" s="636">
        <v>169.73</v>
      </c>
      <c r="M175" s="636">
        <v>1</v>
      </c>
      <c r="N175" s="637">
        <v>169.73</v>
      </c>
    </row>
    <row r="176" spans="1:14" ht="14.4" customHeight="1" x14ac:dyDescent="0.3">
      <c r="A176" s="632" t="s">
        <v>499</v>
      </c>
      <c r="B176" s="633" t="s">
        <v>501</v>
      </c>
      <c r="C176" s="634" t="s">
        <v>511</v>
      </c>
      <c r="D176" s="635" t="s">
        <v>512</v>
      </c>
      <c r="E176" s="634" t="s">
        <v>502</v>
      </c>
      <c r="F176" s="635" t="s">
        <v>503</v>
      </c>
      <c r="G176" s="634" t="s">
        <v>532</v>
      </c>
      <c r="H176" s="634" t="s">
        <v>1146</v>
      </c>
      <c r="I176" s="634" t="s">
        <v>1147</v>
      </c>
      <c r="J176" s="634" t="s">
        <v>1088</v>
      </c>
      <c r="K176" s="634" t="s">
        <v>1148</v>
      </c>
      <c r="L176" s="636">
        <v>90.011968249163431</v>
      </c>
      <c r="M176" s="636">
        <v>8</v>
      </c>
      <c r="N176" s="637">
        <v>720.09574599330745</v>
      </c>
    </row>
    <row r="177" spans="1:14" ht="14.4" customHeight="1" x14ac:dyDescent="0.3">
      <c r="A177" s="632" t="s">
        <v>499</v>
      </c>
      <c r="B177" s="633" t="s">
        <v>501</v>
      </c>
      <c r="C177" s="634" t="s">
        <v>511</v>
      </c>
      <c r="D177" s="635" t="s">
        <v>512</v>
      </c>
      <c r="E177" s="634" t="s">
        <v>502</v>
      </c>
      <c r="F177" s="635" t="s">
        <v>503</v>
      </c>
      <c r="G177" s="634" t="s">
        <v>532</v>
      </c>
      <c r="H177" s="634" t="s">
        <v>1149</v>
      </c>
      <c r="I177" s="634" t="s">
        <v>246</v>
      </c>
      <c r="J177" s="634" t="s">
        <v>1150</v>
      </c>
      <c r="K177" s="634"/>
      <c r="L177" s="636">
        <v>61.8</v>
      </c>
      <c r="M177" s="636">
        <v>2</v>
      </c>
      <c r="N177" s="637">
        <v>123.6</v>
      </c>
    </row>
    <row r="178" spans="1:14" ht="14.4" customHeight="1" x14ac:dyDescent="0.3">
      <c r="A178" s="632" t="s">
        <v>499</v>
      </c>
      <c r="B178" s="633" t="s">
        <v>501</v>
      </c>
      <c r="C178" s="634" t="s">
        <v>511</v>
      </c>
      <c r="D178" s="635" t="s">
        <v>512</v>
      </c>
      <c r="E178" s="634" t="s">
        <v>502</v>
      </c>
      <c r="F178" s="635" t="s">
        <v>503</v>
      </c>
      <c r="G178" s="634" t="s">
        <v>532</v>
      </c>
      <c r="H178" s="634" t="s">
        <v>1151</v>
      </c>
      <c r="I178" s="634" t="s">
        <v>246</v>
      </c>
      <c r="J178" s="634" t="s">
        <v>1152</v>
      </c>
      <c r="K178" s="634"/>
      <c r="L178" s="636">
        <v>82.903401337331601</v>
      </c>
      <c r="M178" s="636">
        <v>1</v>
      </c>
      <c r="N178" s="637">
        <v>82.903401337331601</v>
      </c>
    </row>
    <row r="179" spans="1:14" ht="14.4" customHeight="1" x14ac:dyDescent="0.3">
      <c r="A179" s="632" t="s">
        <v>499</v>
      </c>
      <c r="B179" s="633" t="s">
        <v>501</v>
      </c>
      <c r="C179" s="634" t="s">
        <v>511</v>
      </c>
      <c r="D179" s="635" t="s">
        <v>512</v>
      </c>
      <c r="E179" s="634" t="s">
        <v>502</v>
      </c>
      <c r="F179" s="635" t="s">
        <v>503</v>
      </c>
      <c r="G179" s="634" t="s">
        <v>532</v>
      </c>
      <c r="H179" s="634" t="s">
        <v>1153</v>
      </c>
      <c r="I179" s="634" t="s">
        <v>1154</v>
      </c>
      <c r="J179" s="634" t="s">
        <v>1138</v>
      </c>
      <c r="K179" s="634" t="s">
        <v>1155</v>
      </c>
      <c r="L179" s="636">
        <v>56.970056202735698</v>
      </c>
      <c r="M179" s="636">
        <v>3</v>
      </c>
      <c r="N179" s="637">
        <v>170.9101686082071</v>
      </c>
    </row>
    <row r="180" spans="1:14" ht="14.4" customHeight="1" x14ac:dyDescent="0.3">
      <c r="A180" s="632" t="s">
        <v>499</v>
      </c>
      <c r="B180" s="633" t="s">
        <v>501</v>
      </c>
      <c r="C180" s="634" t="s">
        <v>511</v>
      </c>
      <c r="D180" s="635" t="s">
        <v>512</v>
      </c>
      <c r="E180" s="634" t="s">
        <v>502</v>
      </c>
      <c r="F180" s="635" t="s">
        <v>503</v>
      </c>
      <c r="G180" s="634" t="s">
        <v>532</v>
      </c>
      <c r="H180" s="634" t="s">
        <v>1156</v>
      </c>
      <c r="I180" s="634" t="s">
        <v>1157</v>
      </c>
      <c r="J180" s="634" t="s">
        <v>1158</v>
      </c>
      <c r="K180" s="634" t="s">
        <v>1159</v>
      </c>
      <c r="L180" s="636">
        <v>128.65</v>
      </c>
      <c r="M180" s="636">
        <v>1</v>
      </c>
      <c r="N180" s="637">
        <v>128.65</v>
      </c>
    </row>
    <row r="181" spans="1:14" ht="14.4" customHeight="1" x14ac:dyDescent="0.3">
      <c r="A181" s="632" t="s">
        <v>499</v>
      </c>
      <c r="B181" s="633" t="s">
        <v>501</v>
      </c>
      <c r="C181" s="634" t="s">
        <v>511</v>
      </c>
      <c r="D181" s="635" t="s">
        <v>512</v>
      </c>
      <c r="E181" s="634" t="s">
        <v>502</v>
      </c>
      <c r="F181" s="635" t="s">
        <v>503</v>
      </c>
      <c r="G181" s="634" t="s">
        <v>532</v>
      </c>
      <c r="H181" s="634" t="s">
        <v>1160</v>
      </c>
      <c r="I181" s="634" t="s">
        <v>1161</v>
      </c>
      <c r="J181" s="634" t="s">
        <v>1162</v>
      </c>
      <c r="K181" s="634" t="s">
        <v>1163</v>
      </c>
      <c r="L181" s="636">
        <v>555.41999999999996</v>
      </c>
      <c r="M181" s="636">
        <v>2</v>
      </c>
      <c r="N181" s="637">
        <v>1110.8399999999999</v>
      </c>
    </row>
    <row r="182" spans="1:14" ht="14.4" customHeight="1" x14ac:dyDescent="0.3">
      <c r="A182" s="632" t="s">
        <v>499</v>
      </c>
      <c r="B182" s="633" t="s">
        <v>501</v>
      </c>
      <c r="C182" s="634" t="s">
        <v>511</v>
      </c>
      <c r="D182" s="635" t="s">
        <v>512</v>
      </c>
      <c r="E182" s="634" t="s">
        <v>502</v>
      </c>
      <c r="F182" s="635" t="s">
        <v>503</v>
      </c>
      <c r="G182" s="634" t="s">
        <v>532</v>
      </c>
      <c r="H182" s="634" t="s">
        <v>1164</v>
      </c>
      <c r="I182" s="634" t="s">
        <v>246</v>
      </c>
      <c r="J182" s="634" t="s">
        <v>1165</v>
      </c>
      <c r="K182" s="634"/>
      <c r="L182" s="636">
        <v>128.97128935555801</v>
      </c>
      <c r="M182" s="636">
        <v>4</v>
      </c>
      <c r="N182" s="637">
        <v>515.88515742223206</v>
      </c>
    </row>
    <row r="183" spans="1:14" ht="14.4" customHeight="1" x14ac:dyDescent="0.3">
      <c r="A183" s="632" t="s">
        <v>499</v>
      </c>
      <c r="B183" s="633" t="s">
        <v>501</v>
      </c>
      <c r="C183" s="634" t="s">
        <v>511</v>
      </c>
      <c r="D183" s="635" t="s">
        <v>512</v>
      </c>
      <c r="E183" s="634" t="s">
        <v>502</v>
      </c>
      <c r="F183" s="635" t="s">
        <v>503</v>
      </c>
      <c r="G183" s="634" t="s">
        <v>532</v>
      </c>
      <c r="H183" s="634" t="s">
        <v>1166</v>
      </c>
      <c r="I183" s="634" t="s">
        <v>1166</v>
      </c>
      <c r="J183" s="634" t="s">
        <v>1167</v>
      </c>
      <c r="K183" s="634" t="s">
        <v>1168</v>
      </c>
      <c r="L183" s="636">
        <v>142.59998187557792</v>
      </c>
      <c r="M183" s="636">
        <v>3</v>
      </c>
      <c r="N183" s="637">
        <v>427.7999456267338</v>
      </c>
    </row>
    <row r="184" spans="1:14" ht="14.4" customHeight="1" x14ac:dyDescent="0.3">
      <c r="A184" s="632" t="s">
        <v>499</v>
      </c>
      <c r="B184" s="633" t="s">
        <v>501</v>
      </c>
      <c r="C184" s="634" t="s">
        <v>511</v>
      </c>
      <c r="D184" s="635" t="s">
        <v>512</v>
      </c>
      <c r="E184" s="634" t="s">
        <v>502</v>
      </c>
      <c r="F184" s="635" t="s">
        <v>503</v>
      </c>
      <c r="G184" s="634" t="s">
        <v>532</v>
      </c>
      <c r="H184" s="634" t="s">
        <v>1169</v>
      </c>
      <c r="I184" s="634" t="s">
        <v>1170</v>
      </c>
      <c r="J184" s="634" t="s">
        <v>999</v>
      </c>
      <c r="K184" s="634" t="s">
        <v>1171</v>
      </c>
      <c r="L184" s="636">
        <v>59.563333333333333</v>
      </c>
      <c r="M184" s="636">
        <v>3</v>
      </c>
      <c r="N184" s="637">
        <v>178.69</v>
      </c>
    </row>
    <row r="185" spans="1:14" ht="14.4" customHeight="1" x14ac:dyDescent="0.3">
      <c r="A185" s="632" t="s">
        <v>499</v>
      </c>
      <c r="B185" s="633" t="s">
        <v>501</v>
      </c>
      <c r="C185" s="634" t="s">
        <v>511</v>
      </c>
      <c r="D185" s="635" t="s">
        <v>512</v>
      </c>
      <c r="E185" s="634" t="s">
        <v>502</v>
      </c>
      <c r="F185" s="635" t="s">
        <v>503</v>
      </c>
      <c r="G185" s="634" t="s">
        <v>532</v>
      </c>
      <c r="H185" s="634" t="s">
        <v>1172</v>
      </c>
      <c r="I185" s="634" t="s">
        <v>1173</v>
      </c>
      <c r="J185" s="634" t="s">
        <v>1174</v>
      </c>
      <c r="K185" s="634" t="s">
        <v>1175</v>
      </c>
      <c r="L185" s="636">
        <v>30.61</v>
      </c>
      <c r="M185" s="636">
        <v>3</v>
      </c>
      <c r="N185" s="637">
        <v>91.83</v>
      </c>
    </row>
    <row r="186" spans="1:14" ht="14.4" customHeight="1" x14ac:dyDescent="0.3">
      <c r="A186" s="632" t="s">
        <v>499</v>
      </c>
      <c r="B186" s="633" t="s">
        <v>501</v>
      </c>
      <c r="C186" s="634" t="s">
        <v>511</v>
      </c>
      <c r="D186" s="635" t="s">
        <v>512</v>
      </c>
      <c r="E186" s="634" t="s">
        <v>502</v>
      </c>
      <c r="F186" s="635" t="s">
        <v>503</v>
      </c>
      <c r="G186" s="634" t="s">
        <v>532</v>
      </c>
      <c r="H186" s="634" t="s">
        <v>1176</v>
      </c>
      <c r="I186" s="634" t="s">
        <v>1177</v>
      </c>
      <c r="J186" s="634" t="s">
        <v>1178</v>
      </c>
      <c r="K186" s="634" t="s">
        <v>1179</v>
      </c>
      <c r="L186" s="636">
        <v>25.531249999999996</v>
      </c>
      <c r="M186" s="636">
        <v>8</v>
      </c>
      <c r="N186" s="637">
        <v>204.24999999999997</v>
      </c>
    </row>
    <row r="187" spans="1:14" ht="14.4" customHeight="1" x14ac:dyDescent="0.3">
      <c r="A187" s="632" t="s">
        <v>499</v>
      </c>
      <c r="B187" s="633" t="s">
        <v>501</v>
      </c>
      <c r="C187" s="634" t="s">
        <v>511</v>
      </c>
      <c r="D187" s="635" t="s">
        <v>512</v>
      </c>
      <c r="E187" s="634" t="s">
        <v>502</v>
      </c>
      <c r="F187" s="635" t="s">
        <v>503</v>
      </c>
      <c r="G187" s="634" t="s">
        <v>532</v>
      </c>
      <c r="H187" s="634" t="s">
        <v>1180</v>
      </c>
      <c r="I187" s="634" t="s">
        <v>1181</v>
      </c>
      <c r="J187" s="634" t="s">
        <v>1182</v>
      </c>
      <c r="K187" s="634" t="s">
        <v>1183</v>
      </c>
      <c r="L187" s="636">
        <v>67.739999999999995</v>
      </c>
      <c r="M187" s="636">
        <v>2</v>
      </c>
      <c r="N187" s="637">
        <v>135.47999999999999</v>
      </c>
    </row>
    <row r="188" spans="1:14" ht="14.4" customHeight="1" x14ac:dyDescent="0.3">
      <c r="A188" s="632" t="s">
        <v>499</v>
      </c>
      <c r="B188" s="633" t="s">
        <v>501</v>
      </c>
      <c r="C188" s="634" t="s">
        <v>511</v>
      </c>
      <c r="D188" s="635" t="s">
        <v>512</v>
      </c>
      <c r="E188" s="634" t="s">
        <v>502</v>
      </c>
      <c r="F188" s="635" t="s">
        <v>503</v>
      </c>
      <c r="G188" s="634" t="s">
        <v>532</v>
      </c>
      <c r="H188" s="634" t="s">
        <v>1184</v>
      </c>
      <c r="I188" s="634" t="s">
        <v>1185</v>
      </c>
      <c r="J188" s="634" t="s">
        <v>1186</v>
      </c>
      <c r="K188" s="634" t="s">
        <v>1187</v>
      </c>
      <c r="L188" s="636">
        <v>41.89</v>
      </c>
      <c r="M188" s="636">
        <v>2</v>
      </c>
      <c r="N188" s="637">
        <v>83.78</v>
      </c>
    </row>
    <row r="189" spans="1:14" ht="14.4" customHeight="1" x14ac:dyDescent="0.3">
      <c r="A189" s="632" t="s">
        <v>499</v>
      </c>
      <c r="B189" s="633" t="s">
        <v>501</v>
      </c>
      <c r="C189" s="634" t="s">
        <v>511</v>
      </c>
      <c r="D189" s="635" t="s">
        <v>512</v>
      </c>
      <c r="E189" s="634" t="s">
        <v>502</v>
      </c>
      <c r="F189" s="635" t="s">
        <v>503</v>
      </c>
      <c r="G189" s="634" t="s">
        <v>532</v>
      </c>
      <c r="H189" s="634" t="s">
        <v>1188</v>
      </c>
      <c r="I189" s="634" t="s">
        <v>1189</v>
      </c>
      <c r="J189" s="634" t="s">
        <v>1190</v>
      </c>
      <c r="K189" s="634" t="s">
        <v>1191</v>
      </c>
      <c r="L189" s="636">
        <v>39.07</v>
      </c>
      <c r="M189" s="636">
        <v>3</v>
      </c>
      <c r="N189" s="637">
        <v>117.21000000000001</v>
      </c>
    </row>
    <row r="190" spans="1:14" ht="14.4" customHeight="1" x14ac:dyDescent="0.3">
      <c r="A190" s="632" t="s">
        <v>499</v>
      </c>
      <c r="B190" s="633" t="s">
        <v>501</v>
      </c>
      <c r="C190" s="634" t="s">
        <v>511</v>
      </c>
      <c r="D190" s="635" t="s">
        <v>512</v>
      </c>
      <c r="E190" s="634" t="s">
        <v>502</v>
      </c>
      <c r="F190" s="635" t="s">
        <v>503</v>
      </c>
      <c r="G190" s="634" t="s">
        <v>532</v>
      </c>
      <c r="H190" s="634" t="s">
        <v>1192</v>
      </c>
      <c r="I190" s="634" t="s">
        <v>1193</v>
      </c>
      <c r="J190" s="634" t="s">
        <v>1194</v>
      </c>
      <c r="K190" s="634" t="s">
        <v>1195</v>
      </c>
      <c r="L190" s="636">
        <v>96.704999999999998</v>
      </c>
      <c r="M190" s="636">
        <v>2</v>
      </c>
      <c r="N190" s="637">
        <v>193.41</v>
      </c>
    </row>
    <row r="191" spans="1:14" ht="14.4" customHeight="1" x14ac:dyDescent="0.3">
      <c r="A191" s="632" t="s">
        <v>499</v>
      </c>
      <c r="B191" s="633" t="s">
        <v>501</v>
      </c>
      <c r="C191" s="634" t="s">
        <v>511</v>
      </c>
      <c r="D191" s="635" t="s">
        <v>512</v>
      </c>
      <c r="E191" s="634" t="s">
        <v>502</v>
      </c>
      <c r="F191" s="635" t="s">
        <v>503</v>
      </c>
      <c r="G191" s="634" t="s">
        <v>532</v>
      </c>
      <c r="H191" s="634" t="s">
        <v>1196</v>
      </c>
      <c r="I191" s="634" t="s">
        <v>1197</v>
      </c>
      <c r="J191" s="634" t="s">
        <v>1198</v>
      </c>
      <c r="K191" s="634" t="s">
        <v>1199</v>
      </c>
      <c r="L191" s="636">
        <v>84.49</v>
      </c>
      <c r="M191" s="636">
        <v>1</v>
      </c>
      <c r="N191" s="637">
        <v>84.49</v>
      </c>
    </row>
    <row r="192" spans="1:14" ht="14.4" customHeight="1" x14ac:dyDescent="0.3">
      <c r="A192" s="632" t="s">
        <v>499</v>
      </c>
      <c r="B192" s="633" t="s">
        <v>501</v>
      </c>
      <c r="C192" s="634" t="s">
        <v>511</v>
      </c>
      <c r="D192" s="635" t="s">
        <v>512</v>
      </c>
      <c r="E192" s="634" t="s">
        <v>502</v>
      </c>
      <c r="F192" s="635" t="s">
        <v>503</v>
      </c>
      <c r="G192" s="634" t="s">
        <v>532</v>
      </c>
      <c r="H192" s="634" t="s">
        <v>1200</v>
      </c>
      <c r="I192" s="634" t="s">
        <v>1201</v>
      </c>
      <c r="J192" s="634" t="s">
        <v>1202</v>
      </c>
      <c r="K192" s="634" t="s">
        <v>1203</v>
      </c>
      <c r="L192" s="636">
        <v>102.74969420978066</v>
      </c>
      <c r="M192" s="636">
        <v>6</v>
      </c>
      <c r="N192" s="637">
        <v>616.49816525868391</v>
      </c>
    </row>
    <row r="193" spans="1:14" ht="14.4" customHeight="1" x14ac:dyDescent="0.3">
      <c r="A193" s="632" t="s">
        <v>499</v>
      </c>
      <c r="B193" s="633" t="s">
        <v>501</v>
      </c>
      <c r="C193" s="634" t="s">
        <v>511</v>
      </c>
      <c r="D193" s="635" t="s">
        <v>512</v>
      </c>
      <c r="E193" s="634" t="s">
        <v>502</v>
      </c>
      <c r="F193" s="635" t="s">
        <v>503</v>
      </c>
      <c r="G193" s="634" t="s">
        <v>532</v>
      </c>
      <c r="H193" s="634" t="s">
        <v>1204</v>
      </c>
      <c r="I193" s="634" t="s">
        <v>1205</v>
      </c>
      <c r="J193" s="634" t="s">
        <v>1206</v>
      </c>
      <c r="K193" s="634" t="s">
        <v>750</v>
      </c>
      <c r="L193" s="636">
        <v>145.76499999999999</v>
      </c>
      <c r="M193" s="636">
        <v>4</v>
      </c>
      <c r="N193" s="637">
        <v>583.05999999999995</v>
      </c>
    </row>
    <row r="194" spans="1:14" ht="14.4" customHeight="1" x14ac:dyDescent="0.3">
      <c r="A194" s="632" t="s">
        <v>499</v>
      </c>
      <c r="B194" s="633" t="s">
        <v>501</v>
      </c>
      <c r="C194" s="634" t="s">
        <v>511</v>
      </c>
      <c r="D194" s="635" t="s">
        <v>512</v>
      </c>
      <c r="E194" s="634" t="s">
        <v>502</v>
      </c>
      <c r="F194" s="635" t="s">
        <v>503</v>
      </c>
      <c r="G194" s="634" t="s">
        <v>532</v>
      </c>
      <c r="H194" s="634" t="s">
        <v>1207</v>
      </c>
      <c r="I194" s="634" t="s">
        <v>1208</v>
      </c>
      <c r="J194" s="634" t="s">
        <v>1209</v>
      </c>
      <c r="K194" s="634" t="s">
        <v>1210</v>
      </c>
      <c r="L194" s="636">
        <v>304.30000000000007</v>
      </c>
      <c r="M194" s="636">
        <v>1</v>
      </c>
      <c r="N194" s="637">
        <v>304.30000000000007</v>
      </c>
    </row>
    <row r="195" spans="1:14" ht="14.4" customHeight="1" x14ac:dyDescent="0.3">
      <c r="A195" s="632" t="s">
        <v>499</v>
      </c>
      <c r="B195" s="633" t="s">
        <v>501</v>
      </c>
      <c r="C195" s="634" t="s">
        <v>511</v>
      </c>
      <c r="D195" s="635" t="s">
        <v>512</v>
      </c>
      <c r="E195" s="634" t="s">
        <v>502</v>
      </c>
      <c r="F195" s="635" t="s">
        <v>503</v>
      </c>
      <c r="G195" s="634" t="s">
        <v>532</v>
      </c>
      <c r="H195" s="634" t="s">
        <v>1211</v>
      </c>
      <c r="I195" s="634" t="s">
        <v>1212</v>
      </c>
      <c r="J195" s="634" t="s">
        <v>1213</v>
      </c>
      <c r="K195" s="634" t="s">
        <v>1214</v>
      </c>
      <c r="L195" s="636">
        <v>49.679834865020112</v>
      </c>
      <c r="M195" s="636">
        <v>1</v>
      </c>
      <c r="N195" s="637">
        <v>49.679834865020112</v>
      </c>
    </row>
    <row r="196" spans="1:14" ht="14.4" customHeight="1" x14ac:dyDescent="0.3">
      <c r="A196" s="632" t="s">
        <v>499</v>
      </c>
      <c r="B196" s="633" t="s">
        <v>501</v>
      </c>
      <c r="C196" s="634" t="s">
        <v>511</v>
      </c>
      <c r="D196" s="635" t="s">
        <v>512</v>
      </c>
      <c r="E196" s="634" t="s">
        <v>502</v>
      </c>
      <c r="F196" s="635" t="s">
        <v>503</v>
      </c>
      <c r="G196" s="634" t="s">
        <v>532</v>
      </c>
      <c r="H196" s="634" t="s">
        <v>1215</v>
      </c>
      <c r="I196" s="634" t="s">
        <v>1216</v>
      </c>
      <c r="J196" s="634" t="s">
        <v>1217</v>
      </c>
      <c r="K196" s="634" t="s">
        <v>1218</v>
      </c>
      <c r="L196" s="636">
        <v>56.71769230769231</v>
      </c>
      <c r="M196" s="636">
        <v>13</v>
      </c>
      <c r="N196" s="637">
        <v>737.33</v>
      </c>
    </row>
    <row r="197" spans="1:14" ht="14.4" customHeight="1" x14ac:dyDescent="0.3">
      <c r="A197" s="632" t="s">
        <v>499</v>
      </c>
      <c r="B197" s="633" t="s">
        <v>501</v>
      </c>
      <c r="C197" s="634" t="s">
        <v>511</v>
      </c>
      <c r="D197" s="635" t="s">
        <v>512</v>
      </c>
      <c r="E197" s="634" t="s">
        <v>502</v>
      </c>
      <c r="F197" s="635" t="s">
        <v>503</v>
      </c>
      <c r="G197" s="634" t="s">
        <v>532</v>
      </c>
      <c r="H197" s="634" t="s">
        <v>1219</v>
      </c>
      <c r="I197" s="634" t="s">
        <v>1220</v>
      </c>
      <c r="J197" s="634" t="s">
        <v>867</v>
      </c>
      <c r="K197" s="634" t="s">
        <v>1221</v>
      </c>
      <c r="L197" s="636">
        <v>106.82</v>
      </c>
      <c r="M197" s="636">
        <v>3</v>
      </c>
      <c r="N197" s="637">
        <v>320.45999999999998</v>
      </c>
    </row>
    <row r="198" spans="1:14" ht="14.4" customHeight="1" x14ac:dyDescent="0.3">
      <c r="A198" s="632" t="s">
        <v>499</v>
      </c>
      <c r="B198" s="633" t="s">
        <v>501</v>
      </c>
      <c r="C198" s="634" t="s">
        <v>511</v>
      </c>
      <c r="D198" s="635" t="s">
        <v>512</v>
      </c>
      <c r="E198" s="634" t="s">
        <v>502</v>
      </c>
      <c r="F198" s="635" t="s">
        <v>503</v>
      </c>
      <c r="G198" s="634" t="s">
        <v>532</v>
      </c>
      <c r="H198" s="634" t="s">
        <v>1222</v>
      </c>
      <c r="I198" s="634" t="s">
        <v>1223</v>
      </c>
      <c r="J198" s="634" t="s">
        <v>1224</v>
      </c>
      <c r="K198" s="634" t="s">
        <v>1225</v>
      </c>
      <c r="L198" s="636">
        <v>96.92</v>
      </c>
      <c r="M198" s="636">
        <v>1</v>
      </c>
      <c r="N198" s="637">
        <v>96.92</v>
      </c>
    </row>
    <row r="199" spans="1:14" ht="14.4" customHeight="1" x14ac:dyDescent="0.3">
      <c r="A199" s="632" t="s">
        <v>499</v>
      </c>
      <c r="B199" s="633" t="s">
        <v>501</v>
      </c>
      <c r="C199" s="634" t="s">
        <v>511</v>
      </c>
      <c r="D199" s="635" t="s">
        <v>512</v>
      </c>
      <c r="E199" s="634" t="s">
        <v>502</v>
      </c>
      <c r="F199" s="635" t="s">
        <v>503</v>
      </c>
      <c r="G199" s="634" t="s">
        <v>532</v>
      </c>
      <c r="H199" s="634" t="s">
        <v>1226</v>
      </c>
      <c r="I199" s="634" t="s">
        <v>1227</v>
      </c>
      <c r="J199" s="634" t="s">
        <v>657</v>
      </c>
      <c r="K199" s="634" t="s">
        <v>1228</v>
      </c>
      <c r="L199" s="636">
        <v>723.18999999999994</v>
      </c>
      <c r="M199" s="636">
        <v>2</v>
      </c>
      <c r="N199" s="637">
        <v>1446.3799999999999</v>
      </c>
    </row>
    <row r="200" spans="1:14" ht="14.4" customHeight="1" x14ac:dyDescent="0.3">
      <c r="A200" s="632" t="s">
        <v>499</v>
      </c>
      <c r="B200" s="633" t="s">
        <v>501</v>
      </c>
      <c r="C200" s="634" t="s">
        <v>511</v>
      </c>
      <c r="D200" s="635" t="s">
        <v>512</v>
      </c>
      <c r="E200" s="634" t="s">
        <v>502</v>
      </c>
      <c r="F200" s="635" t="s">
        <v>503</v>
      </c>
      <c r="G200" s="634" t="s">
        <v>532</v>
      </c>
      <c r="H200" s="634" t="s">
        <v>1229</v>
      </c>
      <c r="I200" s="634" t="s">
        <v>246</v>
      </c>
      <c r="J200" s="634" t="s">
        <v>1230</v>
      </c>
      <c r="K200" s="634"/>
      <c r="L200" s="636">
        <v>152.13327712876099</v>
      </c>
      <c r="M200" s="636">
        <v>3</v>
      </c>
      <c r="N200" s="637">
        <v>456.39983138628298</v>
      </c>
    </row>
    <row r="201" spans="1:14" ht="14.4" customHeight="1" x14ac:dyDescent="0.3">
      <c r="A201" s="632" t="s">
        <v>499</v>
      </c>
      <c r="B201" s="633" t="s">
        <v>501</v>
      </c>
      <c r="C201" s="634" t="s">
        <v>511</v>
      </c>
      <c r="D201" s="635" t="s">
        <v>512</v>
      </c>
      <c r="E201" s="634" t="s">
        <v>502</v>
      </c>
      <c r="F201" s="635" t="s">
        <v>503</v>
      </c>
      <c r="G201" s="634" t="s">
        <v>532</v>
      </c>
      <c r="H201" s="634" t="s">
        <v>1231</v>
      </c>
      <c r="I201" s="634" t="s">
        <v>1232</v>
      </c>
      <c r="J201" s="634" t="s">
        <v>1233</v>
      </c>
      <c r="K201" s="634" t="s">
        <v>1234</v>
      </c>
      <c r="L201" s="636">
        <v>176.46</v>
      </c>
      <c r="M201" s="636">
        <v>1</v>
      </c>
      <c r="N201" s="637">
        <v>176.46</v>
      </c>
    </row>
    <row r="202" spans="1:14" ht="14.4" customHeight="1" x14ac:dyDescent="0.3">
      <c r="A202" s="632" t="s">
        <v>499</v>
      </c>
      <c r="B202" s="633" t="s">
        <v>501</v>
      </c>
      <c r="C202" s="634" t="s">
        <v>511</v>
      </c>
      <c r="D202" s="635" t="s">
        <v>512</v>
      </c>
      <c r="E202" s="634" t="s">
        <v>502</v>
      </c>
      <c r="F202" s="635" t="s">
        <v>503</v>
      </c>
      <c r="G202" s="634" t="s">
        <v>532</v>
      </c>
      <c r="H202" s="634" t="s">
        <v>1235</v>
      </c>
      <c r="I202" s="634" t="s">
        <v>1236</v>
      </c>
      <c r="J202" s="634" t="s">
        <v>1237</v>
      </c>
      <c r="K202" s="634" t="s">
        <v>804</v>
      </c>
      <c r="L202" s="636">
        <v>41.119736531329401</v>
      </c>
      <c r="M202" s="636">
        <v>3</v>
      </c>
      <c r="N202" s="637">
        <v>123.3592095939882</v>
      </c>
    </row>
    <row r="203" spans="1:14" ht="14.4" customHeight="1" x14ac:dyDescent="0.3">
      <c r="A203" s="632" t="s">
        <v>499</v>
      </c>
      <c r="B203" s="633" t="s">
        <v>501</v>
      </c>
      <c r="C203" s="634" t="s">
        <v>511</v>
      </c>
      <c r="D203" s="635" t="s">
        <v>512</v>
      </c>
      <c r="E203" s="634" t="s">
        <v>502</v>
      </c>
      <c r="F203" s="635" t="s">
        <v>503</v>
      </c>
      <c r="G203" s="634" t="s">
        <v>532</v>
      </c>
      <c r="H203" s="634" t="s">
        <v>1238</v>
      </c>
      <c r="I203" s="634" t="s">
        <v>1239</v>
      </c>
      <c r="J203" s="634" t="s">
        <v>1240</v>
      </c>
      <c r="K203" s="634" t="s">
        <v>1241</v>
      </c>
      <c r="L203" s="636">
        <v>76.506621992150798</v>
      </c>
      <c r="M203" s="636">
        <v>3</v>
      </c>
      <c r="N203" s="637">
        <v>229.51986597645239</v>
      </c>
    </row>
    <row r="204" spans="1:14" ht="14.4" customHeight="1" x14ac:dyDescent="0.3">
      <c r="A204" s="632" t="s">
        <v>499</v>
      </c>
      <c r="B204" s="633" t="s">
        <v>501</v>
      </c>
      <c r="C204" s="634" t="s">
        <v>511</v>
      </c>
      <c r="D204" s="635" t="s">
        <v>512</v>
      </c>
      <c r="E204" s="634" t="s">
        <v>502</v>
      </c>
      <c r="F204" s="635" t="s">
        <v>503</v>
      </c>
      <c r="G204" s="634" t="s">
        <v>532</v>
      </c>
      <c r="H204" s="634" t="s">
        <v>1242</v>
      </c>
      <c r="I204" s="634" t="s">
        <v>1243</v>
      </c>
      <c r="J204" s="634" t="s">
        <v>1244</v>
      </c>
      <c r="K204" s="634" t="s">
        <v>1245</v>
      </c>
      <c r="L204" s="636">
        <v>457.4799999999999</v>
      </c>
      <c r="M204" s="636">
        <v>1</v>
      </c>
      <c r="N204" s="637">
        <v>457.4799999999999</v>
      </c>
    </row>
    <row r="205" spans="1:14" ht="14.4" customHeight="1" x14ac:dyDescent="0.3">
      <c r="A205" s="632" t="s">
        <v>499</v>
      </c>
      <c r="B205" s="633" t="s">
        <v>501</v>
      </c>
      <c r="C205" s="634" t="s">
        <v>511</v>
      </c>
      <c r="D205" s="635" t="s">
        <v>512</v>
      </c>
      <c r="E205" s="634" t="s">
        <v>502</v>
      </c>
      <c r="F205" s="635" t="s">
        <v>503</v>
      </c>
      <c r="G205" s="634" t="s">
        <v>532</v>
      </c>
      <c r="H205" s="634" t="s">
        <v>1246</v>
      </c>
      <c r="I205" s="634" t="s">
        <v>1247</v>
      </c>
      <c r="J205" s="634" t="s">
        <v>1248</v>
      </c>
      <c r="K205" s="634" t="s">
        <v>1249</v>
      </c>
      <c r="L205" s="636">
        <v>424.5383346973498</v>
      </c>
      <c r="M205" s="636">
        <v>2</v>
      </c>
      <c r="N205" s="637">
        <v>849.07666939469959</v>
      </c>
    </row>
    <row r="206" spans="1:14" ht="14.4" customHeight="1" x14ac:dyDescent="0.3">
      <c r="A206" s="632" t="s">
        <v>499</v>
      </c>
      <c r="B206" s="633" t="s">
        <v>501</v>
      </c>
      <c r="C206" s="634" t="s">
        <v>511</v>
      </c>
      <c r="D206" s="635" t="s">
        <v>512</v>
      </c>
      <c r="E206" s="634" t="s">
        <v>502</v>
      </c>
      <c r="F206" s="635" t="s">
        <v>503</v>
      </c>
      <c r="G206" s="634" t="s">
        <v>532</v>
      </c>
      <c r="H206" s="634" t="s">
        <v>1250</v>
      </c>
      <c r="I206" s="634" t="s">
        <v>1251</v>
      </c>
      <c r="J206" s="634" t="s">
        <v>1252</v>
      </c>
      <c r="K206" s="634" t="s">
        <v>1253</v>
      </c>
      <c r="L206" s="636">
        <v>78.350316360241493</v>
      </c>
      <c r="M206" s="636">
        <v>3</v>
      </c>
      <c r="N206" s="637">
        <v>235.05094908072448</v>
      </c>
    </row>
    <row r="207" spans="1:14" ht="14.4" customHeight="1" x14ac:dyDescent="0.3">
      <c r="A207" s="632" t="s">
        <v>499</v>
      </c>
      <c r="B207" s="633" t="s">
        <v>501</v>
      </c>
      <c r="C207" s="634" t="s">
        <v>511</v>
      </c>
      <c r="D207" s="635" t="s">
        <v>512</v>
      </c>
      <c r="E207" s="634" t="s">
        <v>502</v>
      </c>
      <c r="F207" s="635" t="s">
        <v>503</v>
      </c>
      <c r="G207" s="634" t="s">
        <v>532</v>
      </c>
      <c r="H207" s="634" t="s">
        <v>1254</v>
      </c>
      <c r="I207" s="634" t="s">
        <v>1255</v>
      </c>
      <c r="J207" s="634" t="s">
        <v>1256</v>
      </c>
      <c r="K207" s="634" t="s">
        <v>1257</v>
      </c>
      <c r="L207" s="636">
        <v>38.94</v>
      </c>
      <c r="M207" s="636">
        <v>1</v>
      </c>
      <c r="N207" s="637">
        <v>38.94</v>
      </c>
    </row>
    <row r="208" spans="1:14" ht="14.4" customHeight="1" x14ac:dyDescent="0.3">
      <c r="A208" s="632" t="s">
        <v>499</v>
      </c>
      <c r="B208" s="633" t="s">
        <v>501</v>
      </c>
      <c r="C208" s="634" t="s">
        <v>511</v>
      </c>
      <c r="D208" s="635" t="s">
        <v>512</v>
      </c>
      <c r="E208" s="634" t="s">
        <v>502</v>
      </c>
      <c r="F208" s="635" t="s">
        <v>503</v>
      </c>
      <c r="G208" s="634" t="s">
        <v>532</v>
      </c>
      <c r="H208" s="634" t="s">
        <v>1258</v>
      </c>
      <c r="I208" s="634" t="s">
        <v>1259</v>
      </c>
      <c r="J208" s="634" t="s">
        <v>1260</v>
      </c>
      <c r="K208" s="634" t="s">
        <v>1261</v>
      </c>
      <c r="L208" s="636">
        <v>102.73010134644625</v>
      </c>
      <c r="M208" s="636">
        <v>1</v>
      </c>
      <c r="N208" s="637">
        <v>102.73010134644625</v>
      </c>
    </row>
    <row r="209" spans="1:14" ht="14.4" customHeight="1" x14ac:dyDescent="0.3">
      <c r="A209" s="632" t="s">
        <v>499</v>
      </c>
      <c r="B209" s="633" t="s">
        <v>501</v>
      </c>
      <c r="C209" s="634" t="s">
        <v>511</v>
      </c>
      <c r="D209" s="635" t="s">
        <v>512</v>
      </c>
      <c r="E209" s="634" t="s">
        <v>502</v>
      </c>
      <c r="F209" s="635" t="s">
        <v>503</v>
      </c>
      <c r="G209" s="634" t="s">
        <v>532</v>
      </c>
      <c r="H209" s="634" t="s">
        <v>1262</v>
      </c>
      <c r="I209" s="634" t="s">
        <v>1262</v>
      </c>
      <c r="J209" s="634" t="s">
        <v>1263</v>
      </c>
      <c r="K209" s="634" t="s">
        <v>1264</v>
      </c>
      <c r="L209" s="636">
        <v>96.189589120437333</v>
      </c>
      <c r="M209" s="636">
        <v>3</v>
      </c>
      <c r="N209" s="637">
        <v>288.56876736131198</v>
      </c>
    </row>
    <row r="210" spans="1:14" ht="14.4" customHeight="1" x14ac:dyDescent="0.3">
      <c r="A210" s="632" t="s">
        <v>499</v>
      </c>
      <c r="B210" s="633" t="s">
        <v>501</v>
      </c>
      <c r="C210" s="634" t="s">
        <v>511</v>
      </c>
      <c r="D210" s="635" t="s">
        <v>512</v>
      </c>
      <c r="E210" s="634" t="s">
        <v>502</v>
      </c>
      <c r="F210" s="635" t="s">
        <v>503</v>
      </c>
      <c r="G210" s="634" t="s">
        <v>532</v>
      </c>
      <c r="H210" s="634" t="s">
        <v>1265</v>
      </c>
      <c r="I210" s="634" t="s">
        <v>1266</v>
      </c>
      <c r="J210" s="634" t="s">
        <v>1267</v>
      </c>
      <c r="K210" s="634" t="s">
        <v>1268</v>
      </c>
      <c r="L210" s="636">
        <v>83.123333333333335</v>
      </c>
      <c r="M210" s="636">
        <v>3</v>
      </c>
      <c r="N210" s="637">
        <v>249.37</v>
      </c>
    </row>
    <row r="211" spans="1:14" ht="14.4" customHeight="1" x14ac:dyDescent="0.3">
      <c r="A211" s="632" t="s">
        <v>499</v>
      </c>
      <c r="B211" s="633" t="s">
        <v>501</v>
      </c>
      <c r="C211" s="634" t="s">
        <v>511</v>
      </c>
      <c r="D211" s="635" t="s">
        <v>512</v>
      </c>
      <c r="E211" s="634" t="s">
        <v>502</v>
      </c>
      <c r="F211" s="635" t="s">
        <v>503</v>
      </c>
      <c r="G211" s="634" t="s">
        <v>532</v>
      </c>
      <c r="H211" s="634" t="s">
        <v>1269</v>
      </c>
      <c r="I211" s="634" t="s">
        <v>1270</v>
      </c>
      <c r="J211" s="634" t="s">
        <v>1271</v>
      </c>
      <c r="K211" s="634" t="s">
        <v>1068</v>
      </c>
      <c r="L211" s="636">
        <v>598.70000000000005</v>
      </c>
      <c r="M211" s="636">
        <v>1</v>
      </c>
      <c r="N211" s="637">
        <v>598.70000000000005</v>
      </c>
    </row>
    <row r="212" spans="1:14" ht="14.4" customHeight="1" x14ac:dyDescent="0.3">
      <c r="A212" s="632" t="s">
        <v>499</v>
      </c>
      <c r="B212" s="633" t="s">
        <v>501</v>
      </c>
      <c r="C212" s="634" t="s">
        <v>511</v>
      </c>
      <c r="D212" s="635" t="s">
        <v>512</v>
      </c>
      <c r="E212" s="634" t="s">
        <v>502</v>
      </c>
      <c r="F212" s="635" t="s">
        <v>503</v>
      </c>
      <c r="G212" s="634" t="s">
        <v>532</v>
      </c>
      <c r="H212" s="634" t="s">
        <v>1272</v>
      </c>
      <c r="I212" s="634" t="s">
        <v>1273</v>
      </c>
      <c r="J212" s="634" t="s">
        <v>1274</v>
      </c>
      <c r="K212" s="634" t="s">
        <v>1275</v>
      </c>
      <c r="L212" s="636">
        <v>131.77000000000001</v>
      </c>
      <c r="M212" s="636">
        <v>1</v>
      </c>
      <c r="N212" s="637">
        <v>131.77000000000001</v>
      </c>
    </row>
    <row r="213" spans="1:14" ht="14.4" customHeight="1" x14ac:dyDescent="0.3">
      <c r="A213" s="632" t="s">
        <v>499</v>
      </c>
      <c r="B213" s="633" t="s">
        <v>501</v>
      </c>
      <c r="C213" s="634" t="s">
        <v>511</v>
      </c>
      <c r="D213" s="635" t="s">
        <v>512</v>
      </c>
      <c r="E213" s="634" t="s">
        <v>502</v>
      </c>
      <c r="F213" s="635" t="s">
        <v>503</v>
      </c>
      <c r="G213" s="634" t="s">
        <v>532</v>
      </c>
      <c r="H213" s="634" t="s">
        <v>1276</v>
      </c>
      <c r="I213" s="634" t="s">
        <v>246</v>
      </c>
      <c r="J213" s="634" t="s">
        <v>1277</v>
      </c>
      <c r="K213" s="634"/>
      <c r="L213" s="636">
        <v>91.000679312783006</v>
      </c>
      <c r="M213" s="636">
        <v>6</v>
      </c>
      <c r="N213" s="637">
        <v>546.00407587669804</v>
      </c>
    </row>
    <row r="214" spans="1:14" ht="14.4" customHeight="1" x14ac:dyDescent="0.3">
      <c r="A214" s="632" t="s">
        <v>499</v>
      </c>
      <c r="B214" s="633" t="s">
        <v>501</v>
      </c>
      <c r="C214" s="634" t="s">
        <v>511</v>
      </c>
      <c r="D214" s="635" t="s">
        <v>512</v>
      </c>
      <c r="E214" s="634" t="s">
        <v>502</v>
      </c>
      <c r="F214" s="635" t="s">
        <v>503</v>
      </c>
      <c r="G214" s="634" t="s">
        <v>532</v>
      </c>
      <c r="H214" s="634" t="s">
        <v>1278</v>
      </c>
      <c r="I214" s="634" t="s">
        <v>1279</v>
      </c>
      <c r="J214" s="634" t="s">
        <v>1280</v>
      </c>
      <c r="K214" s="634" t="s">
        <v>1281</v>
      </c>
      <c r="L214" s="636">
        <v>39.659999999999982</v>
      </c>
      <c r="M214" s="636">
        <v>2</v>
      </c>
      <c r="N214" s="637">
        <v>79.319999999999965</v>
      </c>
    </row>
    <row r="215" spans="1:14" ht="14.4" customHeight="1" x14ac:dyDescent="0.3">
      <c r="A215" s="632" t="s">
        <v>499</v>
      </c>
      <c r="B215" s="633" t="s">
        <v>501</v>
      </c>
      <c r="C215" s="634" t="s">
        <v>511</v>
      </c>
      <c r="D215" s="635" t="s">
        <v>512</v>
      </c>
      <c r="E215" s="634" t="s">
        <v>502</v>
      </c>
      <c r="F215" s="635" t="s">
        <v>503</v>
      </c>
      <c r="G215" s="634" t="s">
        <v>532</v>
      </c>
      <c r="H215" s="634" t="s">
        <v>1282</v>
      </c>
      <c r="I215" s="634" t="s">
        <v>1283</v>
      </c>
      <c r="J215" s="634" t="s">
        <v>1284</v>
      </c>
      <c r="K215" s="634" t="s">
        <v>1285</v>
      </c>
      <c r="L215" s="636">
        <v>57.6</v>
      </c>
      <c r="M215" s="636">
        <v>2</v>
      </c>
      <c r="N215" s="637">
        <v>115.2</v>
      </c>
    </row>
    <row r="216" spans="1:14" ht="14.4" customHeight="1" x14ac:dyDescent="0.3">
      <c r="A216" s="632" t="s">
        <v>499</v>
      </c>
      <c r="B216" s="633" t="s">
        <v>501</v>
      </c>
      <c r="C216" s="634" t="s">
        <v>511</v>
      </c>
      <c r="D216" s="635" t="s">
        <v>512</v>
      </c>
      <c r="E216" s="634" t="s">
        <v>502</v>
      </c>
      <c r="F216" s="635" t="s">
        <v>503</v>
      </c>
      <c r="G216" s="634" t="s">
        <v>532</v>
      </c>
      <c r="H216" s="634" t="s">
        <v>1286</v>
      </c>
      <c r="I216" s="634" t="s">
        <v>1287</v>
      </c>
      <c r="J216" s="634" t="s">
        <v>1288</v>
      </c>
      <c r="K216" s="634" t="s">
        <v>1289</v>
      </c>
      <c r="L216" s="636">
        <v>73.692857142857136</v>
      </c>
      <c r="M216" s="636">
        <v>7</v>
      </c>
      <c r="N216" s="637">
        <v>515.84999999999991</v>
      </c>
    </row>
    <row r="217" spans="1:14" ht="14.4" customHeight="1" x14ac:dyDescent="0.3">
      <c r="A217" s="632" t="s">
        <v>499</v>
      </c>
      <c r="B217" s="633" t="s">
        <v>501</v>
      </c>
      <c r="C217" s="634" t="s">
        <v>511</v>
      </c>
      <c r="D217" s="635" t="s">
        <v>512</v>
      </c>
      <c r="E217" s="634" t="s">
        <v>502</v>
      </c>
      <c r="F217" s="635" t="s">
        <v>503</v>
      </c>
      <c r="G217" s="634" t="s">
        <v>532</v>
      </c>
      <c r="H217" s="634" t="s">
        <v>1290</v>
      </c>
      <c r="I217" s="634" t="s">
        <v>1291</v>
      </c>
      <c r="J217" s="634" t="s">
        <v>1292</v>
      </c>
      <c r="K217" s="634" t="s">
        <v>754</v>
      </c>
      <c r="L217" s="636">
        <v>56.969901301428273</v>
      </c>
      <c r="M217" s="636">
        <v>3</v>
      </c>
      <c r="N217" s="637">
        <v>170.90970390428481</v>
      </c>
    </row>
    <row r="218" spans="1:14" ht="14.4" customHeight="1" x14ac:dyDescent="0.3">
      <c r="A218" s="632" t="s">
        <v>499</v>
      </c>
      <c r="B218" s="633" t="s">
        <v>501</v>
      </c>
      <c r="C218" s="634" t="s">
        <v>511</v>
      </c>
      <c r="D218" s="635" t="s">
        <v>512</v>
      </c>
      <c r="E218" s="634" t="s">
        <v>502</v>
      </c>
      <c r="F218" s="635" t="s">
        <v>503</v>
      </c>
      <c r="G218" s="634" t="s">
        <v>532</v>
      </c>
      <c r="H218" s="634" t="s">
        <v>1293</v>
      </c>
      <c r="I218" s="634" t="s">
        <v>1294</v>
      </c>
      <c r="J218" s="634" t="s">
        <v>1295</v>
      </c>
      <c r="K218" s="634" t="s">
        <v>1296</v>
      </c>
      <c r="L218" s="636">
        <v>117.26971290619301</v>
      </c>
      <c r="M218" s="636">
        <v>1</v>
      </c>
      <c r="N218" s="637">
        <v>117.26971290619301</v>
      </c>
    </row>
    <row r="219" spans="1:14" ht="14.4" customHeight="1" x14ac:dyDescent="0.3">
      <c r="A219" s="632" t="s">
        <v>499</v>
      </c>
      <c r="B219" s="633" t="s">
        <v>501</v>
      </c>
      <c r="C219" s="634" t="s">
        <v>511</v>
      </c>
      <c r="D219" s="635" t="s">
        <v>512</v>
      </c>
      <c r="E219" s="634" t="s">
        <v>502</v>
      </c>
      <c r="F219" s="635" t="s">
        <v>503</v>
      </c>
      <c r="G219" s="634" t="s">
        <v>532</v>
      </c>
      <c r="H219" s="634" t="s">
        <v>1297</v>
      </c>
      <c r="I219" s="634" t="s">
        <v>1298</v>
      </c>
      <c r="J219" s="634" t="s">
        <v>1299</v>
      </c>
      <c r="K219" s="634" t="s">
        <v>1300</v>
      </c>
      <c r="L219" s="636">
        <v>97.139344933585264</v>
      </c>
      <c r="M219" s="636">
        <v>3</v>
      </c>
      <c r="N219" s="637">
        <v>291.41803480075578</v>
      </c>
    </row>
    <row r="220" spans="1:14" ht="14.4" customHeight="1" x14ac:dyDescent="0.3">
      <c r="A220" s="632" t="s">
        <v>499</v>
      </c>
      <c r="B220" s="633" t="s">
        <v>501</v>
      </c>
      <c r="C220" s="634" t="s">
        <v>511</v>
      </c>
      <c r="D220" s="635" t="s">
        <v>512</v>
      </c>
      <c r="E220" s="634" t="s">
        <v>502</v>
      </c>
      <c r="F220" s="635" t="s">
        <v>503</v>
      </c>
      <c r="G220" s="634" t="s">
        <v>532</v>
      </c>
      <c r="H220" s="634" t="s">
        <v>1301</v>
      </c>
      <c r="I220" s="634" t="s">
        <v>1302</v>
      </c>
      <c r="J220" s="634" t="s">
        <v>1303</v>
      </c>
      <c r="K220" s="634" t="s">
        <v>1304</v>
      </c>
      <c r="L220" s="636">
        <v>67.69</v>
      </c>
      <c r="M220" s="636">
        <v>1</v>
      </c>
      <c r="N220" s="637">
        <v>67.69</v>
      </c>
    </row>
    <row r="221" spans="1:14" ht="14.4" customHeight="1" x14ac:dyDescent="0.3">
      <c r="A221" s="632" t="s">
        <v>499</v>
      </c>
      <c r="B221" s="633" t="s">
        <v>501</v>
      </c>
      <c r="C221" s="634" t="s">
        <v>511</v>
      </c>
      <c r="D221" s="635" t="s">
        <v>512</v>
      </c>
      <c r="E221" s="634" t="s">
        <v>502</v>
      </c>
      <c r="F221" s="635" t="s">
        <v>503</v>
      </c>
      <c r="G221" s="634" t="s">
        <v>532</v>
      </c>
      <c r="H221" s="634" t="s">
        <v>1305</v>
      </c>
      <c r="I221" s="634" t="s">
        <v>1306</v>
      </c>
      <c r="J221" s="634" t="s">
        <v>1307</v>
      </c>
      <c r="K221" s="634" t="s">
        <v>1308</v>
      </c>
      <c r="L221" s="636">
        <v>53.73</v>
      </c>
      <c r="M221" s="636">
        <v>2</v>
      </c>
      <c r="N221" s="637">
        <v>107.46</v>
      </c>
    </row>
    <row r="222" spans="1:14" ht="14.4" customHeight="1" x14ac:dyDescent="0.3">
      <c r="A222" s="632" t="s">
        <v>499</v>
      </c>
      <c r="B222" s="633" t="s">
        <v>501</v>
      </c>
      <c r="C222" s="634" t="s">
        <v>511</v>
      </c>
      <c r="D222" s="635" t="s">
        <v>512</v>
      </c>
      <c r="E222" s="634" t="s">
        <v>502</v>
      </c>
      <c r="F222" s="635" t="s">
        <v>503</v>
      </c>
      <c r="G222" s="634" t="s">
        <v>532</v>
      </c>
      <c r="H222" s="634" t="s">
        <v>1309</v>
      </c>
      <c r="I222" s="634" t="s">
        <v>246</v>
      </c>
      <c r="J222" s="634" t="s">
        <v>1310</v>
      </c>
      <c r="K222" s="634"/>
      <c r="L222" s="636">
        <v>161.88352537130902</v>
      </c>
      <c r="M222" s="636">
        <v>3</v>
      </c>
      <c r="N222" s="637">
        <v>485.65057611392706</v>
      </c>
    </row>
    <row r="223" spans="1:14" ht="14.4" customHeight="1" x14ac:dyDescent="0.3">
      <c r="A223" s="632" t="s">
        <v>499</v>
      </c>
      <c r="B223" s="633" t="s">
        <v>501</v>
      </c>
      <c r="C223" s="634" t="s">
        <v>511</v>
      </c>
      <c r="D223" s="635" t="s">
        <v>512</v>
      </c>
      <c r="E223" s="634" t="s">
        <v>502</v>
      </c>
      <c r="F223" s="635" t="s">
        <v>503</v>
      </c>
      <c r="G223" s="634" t="s">
        <v>532</v>
      </c>
      <c r="H223" s="634" t="s">
        <v>1311</v>
      </c>
      <c r="I223" s="634" t="s">
        <v>246</v>
      </c>
      <c r="J223" s="634" t="s">
        <v>1312</v>
      </c>
      <c r="K223" s="634"/>
      <c r="L223" s="636">
        <v>234.21770152024817</v>
      </c>
      <c r="M223" s="636">
        <v>1</v>
      </c>
      <c r="N223" s="637">
        <v>234.21770152024817</v>
      </c>
    </row>
    <row r="224" spans="1:14" ht="14.4" customHeight="1" x14ac:dyDescent="0.3">
      <c r="A224" s="632" t="s">
        <v>499</v>
      </c>
      <c r="B224" s="633" t="s">
        <v>501</v>
      </c>
      <c r="C224" s="634" t="s">
        <v>511</v>
      </c>
      <c r="D224" s="635" t="s">
        <v>512</v>
      </c>
      <c r="E224" s="634" t="s">
        <v>502</v>
      </c>
      <c r="F224" s="635" t="s">
        <v>503</v>
      </c>
      <c r="G224" s="634" t="s">
        <v>532</v>
      </c>
      <c r="H224" s="634" t="s">
        <v>1313</v>
      </c>
      <c r="I224" s="634" t="s">
        <v>1314</v>
      </c>
      <c r="J224" s="634" t="s">
        <v>1315</v>
      </c>
      <c r="K224" s="634" t="s">
        <v>1316</v>
      </c>
      <c r="L224" s="636">
        <v>147.4</v>
      </c>
      <c r="M224" s="636">
        <v>1</v>
      </c>
      <c r="N224" s="637">
        <v>147.4</v>
      </c>
    </row>
    <row r="225" spans="1:14" ht="14.4" customHeight="1" x14ac:dyDescent="0.3">
      <c r="A225" s="632" t="s">
        <v>499</v>
      </c>
      <c r="B225" s="633" t="s">
        <v>501</v>
      </c>
      <c r="C225" s="634" t="s">
        <v>511</v>
      </c>
      <c r="D225" s="635" t="s">
        <v>512</v>
      </c>
      <c r="E225" s="634" t="s">
        <v>502</v>
      </c>
      <c r="F225" s="635" t="s">
        <v>503</v>
      </c>
      <c r="G225" s="634" t="s">
        <v>532</v>
      </c>
      <c r="H225" s="634" t="s">
        <v>1317</v>
      </c>
      <c r="I225" s="634" t="s">
        <v>1318</v>
      </c>
      <c r="J225" s="634" t="s">
        <v>1319</v>
      </c>
      <c r="K225" s="634" t="s">
        <v>1320</v>
      </c>
      <c r="L225" s="636">
        <v>98.499999594707504</v>
      </c>
      <c r="M225" s="636">
        <v>2</v>
      </c>
      <c r="N225" s="637">
        <v>196.99999918941501</v>
      </c>
    </row>
    <row r="226" spans="1:14" ht="14.4" customHeight="1" x14ac:dyDescent="0.3">
      <c r="A226" s="632" t="s">
        <v>499</v>
      </c>
      <c r="B226" s="633" t="s">
        <v>501</v>
      </c>
      <c r="C226" s="634" t="s">
        <v>511</v>
      </c>
      <c r="D226" s="635" t="s">
        <v>512</v>
      </c>
      <c r="E226" s="634" t="s">
        <v>502</v>
      </c>
      <c r="F226" s="635" t="s">
        <v>503</v>
      </c>
      <c r="G226" s="634" t="s">
        <v>532</v>
      </c>
      <c r="H226" s="634" t="s">
        <v>1321</v>
      </c>
      <c r="I226" s="634" t="s">
        <v>1322</v>
      </c>
      <c r="J226" s="634" t="s">
        <v>1323</v>
      </c>
      <c r="K226" s="634" t="s">
        <v>1324</v>
      </c>
      <c r="L226" s="636">
        <v>124.19</v>
      </c>
      <c r="M226" s="636">
        <v>1</v>
      </c>
      <c r="N226" s="637">
        <v>124.19</v>
      </c>
    </row>
    <row r="227" spans="1:14" ht="14.4" customHeight="1" x14ac:dyDescent="0.3">
      <c r="A227" s="632" t="s">
        <v>499</v>
      </c>
      <c r="B227" s="633" t="s">
        <v>501</v>
      </c>
      <c r="C227" s="634" t="s">
        <v>511</v>
      </c>
      <c r="D227" s="635" t="s">
        <v>512</v>
      </c>
      <c r="E227" s="634" t="s">
        <v>502</v>
      </c>
      <c r="F227" s="635" t="s">
        <v>503</v>
      </c>
      <c r="G227" s="634" t="s">
        <v>532</v>
      </c>
      <c r="H227" s="634" t="s">
        <v>1325</v>
      </c>
      <c r="I227" s="634" t="s">
        <v>1326</v>
      </c>
      <c r="J227" s="634" t="s">
        <v>1327</v>
      </c>
      <c r="K227" s="634" t="s">
        <v>1328</v>
      </c>
      <c r="L227" s="636">
        <v>142</v>
      </c>
      <c r="M227" s="636">
        <v>1</v>
      </c>
      <c r="N227" s="637">
        <v>142</v>
      </c>
    </row>
    <row r="228" spans="1:14" ht="14.4" customHeight="1" x14ac:dyDescent="0.3">
      <c r="A228" s="632" t="s">
        <v>499</v>
      </c>
      <c r="B228" s="633" t="s">
        <v>501</v>
      </c>
      <c r="C228" s="634" t="s">
        <v>511</v>
      </c>
      <c r="D228" s="635" t="s">
        <v>512</v>
      </c>
      <c r="E228" s="634" t="s">
        <v>502</v>
      </c>
      <c r="F228" s="635" t="s">
        <v>503</v>
      </c>
      <c r="G228" s="634" t="s">
        <v>532</v>
      </c>
      <c r="H228" s="634" t="s">
        <v>1329</v>
      </c>
      <c r="I228" s="634" t="s">
        <v>246</v>
      </c>
      <c r="J228" s="634" t="s">
        <v>1330</v>
      </c>
      <c r="K228" s="634"/>
      <c r="L228" s="636">
        <v>589.21677351657604</v>
      </c>
      <c r="M228" s="636">
        <v>1</v>
      </c>
      <c r="N228" s="637">
        <v>589.21677351657604</v>
      </c>
    </row>
    <row r="229" spans="1:14" ht="14.4" customHeight="1" x14ac:dyDescent="0.3">
      <c r="A229" s="632" t="s">
        <v>499</v>
      </c>
      <c r="B229" s="633" t="s">
        <v>501</v>
      </c>
      <c r="C229" s="634" t="s">
        <v>511</v>
      </c>
      <c r="D229" s="635" t="s">
        <v>512</v>
      </c>
      <c r="E229" s="634" t="s">
        <v>502</v>
      </c>
      <c r="F229" s="635" t="s">
        <v>503</v>
      </c>
      <c r="G229" s="634" t="s">
        <v>532</v>
      </c>
      <c r="H229" s="634" t="s">
        <v>1331</v>
      </c>
      <c r="I229" s="634" t="s">
        <v>246</v>
      </c>
      <c r="J229" s="634" t="s">
        <v>1332</v>
      </c>
      <c r="K229" s="634"/>
      <c r="L229" s="636">
        <v>151.80000000000001</v>
      </c>
      <c r="M229" s="636">
        <v>7</v>
      </c>
      <c r="N229" s="637">
        <v>1062.6000000000001</v>
      </c>
    </row>
    <row r="230" spans="1:14" ht="14.4" customHeight="1" x14ac:dyDescent="0.3">
      <c r="A230" s="632" t="s">
        <v>499</v>
      </c>
      <c r="B230" s="633" t="s">
        <v>501</v>
      </c>
      <c r="C230" s="634" t="s">
        <v>511</v>
      </c>
      <c r="D230" s="635" t="s">
        <v>512</v>
      </c>
      <c r="E230" s="634" t="s">
        <v>502</v>
      </c>
      <c r="F230" s="635" t="s">
        <v>503</v>
      </c>
      <c r="G230" s="634" t="s">
        <v>532</v>
      </c>
      <c r="H230" s="634" t="s">
        <v>1333</v>
      </c>
      <c r="I230" s="634" t="s">
        <v>1334</v>
      </c>
      <c r="J230" s="634" t="s">
        <v>1335</v>
      </c>
      <c r="K230" s="634" t="s">
        <v>1336</v>
      </c>
      <c r="L230" s="636">
        <v>54.499874322135497</v>
      </c>
      <c r="M230" s="636">
        <v>3</v>
      </c>
      <c r="N230" s="637">
        <v>163.49962296640649</v>
      </c>
    </row>
    <row r="231" spans="1:14" ht="14.4" customHeight="1" x14ac:dyDescent="0.3">
      <c r="A231" s="632" t="s">
        <v>499</v>
      </c>
      <c r="B231" s="633" t="s">
        <v>501</v>
      </c>
      <c r="C231" s="634" t="s">
        <v>511</v>
      </c>
      <c r="D231" s="635" t="s">
        <v>512</v>
      </c>
      <c r="E231" s="634" t="s">
        <v>502</v>
      </c>
      <c r="F231" s="635" t="s">
        <v>503</v>
      </c>
      <c r="G231" s="634" t="s">
        <v>532</v>
      </c>
      <c r="H231" s="634" t="s">
        <v>1337</v>
      </c>
      <c r="I231" s="634" t="s">
        <v>1338</v>
      </c>
      <c r="J231" s="634" t="s">
        <v>1339</v>
      </c>
      <c r="K231" s="634" t="s">
        <v>1340</v>
      </c>
      <c r="L231" s="636">
        <v>116.56</v>
      </c>
      <c r="M231" s="636">
        <v>1</v>
      </c>
      <c r="N231" s="637">
        <v>116.56</v>
      </c>
    </row>
    <row r="232" spans="1:14" ht="14.4" customHeight="1" x14ac:dyDescent="0.3">
      <c r="A232" s="632" t="s">
        <v>499</v>
      </c>
      <c r="B232" s="633" t="s">
        <v>501</v>
      </c>
      <c r="C232" s="634" t="s">
        <v>511</v>
      </c>
      <c r="D232" s="635" t="s">
        <v>512</v>
      </c>
      <c r="E232" s="634" t="s">
        <v>502</v>
      </c>
      <c r="F232" s="635" t="s">
        <v>503</v>
      </c>
      <c r="G232" s="634" t="s">
        <v>532</v>
      </c>
      <c r="H232" s="634" t="s">
        <v>1341</v>
      </c>
      <c r="I232" s="634" t="s">
        <v>1342</v>
      </c>
      <c r="J232" s="634" t="s">
        <v>1343</v>
      </c>
      <c r="K232" s="634" t="s">
        <v>1344</v>
      </c>
      <c r="L232" s="636">
        <v>88.250000000000014</v>
      </c>
      <c r="M232" s="636">
        <v>8</v>
      </c>
      <c r="N232" s="637">
        <v>706.00000000000011</v>
      </c>
    </row>
    <row r="233" spans="1:14" ht="14.4" customHeight="1" x14ac:dyDescent="0.3">
      <c r="A233" s="632" t="s">
        <v>499</v>
      </c>
      <c r="B233" s="633" t="s">
        <v>501</v>
      </c>
      <c r="C233" s="634" t="s">
        <v>511</v>
      </c>
      <c r="D233" s="635" t="s">
        <v>512</v>
      </c>
      <c r="E233" s="634" t="s">
        <v>502</v>
      </c>
      <c r="F233" s="635" t="s">
        <v>503</v>
      </c>
      <c r="G233" s="634" t="s">
        <v>532</v>
      </c>
      <c r="H233" s="634" t="s">
        <v>1345</v>
      </c>
      <c r="I233" s="634" t="s">
        <v>1346</v>
      </c>
      <c r="J233" s="634" t="s">
        <v>1347</v>
      </c>
      <c r="K233" s="634" t="s">
        <v>1348</v>
      </c>
      <c r="L233" s="636">
        <v>339.94000000000005</v>
      </c>
      <c r="M233" s="636">
        <v>1</v>
      </c>
      <c r="N233" s="637">
        <v>339.94000000000005</v>
      </c>
    </row>
    <row r="234" spans="1:14" ht="14.4" customHeight="1" x14ac:dyDescent="0.3">
      <c r="A234" s="632" t="s">
        <v>499</v>
      </c>
      <c r="B234" s="633" t="s">
        <v>501</v>
      </c>
      <c r="C234" s="634" t="s">
        <v>511</v>
      </c>
      <c r="D234" s="635" t="s">
        <v>512</v>
      </c>
      <c r="E234" s="634" t="s">
        <v>502</v>
      </c>
      <c r="F234" s="635" t="s">
        <v>503</v>
      </c>
      <c r="G234" s="634" t="s">
        <v>532</v>
      </c>
      <c r="H234" s="634" t="s">
        <v>1349</v>
      </c>
      <c r="I234" s="634" t="s">
        <v>246</v>
      </c>
      <c r="J234" s="634" t="s">
        <v>1350</v>
      </c>
      <c r="K234" s="634"/>
      <c r="L234" s="636">
        <v>384.62092448480962</v>
      </c>
      <c r="M234" s="636">
        <v>2</v>
      </c>
      <c r="N234" s="637">
        <v>769.24184896961924</v>
      </c>
    </row>
    <row r="235" spans="1:14" ht="14.4" customHeight="1" x14ac:dyDescent="0.3">
      <c r="A235" s="632" t="s">
        <v>499</v>
      </c>
      <c r="B235" s="633" t="s">
        <v>501</v>
      </c>
      <c r="C235" s="634" t="s">
        <v>511</v>
      </c>
      <c r="D235" s="635" t="s">
        <v>512</v>
      </c>
      <c r="E235" s="634" t="s">
        <v>502</v>
      </c>
      <c r="F235" s="635" t="s">
        <v>503</v>
      </c>
      <c r="G235" s="634" t="s">
        <v>532</v>
      </c>
      <c r="H235" s="634" t="s">
        <v>1351</v>
      </c>
      <c r="I235" s="634" t="s">
        <v>246</v>
      </c>
      <c r="J235" s="634" t="s">
        <v>1352</v>
      </c>
      <c r="K235" s="634"/>
      <c r="L235" s="636">
        <v>590.41721034201532</v>
      </c>
      <c r="M235" s="636">
        <v>1</v>
      </c>
      <c r="N235" s="637">
        <v>590.41721034201532</v>
      </c>
    </row>
    <row r="236" spans="1:14" ht="14.4" customHeight="1" x14ac:dyDescent="0.3">
      <c r="A236" s="632" t="s">
        <v>499</v>
      </c>
      <c r="B236" s="633" t="s">
        <v>501</v>
      </c>
      <c r="C236" s="634" t="s">
        <v>511</v>
      </c>
      <c r="D236" s="635" t="s">
        <v>512</v>
      </c>
      <c r="E236" s="634" t="s">
        <v>502</v>
      </c>
      <c r="F236" s="635" t="s">
        <v>503</v>
      </c>
      <c r="G236" s="634" t="s">
        <v>532</v>
      </c>
      <c r="H236" s="634" t="s">
        <v>1353</v>
      </c>
      <c r="I236" s="634" t="s">
        <v>1354</v>
      </c>
      <c r="J236" s="634" t="s">
        <v>1355</v>
      </c>
      <c r="K236" s="634" t="s">
        <v>1356</v>
      </c>
      <c r="L236" s="636">
        <v>736.51</v>
      </c>
      <c r="M236" s="636">
        <v>1</v>
      </c>
      <c r="N236" s="637">
        <v>736.51</v>
      </c>
    </row>
    <row r="237" spans="1:14" ht="14.4" customHeight="1" x14ac:dyDescent="0.3">
      <c r="A237" s="632" t="s">
        <v>499</v>
      </c>
      <c r="B237" s="633" t="s">
        <v>501</v>
      </c>
      <c r="C237" s="634" t="s">
        <v>511</v>
      </c>
      <c r="D237" s="635" t="s">
        <v>512</v>
      </c>
      <c r="E237" s="634" t="s">
        <v>502</v>
      </c>
      <c r="F237" s="635" t="s">
        <v>503</v>
      </c>
      <c r="G237" s="634" t="s">
        <v>532</v>
      </c>
      <c r="H237" s="634" t="s">
        <v>1357</v>
      </c>
      <c r="I237" s="634" t="s">
        <v>1358</v>
      </c>
      <c r="J237" s="634" t="s">
        <v>1359</v>
      </c>
      <c r="K237" s="634" t="s">
        <v>1360</v>
      </c>
      <c r="L237" s="636">
        <v>37.119999999999997</v>
      </c>
      <c r="M237" s="636">
        <v>2</v>
      </c>
      <c r="N237" s="637">
        <v>74.239999999999995</v>
      </c>
    </row>
    <row r="238" spans="1:14" ht="14.4" customHeight="1" x14ac:dyDescent="0.3">
      <c r="A238" s="632" t="s">
        <v>499</v>
      </c>
      <c r="B238" s="633" t="s">
        <v>501</v>
      </c>
      <c r="C238" s="634" t="s">
        <v>511</v>
      </c>
      <c r="D238" s="635" t="s">
        <v>512</v>
      </c>
      <c r="E238" s="634" t="s">
        <v>502</v>
      </c>
      <c r="F238" s="635" t="s">
        <v>503</v>
      </c>
      <c r="G238" s="634" t="s">
        <v>532</v>
      </c>
      <c r="H238" s="634" t="s">
        <v>1361</v>
      </c>
      <c r="I238" s="634" t="s">
        <v>246</v>
      </c>
      <c r="J238" s="634" t="s">
        <v>1362</v>
      </c>
      <c r="K238" s="634"/>
      <c r="L238" s="636">
        <v>120.142632375121</v>
      </c>
      <c r="M238" s="636">
        <v>2</v>
      </c>
      <c r="N238" s="637">
        <v>240.28526475024199</v>
      </c>
    </row>
    <row r="239" spans="1:14" ht="14.4" customHeight="1" x14ac:dyDescent="0.3">
      <c r="A239" s="632" t="s">
        <v>499</v>
      </c>
      <c r="B239" s="633" t="s">
        <v>501</v>
      </c>
      <c r="C239" s="634" t="s">
        <v>511</v>
      </c>
      <c r="D239" s="635" t="s">
        <v>512</v>
      </c>
      <c r="E239" s="634" t="s">
        <v>502</v>
      </c>
      <c r="F239" s="635" t="s">
        <v>503</v>
      </c>
      <c r="G239" s="634" t="s">
        <v>532</v>
      </c>
      <c r="H239" s="634" t="s">
        <v>1363</v>
      </c>
      <c r="I239" s="634" t="s">
        <v>246</v>
      </c>
      <c r="J239" s="634" t="s">
        <v>1364</v>
      </c>
      <c r="K239" s="634"/>
      <c r="L239" s="636">
        <v>87.479598941019205</v>
      </c>
      <c r="M239" s="636">
        <v>5</v>
      </c>
      <c r="N239" s="637">
        <v>437.39799470509604</v>
      </c>
    </row>
    <row r="240" spans="1:14" ht="14.4" customHeight="1" x14ac:dyDescent="0.3">
      <c r="A240" s="632" t="s">
        <v>499</v>
      </c>
      <c r="B240" s="633" t="s">
        <v>501</v>
      </c>
      <c r="C240" s="634" t="s">
        <v>511</v>
      </c>
      <c r="D240" s="635" t="s">
        <v>512</v>
      </c>
      <c r="E240" s="634" t="s">
        <v>502</v>
      </c>
      <c r="F240" s="635" t="s">
        <v>503</v>
      </c>
      <c r="G240" s="634" t="s">
        <v>532</v>
      </c>
      <c r="H240" s="634" t="s">
        <v>1365</v>
      </c>
      <c r="I240" s="634" t="s">
        <v>1366</v>
      </c>
      <c r="J240" s="634" t="s">
        <v>1367</v>
      </c>
      <c r="K240" s="634" t="s">
        <v>1368</v>
      </c>
      <c r="L240" s="636">
        <v>32.939936636757402</v>
      </c>
      <c r="M240" s="636">
        <v>3</v>
      </c>
      <c r="N240" s="637">
        <v>98.819809910272213</v>
      </c>
    </row>
    <row r="241" spans="1:14" ht="14.4" customHeight="1" x14ac:dyDescent="0.3">
      <c r="A241" s="632" t="s">
        <v>499</v>
      </c>
      <c r="B241" s="633" t="s">
        <v>501</v>
      </c>
      <c r="C241" s="634" t="s">
        <v>511</v>
      </c>
      <c r="D241" s="635" t="s">
        <v>512</v>
      </c>
      <c r="E241" s="634" t="s">
        <v>502</v>
      </c>
      <c r="F241" s="635" t="s">
        <v>503</v>
      </c>
      <c r="G241" s="634" t="s">
        <v>532</v>
      </c>
      <c r="H241" s="634" t="s">
        <v>1369</v>
      </c>
      <c r="I241" s="634" t="s">
        <v>1370</v>
      </c>
      <c r="J241" s="634" t="s">
        <v>1371</v>
      </c>
      <c r="K241" s="634" t="s">
        <v>1372</v>
      </c>
      <c r="L241" s="636">
        <v>114.43027036701446</v>
      </c>
      <c r="M241" s="636">
        <v>2</v>
      </c>
      <c r="N241" s="637">
        <v>228.86054073402892</v>
      </c>
    </row>
    <row r="242" spans="1:14" ht="14.4" customHeight="1" x14ac:dyDescent="0.3">
      <c r="A242" s="632" t="s">
        <v>499</v>
      </c>
      <c r="B242" s="633" t="s">
        <v>501</v>
      </c>
      <c r="C242" s="634" t="s">
        <v>511</v>
      </c>
      <c r="D242" s="635" t="s">
        <v>512</v>
      </c>
      <c r="E242" s="634" t="s">
        <v>502</v>
      </c>
      <c r="F242" s="635" t="s">
        <v>503</v>
      </c>
      <c r="G242" s="634" t="s">
        <v>532</v>
      </c>
      <c r="H242" s="634" t="s">
        <v>1373</v>
      </c>
      <c r="I242" s="634" t="s">
        <v>1374</v>
      </c>
      <c r="J242" s="634" t="s">
        <v>1375</v>
      </c>
      <c r="K242" s="634" t="s">
        <v>1376</v>
      </c>
      <c r="L242" s="636">
        <v>214.67500000000001</v>
      </c>
      <c r="M242" s="636">
        <v>2</v>
      </c>
      <c r="N242" s="637">
        <v>429.35</v>
      </c>
    </row>
    <row r="243" spans="1:14" ht="14.4" customHeight="1" x14ac:dyDescent="0.3">
      <c r="A243" s="632" t="s">
        <v>499</v>
      </c>
      <c r="B243" s="633" t="s">
        <v>501</v>
      </c>
      <c r="C243" s="634" t="s">
        <v>511</v>
      </c>
      <c r="D243" s="635" t="s">
        <v>512</v>
      </c>
      <c r="E243" s="634" t="s">
        <v>502</v>
      </c>
      <c r="F243" s="635" t="s">
        <v>503</v>
      </c>
      <c r="G243" s="634" t="s">
        <v>532</v>
      </c>
      <c r="H243" s="634" t="s">
        <v>1377</v>
      </c>
      <c r="I243" s="634" t="s">
        <v>1378</v>
      </c>
      <c r="J243" s="634" t="s">
        <v>1379</v>
      </c>
      <c r="K243" s="634"/>
      <c r="L243" s="636">
        <v>131.29990384812001</v>
      </c>
      <c r="M243" s="636">
        <v>1</v>
      </c>
      <c r="N243" s="637">
        <v>131.29990384812001</v>
      </c>
    </row>
    <row r="244" spans="1:14" ht="14.4" customHeight="1" x14ac:dyDescent="0.3">
      <c r="A244" s="632" t="s">
        <v>499</v>
      </c>
      <c r="B244" s="633" t="s">
        <v>501</v>
      </c>
      <c r="C244" s="634" t="s">
        <v>511</v>
      </c>
      <c r="D244" s="635" t="s">
        <v>512</v>
      </c>
      <c r="E244" s="634" t="s">
        <v>502</v>
      </c>
      <c r="F244" s="635" t="s">
        <v>503</v>
      </c>
      <c r="G244" s="634" t="s">
        <v>532</v>
      </c>
      <c r="H244" s="634" t="s">
        <v>1380</v>
      </c>
      <c r="I244" s="634" t="s">
        <v>1381</v>
      </c>
      <c r="J244" s="634" t="s">
        <v>1303</v>
      </c>
      <c r="K244" s="634" t="s">
        <v>720</v>
      </c>
      <c r="L244" s="636">
        <v>22.44</v>
      </c>
      <c r="M244" s="636">
        <v>1</v>
      </c>
      <c r="N244" s="637">
        <v>22.44</v>
      </c>
    </row>
    <row r="245" spans="1:14" ht="14.4" customHeight="1" x14ac:dyDescent="0.3">
      <c r="A245" s="632" t="s">
        <v>499</v>
      </c>
      <c r="B245" s="633" t="s">
        <v>501</v>
      </c>
      <c r="C245" s="634" t="s">
        <v>511</v>
      </c>
      <c r="D245" s="635" t="s">
        <v>512</v>
      </c>
      <c r="E245" s="634" t="s">
        <v>502</v>
      </c>
      <c r="F245" s="635" t="s">
        <v>503</v>
      </c>
      <c r="G245" s="634" t="s">
        <v>532</v>
      </c>
      <c r="H245" s="634" t="s">
        <v>1382</v>
      </c>
      <c r="I245" s="634" t="s">
        <v>1383</v>
      </c>
      <c r="J245" s="634" t="s">
        <v>1384</v>
      </c>
      <c r="K245" s="634" t="s">
        <v>1385</v>
      </c>
      <c r="L245" s="636">
        <v>127.88</v>
      </c>
      <c r="M245" s="636">
        <v>1</v>
      </c>
      <c r="N245" s="637">
        <v>127.88</v>
      </c>
    </row>
    <row r="246" spans="1:14" ht="14.4" customHeight="1" x14ac:dyDescent="0.3">
      <c r="A246" s="632" t="s">
        <v>499</v>
      </c>
      <c r="B246" s="633" t="s">
        <v>501</v>
      </c>
      <c r="C246" s="634" t="s">
        <v>511</v>
      </c>
      <c r="D246" s="635" t="s">
        <v>512</v>
      </c>
      <c r="E246" s="634" t="s">
        <v>502</v>
      </c>
      <c r="F246" s="635" t="s">
        <v>503</v>
      </c>
      <c r="G246" s="634" t="s">
        <v>532</v>
      </c>
      <c r="H246" s="634" t="s">
        <v>1386</v>
      </c>
      <c r="I246" s="634" t="s">
        <v>1387</v>
      </c>
      <c r="J246" s="634" t="s">
        <v>1388</v>
      </c>
      <c r="K246" s="634"/>
      <c r="L246" s="636">
        <v>296.30000000000007</v>
      </c>
      <c r="M246" s="636">
        <v>1</v>
      </c>
      <c r="N246" s="637">
        <v>296.30000000000007</v>
      </c>
    </row>
    <row r="247" spans="1:14" ht="14.4" customHeight="1" x14ac:dyDescent="0.3">
      <c r="A247" s="632" t="s">
        <v>499</v>
      </c>
      <c r="B247" s="633" t="s">
        <v>501</v>
      </c>
      <c r="C247" s="634" t="s">
        <v>511</v>
      </c>
      <c r="D247" s="635" t="s">
        <v>512</v>
      </c>
      <c r="E247" s="634" t="s">
        <v>502</v>
      </c>
      <c r="F247" s="635" t="s">
        <v>503</v>
      </c>
      <c r="G247" s="634" t="s">
        <v>532</v>
      </c>
      <c r="H247" s="634" t="s">
        <v>1389</v>
      </c>
      <c r="I247" s="634" t="s">
        <v>1390</v>
      </c>
      <c r="J247" s="634" t="s">
        <v>1391</v>
      </c>
      <c r="K247" s="634" t="s">
        <v>1392</v>
      </c>
      <c r="L247" s="636">
        <v>19.399506970605401</v>
      </c>
      <c r="M247" s="636">
        <v>1</v>
      </c>
      <c r="N247" s="637">
        <v>19.399506970605401</v>
      </c>
    </row>
    <row r="248" spans="1:14" ht="14.4" customHeight="1" x14ac:dyDescent="0.3">
      <c r="A248" s="632" t="s">
        <v>499</v>
      </c>
      <c r="B248" s="633" t="s">
        <v>501</v>
      </c>
      <c r="C248" s="634" t="s">
        <v>511</v>
      </c>
      <c r="D248" s="635" t="s">
        <v>512</v>
      </c>
      <c r="E248" s="634" t="s">
        <v>502</v>
      </c>
      <c r="F248" s="635" t="s">
        <v>503</v>
      </c>
      <c r="G248" s="634" t="s">
        <v>532</v>
      </c>
      <c r="H248" s="634" t="s">
        <v>1393</v>
      </c>
      <c r="I248" s="634" t="s">
        <v>1394</v>
      </c>
      <c r="J248" s="634" t="s">
        <v>1267</v>
      </c>
      <c r="K248" s="634" t="s">
        <v>1395</v>
      </c>
      <c r="L248" s="636">
        <v>153.26988775934001</v>
      </c>
      <c r="M248" s="636">
        <v>3</v>
      </c>
      <c r="N248" s="637">
        <v>459.80966327802003</v>
      </c>
    </row>
    <row r="249" spans="1:14" ht="14.4" customHeight="1" x14ac:dyDescent="0.3">
      <c r="A249" s="632" t="s">
        <v>499</v>
      </c>
      <c r="B249" s="633" t="s">
        <v>501</v>
      </c>
      <c r="C249" s="634" t="s">
        <v>511</v>
      </c>
      <c r="D249" s="635" t="s">
        <v>512</v>
      </c>
      <c r="E249" s="634" t="s">
        <v>502</v>
      </c>
      <c r="F249" s="635" t="s">
        <v>503</v>
      </c>
      <c r="G249" s="634" t="s">
        <v>532</v>
      </c>
      <c r="H249" s="634" t="s">
        <v>1396</v>
      </c>
      <c r="I249" s="634" t="s">
        <v>1397</v>
      </c>
      <c r="J249" s="634" t="s">
        <v>1398</v>
      </c>
      <c r="K249" s="634" t="s">
        <v>1399</v>
      </c>
      <c r="L249" s="636">
        <v>100.41000701269274</v>
      </c>
      <c r="M249" s="636">
        <v>1</v>
      </c>
      <c r="N249" s="637">
        <v>100.41000701269274</v>
      </c>
    </row>
    <row r="250" spans="1:14" ht="14.4" customHeight="1" x14ac:dyDescent="0.3">
      <c r="A250" s="632" t="s">
        <v>499</v>
      </c>
      <c r="B250" s="633" t="s">
        <v>501</v>
      </c>
      <c r="C250" s="634" t="s">
        <v>511</v>
      </c>
      <c r="D250" s="635" t="s">
        <v>512</v>
      </c>
      <c r="E250" s="634" t="s">
        <v>502</v>
      </c>
      <c r="F250" s="635" t="s">
        <v>503</v>
      </c>
      <c r="G250" s="634" t="s">
        <v>532</v>
      </c>
      <c r="H250" s="634" t="s">
        <v>1400</v>
      </c>
      <c r="I250" s="634" t="s">
        <v>1400</v>
      </c>
      <c r="J250" s="634" t="s">
        <v>1401</v>
      </c>
      <c r="K250" s="634" t="s">
        <v>1402</v>
      </c>
      <c r="L250" s="636">
        <v>58.909999999999989</v>
      </c>
      <c r="M250" s="636">
        <v>5</v>
      </c>
      <c r="N250" s="637">
        <v>294.54999999999995</v>
      </c>
    </row>
    <row r="251" spans="1:14" ht="14.4" customHeight="1" x14ac:dyDescent="0.3">
      <c r="A251" s="632" t="s">
        <v>499</v>
      </c>
      <c r="B251" s="633" t="s">
        <v>501</v>
      </c>
      <c r="C251" s="634" t="s">
        <v>511</v>
      </c>
      <c r="D251" s="635" t="s">
        <v>512</v>
      </c>
      <c r="E251" s="634" t="s">
        <v>502</v>
      </c>
      <c r="F251" s="635" t="s">
        <v>503</v>
      </c>
      <c r="G251" s="634" t="s">
        <v>532</v>
      </c>
      <c r="H251" s="634" t="s">
        <v>1403</v>
      </c>
      <c r="I251" s="634" t="s">
        <v>1404</v>
      </c>
      <c r="J251" s="634" t="s">
        <v>1405</v>
      </c>
      <c r="K251" s="634" t="s">
        <v>1406</v>
      </c>
      <c r="L251" s="636">
        <v>109.03</v>
      </c>
      <c r="M251" s="636">
        <v>1</v>
      </c>
      <c r="N251" s="637">
        <v>109.03</v>
      </c>
    </row>
    <row r="252" spans="1:14" ht="14.4" customHeight="1" x14ac:dyDescent="0.3">
      <c r="A252" s="632" t="s">
        <v>499</v>
      </c>
      <c r="B252" s="633" t="s">
        <v>501</v>
      </c>
      <c r="C252" s="634" t="s">
        <v>511</v>
      </c>
      <c r="D252" s="635" t="s">
        <v>512</v>
      </c>
      <c r="E252" s="634" t="s">
        <v>502</v>
      </c>
      <c r="F252" s="635" t="s">
        <v>503</v>
      </c>
      <c r="G252" s="634" t="s">
        <v>532</v>
      </c>
      <c r="H252" s="634" t="s">
        <v>1407</v>
      </c>
      <c r="I252" s="634" t="s">
        <v>1408</v>
      </c>
      <c r="J252" s="634" t="s">
        <v>730</v>
      </c>
      <c r="K252" s="634" t="s">
        <v>1203</v>
      </c>
      <c r="L252" s="636">
        <v>119.52</v>
      </c>
      <c r="M252" s="636">
        <v>1</v>
      </c>
      <c r="N252" s="637">
        <v>119.52</v>
      </c>
    </row>
    <row r="253" spans="1:14" ht="14.4" customHeight="1" x14ac:dyDescent="0.3">
      <c r="A253" s="632" t="s">
        <v>499</v>
      </c>
      <c r="B253" s="633" t="s">
        <v>501</v>
      </c>
      <c r="C253" s="634" t="s">
        <v>511</v>
      </c>
      <c r="D253" s="635" t="s">
        <v>512</v>
      </c>
      <c r="E253" s="634" t="s">
        <v>502</v>
      </c>
      <c r="F253" s="635" t="s">
        <v>503</v>
      </c>
      <c r="G253" s="634" t="s">
        <v>532</v>
      </c>
      <c r="H253" s="634" t="s">
        <v>1409</v>
      </c>
      <c r="I253" s="634" t="s">
        <v>1410</v>
      </c>
      <c r="J253" s="634" t="s">
        <v>1411</v>
      </c>
      <c r="K253" s="634" t="s">
        <v>1412</v>
      </c>
      <c r="L253" s="636">
        <v>41.559927998724902</v>
      </c>
      <c r="M253" s="636">
        <v>1</v>
      </c>
      <c r="N253" s="637">
        <v>41.559927998724902</v>
      </c>
    </row>
    <row r="254" spans="1:14" ht="14.4" customHeight="1" x14ac:dyDescent="0.3">
      <c r="A254" s="632" t="s">
        <v>499</v>
      </c>
      <c r="B254" s="633" t="s">
        <v>501</v>
      </c>
      <c r="C254" s="634" t="s">
        <v>511</v>
      </c>
      <c r="D254" s="635" t="s">
        <v>512</v>
      </c>
      <c r="E254" s="634" t="s">
        <v>502</v>
      </c>
      <c r="F254" s="635" t="s">
        <v>503</v>
      </c>
      <c r="G254" s="634" t="s">
        <v>532</v>
      </c>
      <c r="H254" s="634" t="s">
        <v>1413</v>
      </c>
      <c r="I254" s="634" t="s">
        <v>1414</v>
      </c>
      <c r="J254" s="634" t="s">
        <v>1415</v>
      </c>
      <c r="K254" s="634" t="s">
        <v>900</v>
      </c>
      <c r="L254" s="636">
        <v>136.58999999999995</v>
      </c>
      <c r="M254" s="636">
        <v>3</v>
      </c>
      <c r="N254" s="637">
        <v>409.76999999999987</v>
      </c>
    </row>
    <row r="255" spans="1:14" ht="14.4" customHeight="1" x14ac:dyDescent="0.3">
      <c r="A255" s="632" t="s">
        <v>499</v>
      </c>
      <c r="B255" s="633" t="s">
        <v>501</v>
      </c>
      <c r="C255" s="634" t="s">
        <v>511</v>
      </c>
      <c r="D255" s="635" t="s">
        <v>512</v>
      </c>
      <c r="E255" s="634" t="s">
        <v>502</v>
      </c>
      <c r="F255" s="635" t="s">
        <v>503</v>
      </c>
      <c r="G255" s="634" t="s">
        <v>532</v>
      </c>
      <c r="H255" s="634" t="s">
        <v>1416</v>
      </c>
      <c r="I255" s="634" t="s">
        <v>1417</v>
      </c>
      <c r="J255" s="634" t="s">
        <v>1418</v>
      </c>
      <c r="K255" s="634" t="s">
        <v>1419</v>
      </c>
      <c r="L255" s="636">
        <v>22.08</v>
      </c>
      <c r="M255" s="636">
        <v>2</v>
      </c>
      <c r="N255" s="637">
        <v>44.16</v>
      </c>
    </row>
    <row r="256" spans="1:14" ht="14.4" customHeight="1" x14ac:dyDescent="0.3">
      <c r="A256" s="632" t="s">
        <v>499</v>
      </c>
      <c r="B256" s="633" t="s">
        <v>501</v>
      </c>
      <c r="C256" s="634" t="s">
        <v>511</v>
      </c>
      <c r="D256" s="635" t="s">
        <v>512</v>
      </c>
      <c r="E256" s="634" t="s">
        <v>502</v>
      </c>
      <c r="F256" s="635" t="s">
        <v>503</v>
      </c>
      <c r="G256" s="634" t="s">
        <v>532</v>
      </c>
      <c r="H256" s="634" t="s">
        <v>1420</v>
      </c>
      <c r="I256" s="634" t="s">
        <v>246</v>
      </c>
      <c r="J256" s="634" t="s">
        <v>1421</v>
      </c>
      <c r="K256" s="634"/>
      <c r="L256" s="636">
        <v>736.95403544422504</v>
      </c>
      <c r="M256" s="636">
        <v>1</v>
      </c>
      <c r="N256" s="637">
        <v>736.95403544422504</v>
      </c>
    </row>
    <row r="257" spans="1:14" ht="14.4" customHeight="1" x14ac:dyDescent="0.3">
      <c r="A257" s="632" t="s">
        <v>499</v>
      </c>
      <c r="B257" s="633" t="s">
        <v>501</v>
      </c>
      <c r="C257" s="634" t="s">
        <v>511</v>
      </c>
      <c r="D257" s="635" t="s">
        <v>512</v>
      </c>
      <c r="E257" s="634" t="s">
        <v>502</v>
      </c>
      <c r="F257" s="635" t="s">
        <v>503</v>
      </c>
      <c r="G257" s="634" t="s">
        <v>532</v>
      </c>
      <c r="H257" s="634" t="s">
        <v>1422</v>
      </c>
      <c r="I257" s="634" t="s">
        <v>1423</v>
      </c>
      <c r="J257" s="634" t="s">
        <v>1424</v>
      </c>
      <c r="K257" s="634" t="s">
        <v>1425</v>
      </c>
      <c r="L257" s="636">
        <v>66.83</v>
      </c>
      <c r="M257" s="636">
        <v>1</v>
      </c>
      <c r="N257" s="637">
        <v>66.83</v>
      </c>
    </row>
    <row r="258" spans="1:14" ht="14.4" customHeight="1" x14ac:dyDescent="0.3">
      <c r="A258" s="632" t="s">
        <v>499</v>
      </c>
      <c r="B258" s="633" t="s">
        <v>501</v>
      </c>
      <c r="C258" s="634" t="s">
        <v>511</v>
      </c>
      <c r="D258" s="635" t="s">
        <v>512</v>
      </c>
      <c r="E258" s="634" t="s">
        <v>502</v>
      </c>
      <c r="F258" s="635" t="s">
        <v>503</v>
      </c>
      <c r="G258" s="634" t="s">
        <v>532</v>
      </c>
      <c r="H258" s="634" t="s">
        <v>1426</v>
      </c>
      <c r="I258" s="634" t="s">
        <v>1427</v>
      </c>
      <c r="J258" s="634" t="s">
        <v>1428</v>
      </c>
      <c r="K258" s="634" t="s">
        <v>1429</v>
      </c>
      <c r="L258" s="636">
        <v>529.16999999999996</v>
      </c>
      <c r="M258" s="636">
        <v>1</v>
      </c>
      <c r="N258" s="637">
        <v>529.16999999999996</v>
      </c>
    </row>
    <row r="259" spans="1:14" ht="14.4" customHeight="1" x14ac:dyDescent="0.3">
      <c r="A259" s="632" t="s">
        <v>499</v>
      </c>
      <c r="B259" s="633" t="s">
        <v>501</v>
      </c>
      <c r="C259" s="634" t="s">
        <v>511</v>
      </c>
      <c r="D259" s="635" t="s">
        <v>512</v>
      </c>
      <c r="E259" s="634" t="s">
        <v>502</v>
      </c>
      <c r="F259" s="635" t="s">
        <v>503</v>
      </c>
      <c r="G259" s="634" t="s">
        <v>532</v>
      </c>
      <c r="H259" s="634" t="s">
        <v>1430</v>
      </c>
      <c r="I259" s="634" t="s">
        <v>1431</v>
      </c>
      <c r="J259" s="634" t="s">
        <v>1432</v>
      </c>
      <c r="K259" s="634" t="s">
        <v>1433</v>
      </c>
      <c r="L259" s="636">
        <v>283.5800000000001</v>
      </c>
      <c r="M259" s="636">
        <v>1</v>
      </c>
      <c r="N259" s="637">
        <v>283.5800000000001</v>
      </c>
    </row>
    <row r="260" spans="1:14" ht="14.4" customHeight="1" x14ac:dyDescent="0.3">
      <c r="A260" s="632" t="s">
        <v>499</v>
      </c>
      <c r="B260" s="633" t="s">
        <v>501</v>
      </c>
      <c r="C260" s="634" t="s">
        <v>511</v>
      </c>
      <c r="D260" s="635" t="s">
        <v>512</v>
      </c>
      <c r="E260" s="634" t="s">
        <v>502</v>
      </c>
      <c r="F260" s="635" t="s">
        <v>503</v>
      </c>
      <c r="G260" s="634" t="s">
        <v>532</v>
      </c>
      <c r="H260" s="634" t="s">
        <v>1434</v>
      </c>
      <c r="I260" s="634" t="s">
        <v>246</v>
      </c>
      <c r="J260" s="634" t="s">
        <v>1435</v>
      </c>
      <c r="K260" s="634"/>
      <c r="L260" s="636">
        <v>179.05467653178974</v>
      </c>
      <c r="M260" s="636">
        <v>3</v>
      </c>
      <c r="N260" s="637">
        <v>537.16402959536924</v>
      </c>
    </row>
    <row r="261" spans="1:14" ht="14.4" customHeight="1" x14ac:dyDescent="0.3">
      <c r="A261" s="632" t="s">
        <v>499</v>
      </c>
      <c r="B261" s="633" t="s">
        <v>501</v>
      </c>
      <c r="C261" s="634" t="s">
        <v>511</v>
      </c>
      <c r="D261" s="635" t="s">
        <v>512</v>
      </c>
      <c r="E261" s="634" t="s">
        <v>502</v>
      </c>
      <c r="F261" s="635" t="s">
        <v>503</v>
      </c>
      <c r="G261" s="634" t="s">
        <v>532</v>
      </c>
      <c r="H261" s="634" t="s">
        <v>1436</v>
      </c>
      <c r="I261" s="634" t="s">
        <v>246</v>
      </c>
      <c r="J261" s="634" t="s">
        <v>1437</v>
      </c>
      <c r="K261" s="634"/>
      <c r="L261" s="636">
        <v>346.95541376378299</v>
      </c>
      <c r="M261" s="636">
        <v>4</v>
      </c>
      <c r="N261" s="637">
        <v>1387.8216550551319</v>
      </c>
    </row>
    <row r="262" spans="1:14" ht="14.4" customHeight="1" x14ac:dyDescent="0.3">
      <c r="A262" s="632" t="s">
        <v>499</v>
      </c>
      <c r="B262" s="633" t="s">
        <v>501</v>
      </c>
      <c r="C262" s="634" t="s">
        <v>511</v>
      </c>
      <c r="D262" s="635" t="s">
        <v>512</v>
      </c>
      <c r="E262" s="634" t="s">
        <v>502</v>
      </c>
      <c r="F262" s="635" t="s">
        <v>503</v>
      </c>
      <c r="G262" s="634" t="s">
        <v>532</v>
      </c>
      <c r="H262" s="634" t="s">
        <v>1438</v>
      </c>
      <c r="I262" s="634" t="s">
        <v>246</v>
      </c>
      <c r="J262" s="634" t="s">
        <v>1439</v>
      </c>
      <c r="K262" s="634"/>
      <c r="L262" s="636">
        <v>283.8197461439043</v>
      </c>
      <c r="M262" s="636">
        <v>1</v>
      </c>
      <c r="N262" s="637">
        <v>283.8197461439043</v>
      </c>
    </row>
    <row r="263" spans="1:14" ht="14.4" customHeight="1" x14ac:dyDescent="0.3">
      <c r="A263" s="632" t="s">
        <v>499</v>
      </c>
      <c r="B263" s="633" t="s">
        <v>501</v>
      </c>
      <c r="C263" s="634" t="s">
        <v>511</v>
      </c>
      <c r="D263" s="635" t="s">
        <v>512</v>
      </c>
      <c r="E263" s="634" t="s">
        <v>502</v>
      </c>
      <c r="F263" s="635" t="s">
        <v>503</v>
      </c>
      <c r="G263" s="634" t="s">
        <v>532</v>
      </c>
      <c r="H263" s="634" t="s">
        <v>1440</v>
      </c>
      <c r="I263" s="634" t="s">
        <v>246</v>
      </c>
      <c r="J263" s="634" t="s">
        <v>1441</v>
      </c>
      <c r="K263" s="634"/>
      <c r="L263" s="636">
        <v>457.84970859109188</v>
      </c>
      <c r="M263" s="636">
        <v>2</v>
      </c>
      <c r="N263" s="637">
        <v>915.69941718218377</v>
      </c>
    </row>
    <row r="264" spans="1:14" ht="14.4" customHeight="1" x14ac:dyDescent="0.3">
      <c r="A264" s="632" t="s">
        <v>499</v>
      </c>
      <c r="B264" s="633" t="s">
        <v>501</v>
      </c>
      <c r="C264" s="634" t="s">
        <v>511</v>
      </c>
      <c r="D264" s="635" t="s">
        <v>512</v>
      </c>
      <c r="E264" s="634" t="s">
        <v>502</v>
      </c>
      <c r="F264" s="635" t="s">
        <v>503</v>
      </c>
      <c r="G264" s="634" t="s">
        <v>532</v>
      </c>
      <c r="H264" s="634" t="s">
        <v>1442</v>
      </c>
      <c r="I264" s="634" t="s">
        <v>1443</v>
      </c>
      <c r="J264" s="634" t="s">
        <v>1444</v>
      </c>
      <c r="K264" s="634" t="s">
        <v>1445</v>
      </c>
      <c r="L264" s="636">
        <v>104.89</v>
      </c>
      <c r="M264" s="636">
        <v>2</v>
      </c>
      <c r="N264" s="637">
        <v>209.78</v>
      </c>
    </row>
    <row r="265" spans="1:14" ht="14.4" customHeight="1" x14ac:dyDescent="0.3">
      <c r="A265" s="632" t="s">
        <v>499</v>
      </c>
      <c r="B265" s="633" t="s">
        <v>501</v>
      </c>
      <c r="C265" s="634" t="s">
        <v>511</v>
      </c>
      <c r="D265" s="635" t="s">
        <v>512</v>
      </c>
      <c r="E265" s="634" t="s">
        <v>502</v>
      </c>
      <c r="F265" s="635" t="s">
        <v>503</v>
      </c>
      <c r="G265" s="634" t="s">
        <v>532</v>
      </c>
      <c r="H265" s="634" t="s">
        <v>1446</v>
      </c>
      <c r="I265" s="634" t="s">
        <v>1447</v>
      </c>
      <c r="J265" s="634" t="s">
        <v>1448</v>
      </c>
      <c r="K265" s="634" t="s">
        <v>1449</v>
      </c>
      <c r="L265" s="636">
        <v>54.70999999999998</v>
      </c>
      <c r="M265" s="636">
        <v>1</v>
      </c>
      <c r="N265" s="637">
        <v>54.70999999999998</v>
      </c>
    </row>
    <row r="266" spans="1:14" ht="14.4" customHeight="1" x14ac:dyDescent="0.3">
      <c r="A266" s="632" t="s">
        <v>499</v>
      </c>
      <c r="B266" s="633" t="s">
        <v>501</v>
      </c>
      <c r="C266" s="634" t="s">
        <v>511</v>
      </c>
      <c r="D266" s="635" t="s">
        <v>512</v>
      </c>
      <c r="E266" s="634" t="s">
        <v>502</v>
      </c>
      <c r="F266" s="635" t="s">
        <v>503</v>
      </c>
      <c r="G266" s="634" t="s">
        <v>532</v>
      </c>
      <c r="H266" s="634" t="s">
        <v>1450</v>
      </c>
      <c r="I266" s="634" t="s">
        <v>1450</v>
      </c>
      <c r="J266" s="634" t="s">
        <v>1451</v>
      </c>
      <c r="K266" s="634" t="s">
        <v>1452</v>
      </c>
      <c r="L266" s="636">
        <v>27.63</v>
      </c>
      <c r="M266" s="636">
        <v>1</v>
      </c>
      <c r="N266" s="637">
        <v>27.63</v>
      </c>
    </row>
    <row r="267" spans="1:14" ht="14.4" customHeight="1" x14ac:dyDescent="0.3">
      <c r="A267" s="632" t="s">
        <v>499</v>
      </c>
      <c r="B267" s="633" t="s">
        <v>501</v>
      </c>
      <c r="C267" s="634" t="s">
        <v>511</v>
      </c>
      <c r="D267" s="635" t="s">
        <v>512</v>
      </c>
      <c r="E267" s="634" t="s">
        <v>502</v>
      </c>
      <c r="F267" s="635" t="s">
        <v>503</v>
      </c>
      <c r="G267" s="634" t="s">
        <v>532</v>
      </c>
      <c r="H267" s="634" t="s">
        <v>1453</v>
      </c>
      <c r="I267" s="634" t="s">
        <v>1454</v>
      </c>
      <c r="J267" s="634" t="s">
        <v>1455</v>
      </c>
      <c r="K267" s="634" t="s">
        <v>1456</v>
      </c>
      <c r="L267" s="636">
        <v>117.59999999</v>
      </c>
      <c r="M267" s="636">
        <v>1</v>
      </c>
      <c r="N267" s="637">
        <v>117.59999999</v>
      </c>
    </row>
    <row r="268" spans="1:14" ht="14.4" customHeight="1" x14ac:dyDescent="0.3">
      <c r="A268" s="632" t="s">
        <v>499</v>
      </c>
      <c r="B268" s="633" t="s">
        <v>501</v>
      </c>
      <c r="C268" s="634" t="s">
        <v>511</v>
      </c>
      <c r="D268" s="635" t="s">
        <v>512</v>
      </c>
      <c r="E268" s="634" t="s">
        <v>502</v>
      </c>
      <c r="F268" s="635" t="s">
        <v>503</v>
      </c>
      <c r="G268" s="634" t="s">
        <v>532</v>
      </c>
      <c r="H268" s="634" t="s">
        <v>1457</v>
      </c>
      <c r="I268" s="634" t="s">
        <v>1457</v>
      </c>
      <c r="J268" s="634" t="s">
        <v>1458</v>
      </c>
      <c r="K268" s="634" t="s">
        <v>1459</v>
      </c>
      <c r="L268" s="636">
        <v>285.01679999999999</v>
      </c>
      <c r="M268" s="636">
        <v>5</v>
      </c>
      <c r="N268" s="637">
        <v>1425.0839999999998</v>
      </c>
    </row>
    <row r="269" spans="1:14" ht="14.4" customHeight="1" x14ac:dyDescent="0.3">
      <c r="A269" s="632" t="s">
        <v>499</v>
      </c>
      <c r="B269" s="633" t="s">
        <v>501</v>
      </c>
      <c r="C269" s="634" t="s">
        <v>511</v>
      </c>
      <c r="D269" s="635" t="s">
        <v>512</v>
      </c>
      <c r="E269" s="634" t="s">
        <v>502</v>
      </c>
      <c r="F269" s="635" t="s">
        <v>503</v>
      </c>
      <c r="G269" s="634" t="s">
        <v>532</v>
      </c>
      <c r="H269" s="634" t="s">
        <v>1460</v>
      </c>
      <c r="I269" s="634" t="s">
        <v>246</v>
      </c>
      <c r="J269" s="634" t="s">
        <v>1461</v>
      </c>
      <c r="K269" s="634"/>
      <c r="L269" s="636">
        <v>266.66000000000003</v>
      </c>
      <c r="M269" s="636">
        <v>5</v>
      </c>
      <c r="N269" s="637">
        <v>1333.3000000000002</v>
      </c>
    </row>
    <row r="270" spans="1:14" ht="14.4" customHeight="1" x14ac:dyDescent="0.3">
      <c r="A270" s="632" t="s">
        <v>499</v>
      </c>
      <c r="B270" s="633" t="s">
        <v>501</v>
      </c>
      <c r="C270" s="634" t="s">
        <v>511</v>
      </c>
      <c r="D270" s="635" t="s">
        <v>512</v>
      </c>
      <c r="E270" s="634" t="s">
        <v>502</v>
      </c>
      <c r="F270" s="635" t="s">
        <v>503</v>
      </c>
      <c r="G270" s="634" t="s">
        <v>532</v>
      </c>
      <c r="H270" s="634" t="s">
        <v>1462</v>
      </c>
      <c r="I270" s="634" t="s">
        <v>1462</v>
      </c>
      <c r="J270" s="634" t="s">
        <v>753</v>
      </c>
      <c r="K270" s="634" t="s">
        <v>1078</v>
      </c>
      <c r="L270" s="636">
        <v>92</v>
      </c>
      <c r="M270" s="636">
        <v>3</v>
      </c>
      <c r="N270" s="637">
        <v>276</v>
      </c>
    </row>
    <row r="271" spans="1:14" ht="14.4" customHeight="1" x14ac:dyDescent="0.3">
      <c r="A271" s="632" t="s">
        <v>499</v>
      </c>
      <c r="B271" s="633" t="s">
        <v>501</v>
      </c>
      <c r="C271" s="634" t="s">
        <v>511</v>
      </c>
      <c r="D271" s="635" t="s">
        <v>512</v>
      </c>
      <c r="E271" s="634" t="s">
        <v>502</v>
      </c>
      <c r="F271" s="635" t="s">
        <v>503</v>
      </c>
      <c r="G271" s="634" t="s">
        <v>532</v>
      </c>
      <c r="H271" s="634" t="s">
        <v>1463</v>
      </c>
      <c r="I271" s="634" t="s">
        <v>1463</v>
      </c>
      <c r="J271" s="634" t="s">
        <v>1464</v>
      </c>
      <c r="K271" s="634" t="s">
        <v>1465</v>
      </c>
      <c r="L271" s="636">
        <v>426.87</v>
      </c>
      <c r="M271" s="636">
        <v>1</v>
      </c>
      <c r="N271" s="637">
        <v>426.87</v>
      </c>
    </row>
    <row r="272" spans="1:14" ht="14.4" customHeight="1" x14ac:dyDescent="0.3">
      <c r="A272" s="632" t="s">
        <v>499</v>
      </c>
      <c r="B272" s="633" t="s">
        <v>501</v>
      </c>
      <c r="C272" s="634" t="s">
        <v>511</v>
      </c>
      <c r="D272" s="635" t="s">
        <v>512</v>
      </c>
      <c r="E272" s="634" t="s">
        <v>502</v>
      </c>
      <c r="F272" s="635" t="s">
        <v>503</v>
      </c>
      <c r="G272" s="634" t="s">
        <v>532</v>
      </c>
      <c r="H272" s="634" t="s">
        <v>1466</v>
      </c>
      <c r="I272" s="634" t="s">
        <v>1466</v>
      </c>
      <c r="J272" s="634" t="s">
        <v>1467</v>
      </c>
      <c r="K272" s="634" t="s">
        <v>1468</v>
      </c>
      <c r="L272" s="636">
        <v>82.85</v>
      </c>
      <c r="M272" s="636">
        <v>1</v>
      </c>
      <c r="N272" s="637">
        <v>82.85</v>
      </c>
    </row>
    <row r="273" spans="1:14" ht="14.4" customHeight="1" x14ac:dyDescent="0.3">
      <c r="A273" s="632" t="s">
        <v>499</v>
      </c>
      <c r="B273" s="633" t="s">
        <v>501</v>
      </c>
      <c r="C273" s="634" t="s">
        <v>511</v>
      </c>
      <c r="D273" s="635" t="s">
        <v>512</v>
      </c>
      <c r="E273" s="634" t="s">
        <v>502</v>
      </c>
      <c r="F273" s="635" t="s">
        <v>503</v>
      </c>
      <c r="G273" s="634" t="s">
        <v>532</v>
      </c>
      <c r="H273" s="634" t="s">
        <v>1469</v>
      </c>
      <c r="I273" s="634" t="s">
        <v>1469</v>
      </c>
      <c r="J273" s="634" t="s">
        <v>1470</v>
      </c>
      <c r="K273" s="634" t="s">
        <v>1471</v>
      </c>
      <c r="L273" s="636">
        <v>1826.29</v>
      </c>
      <c r="M273" s="636">
        <v>1</v>
      </c>
      <c r="N273" s="637">
        <v>1826.29</v>
      </c>
    </row>
    <row r="274" spans="1:14" ht="14.4" customHeight="1" x14ac:dyDescent="0.3">
      <c r="A274" s="632" t="s">
        <v>499</v>
      </c>
      <c r="B274" s="633" t="s">
        <v>501</v>
      </c>
      <c r="C274" s="634" t="s">
        <v>511</v>
      </c>
      <c r="D274" s="635" t="s">
        <v>512</v>
      </c>
      <c r="E274" s="634" t="s">
        <v>502</v>
      </c>
      <c r="F274" s="635" t="s">
        <v>503</v>
      </c>
      <c r="G274" s="634" t="s">
        <v>532</v>
      </c>
      <c r="H274" s="634" t="s">
        <v>1472</v>
      </c>
      <c r="I274" s="634" t="s">
        <v>246</v>
      </c>
      <c r="J274" s="634" t="s">
        <v>1473</v>
      </c>
      <c r="K274" s="634"/>
      <c r="L274" s="636">
        <v>67.77</v>
      </c>
      <c r="M274" s="636">
        <v>3</v>
      </c>
      <c r="N274" s="637">
        <v>203.31</v>
      </c>
    </row>
    <row r="275" spans="1:14" ht="14.4" customHeight="1" x14ac:dyDescent="0.3">
      <c r="A275" s="632" t="s">
        <v>499</v>
      </c>
      <c r="B275" s="633" t="s">
        <v>501</v>
      </c>
      <c r="C275" s="634" t="s">
        <v>511</v>
      </c>
      <c r="D275" s="635" t="s">
        <v>512</v>
      </c>
      <c r="E275" s="634" t="s">
        <v>502</v>
      </c>
      <c r="F275" s="635" t="s">
        <v>503</v>
      </c>
      <c r="G275" s="634" t="s">
        <v>532</v>
      </c>
      <c r="H275" s="634" t="s">
        <v>1474</v>
      </c>
      <c r="I275" s="634" t="s">
        <v>1474</v>
      </c>
      <c r="J275" s="634" t="s">
        <v>574</v>
      </c>
      <c r="K275" s="634" t="s">
        <v>1475</v>
      </c>
      <c r="L275" s="636">
        <v>60.26</v>
      </c>
      <c r="M275" s="636">
        <v>3</v>
      </c>
      <c r="N275" s="637">
        <v>180.78</v>
      </c>
    </row>
    <row r="276" spans="1:14" ht="14.4" customHeight="1" x14ac:dyDescent="0.3">
      <c r="A276" s="632" t="s">
        <v>499</v>
      </c>
      <c r="B276" s="633" t="s">
        <v>501</v>
      </c>
      <c r="C276" s="634" t="s">
        <v>511</v>
      </c>
      <c r="D276" s="635" t="s">
        <v>512</v>
      </c>
      <c r="E276" s="634" t="s">
        <v>502</v>
      </c>
      <c r="F276" s="635" t="s">
        <v>503</v>
      </c>
      <c r="G276" s="634" t="s">
        <v>532</v>
      </c>
      <c r="H276" s="634" t="s">
        <v>1476</v>
      </c>
      <c r="I276" s="634" t="s">
        <v>1476</v>
      </c>
      <c r="J276" s="634" t="s">
        <v>1470</v>
      </c>
      <c r="K276" s="634" t="s">
        <v>1477</v>
      </c>
      <c r="L276" s="636">
        <v>580.11999999999989</v>
      </c>
      <c r="M276" s="636">
        <v>2</v>
      </c>
      <c r="N276" s="637">
        <v>1160.2399999999998</v>
      </c>
    </row>
    <row r="277" spans="1:14" ht="14.4" customHeight="1" x14ac:dyDescent="0.3">
      <c r="A277" s="632" t="s">
        <v>499</v>
      </c>
      <c r="B277" s="633" t="s">
        <v>501</v>
      </c>
      <c r="C277" s="634" t="s">
        <v>511</v>
      </c>
      <c r="D277" s="635" t="s">
        <v>512</v>
      </c>
      <c r="E277" s="634" t="s">
        <v>502</v>
      </c>
      <c r="F277" s="635" t="s">
        <v>503</v>
      </c>
      <c r="G277" s="634" t="s">
        <v>532</v>
      </c>
      <c r="H277" s="634" t="s">
        <v>1478</v>
      </c>
      <c r="I277" s="634" t="s">
        <v>246</v>
      </c>
      <c r="J277" s="634" t="s">
        <v>1479</v>
      </c>
      <c r="K277" s="634"/>
      <c r="L277" s="636">
        <v>424.11904039387025</v>
      </c>
      <c r="M277" s="636">
        <v>1</v>
      </c>
      <c r="N277" s="637">
        <v>424.11904039387025</v>
      </c>
    </row>
    <row r="278" spans="1:14" ht="14.4" customHeight="1" x14ac:dyDescent="0.3">
      <c r="A278" s="632" t="s">
        <v>499</v>
      </c>
      <c r="B278" s="633" t="s">
        <v>501</v>
      </c>
      <c r="C278" s="634" t="s">
        <v>511</v>
      </c>
      <c r="D278" s="635" t="s">
        <v>512</v>
      </c>
      <c r="E278" s="634" t="s">
        <v>502</v>
      </c>
      <c r="F278" s="635" t="s">
        <v>503</v>
      </c>
      <c r="G278" s="634" t="s">
        <v>1480</v>
      </c>
      <c r="H278" s="634" t="s">
        <v>1481</v>
      </c>
      <c r="I278" s="634" t="s">
        <v>1481</v>
      </c>
      <c r="J278" s="634" t="s">
        <v>1482</v>
      </c>
      <c r="K278" s="634" t="s">
        <v>1483</v>
      </c>
      <c r="L278" s="636">
        <v>128.01</v>
      </c>
      <c r="M278" s="636">
        <v>3</v>
      </c>
      <c r="N278" s="637">
        <v>384.03</v>
      </c>
    </row>
    <row r="279" spans="1:14" ht="14.4" customHeight="1" x14ac:dyDescent="0.3">
      <c r="A279" s="632" t="s">
        <v>499</v>
      </c>
      <c r="B279" s="633" t="s">
        <v>501</v>
      </c>
      <c r="C279" s="634" t="s">
        <v>511</v>
      </c>
      <c r="D279" s="635" t="s">
        <v>512</v>
      </c>
      <c r="E279" s="634" t="s">
        <v>502</v>
      </c>
      <c r="F279" s="635" t="s">
        <v>503</v>
      </c>
      <c r="G279" s="634" t="s">
        <v>1480</v>
      </c>
      <c r="H279" s="634" t="s">
        <v>1484</v>
      </c>
      <c r="I279" s="634" t="s">
        <v>1484</v>
      </c>
      <c r="J279" s="634" t="s">
        <v>1485</v>
      </c>
      <c r="K279" s="634" t="s">
        <v>1486</v>
      </c>
      <c r="L279" s="636">
        <v>18.459367412461997</v>
      </c>
      <c r="M279" s="636">
        <v>16</v>
      </c>
      <c r="N279" s="637">
        <v>295.34987859939196</v>
      </c>
    </row>
    <row r="280" spans="1:14" ht="14.4" customHeight="1" x14ac:dyDescent="0.3">
      <c r="A280" s="632" t="s">
        <v>499</v>
      </c>
      <c r="B280" s="633" t="s">
        <v>501</v>
      </c>
      <c r="C280" s="634" t="s">
        <v>511</v>
      </c>
      <c r="D280" s="635" t="s">
        <v>512</v>
      </c>
      <c r="E280" s="634" t="s">
        <v>502</v>
      </c>
      <c r="F280" s="635" t="s">
        <v>503</v>
      </c>
      <c r="G280" s="634" t="s">
        <v>1480</v>
      </c>
      <c r="H280" s="634" t="s">
        <v>1487</v>
      </c>
      <c r="I280" s="634" t="s">
        <v>1487</v>
      </c>
      <c r="J280" s="634" t="s">
        <v>1488</v>
      </c>
      <c r="K280" s="634" t="s">
        <v>1489</v>
      </c>
      <c r="L280" s="636">
        <v>24.39</v>
      </c>
      <c r="M280" s="636">
        <v>3</v>
      </c>
      <c r="N280" s="637">
        <v>73.17</v>
      </c>
    </row>
    <row r="281" spans="1:14" ht="14.4" customHeight="1" x14ac:dyDescent="0.3">
      <c r="A281" s="632" t="s">
        <v>499</v>
      </c>
      <c r="B281" s="633" t="s">
        <v>501</v>
      </c>
      <c r="C281" s="634" t="s">
        <v>511</v>
      </c>
      <c r="D281" s="635" t="s">
        <v>512</v>
      </c>
      <c r="E281" s="634" t="s">
        <v>502</v>
      </c>
      <c r="F281" s="635" t="s">
        <v>503</v>
      </c>
      <c r="G281" s="634" t="s">
        <v>1480</v>
      </c>
      <c r="H281" s="634" t="s">
        <v>1490</v>
      </c>
      <c r="I281" s="634" t="s">
        <v>1491</v>
      </c>
      <c r="J281" s="634" t="s">
        <v>1492</v>
      </c>
      <c r="K281" s="634" t="s">
        <v>1493</v>
      </c>
      <c r="L281" s="636">
        <v>273.12952681164001</v>
      </c>
      <c r="M281" s="636">
        <v>2</v>
      </c>
      <c r="N281" s="637">
        <v>546.25905362328001</v>
      </c>
    </row>
    <row r="282" spans="1:14" ht="14.4" customHeight="1" x14ac:dyDescent="0.3">
      <c r="A282" s="632" t="s">
        <v>499</v>
      </c>
      <c r="B282" s="633" t="s">
        <v>501</v>
      </c>
      <c r="C282" s="634" t="s">
        <v>511</v>
      </c>
      <c r="D282" s="635" t="s">
        <v>512</v>
      </c>
      <c r="E282" s="634" t="s">
        <v>502</v>
      </c>
      <c r="F282" s="635" t="s">
        <v>503</v>
      </c>
      <c r="G282" s="634" t="s">
        <v>1480</v>
      </c>
      <c r="H282" s="634" t="s">
        <v>1494</v>
      </c>
      <c r="I282" s="634" t="s">
        <v>1495</v>
      </c>
      <c r="J282" s="634" t="s">
        <v>1496</v>
      </c>
      <c r="K282" s="634" t="s">
        <v>1497</v>
      </c>
      <c r="L282" s="636">
        <v>94.96</v>
      </c>
      <c r="M282" s="636">
        <v>2</v>
      </c>
      <c r="N282" s="637">
        <v>189.92</v>
      </c>
    </row>
    <row r="283" spans="1:14" ht="14.4" customHeight="1" x14ac:dyDescent="0.3">
      <c r="A283" s="632" t="s">
        <v>499</v>
      </c>
      <c r="B283" s="633" t="s">
        <v>501</v>
      </c>
      <c r="C283" s="634" t="s">
        <v>511</v>
      </c>
      <c r="D283" s="635" t="s">
        <v>512</v>
      </c>
      <c r="E283" s="634" t="s">
        <v>502</v>
      </c>
      <c r="F283" s="635" t="s">
        <v>503</v>
      </c>
      <c r="G283" s="634" t="s">
        <v>1480</v>
      </c>
      <c r="H283" s="634" t="s">
        <v>1498</v>
      </c>
      <c r="I283" s="634" t="s">
        <v>1499</v>
      </c>
      <c r="J283" s="634" t="s">
        <v>1500</v>
      </c>
      <c r="K283" s="634" t="s">
        <v>1501</v>
      </c>
      <c r="L283" s="636">
        <v>47.239926988308767</v>
      </c>
      <c r="M283" s="636">
        <v>4</v>
      </c>
      <c r="N283" s="637">
        <v>188.95970795323507</v>
      </c>
    </row>
    <row r="284" spans="1:14" ht="14.4" customHeight="1" x14ac:dyDescent="0.3">
      <c r="A284" s="632" t="s">
        <v>499</v>
      </c>
      <c r="B284" s="633" t="s">
        <v>501</v>
      </c>
      <c r="C284" s="634" t="s">
        <v>511</v>
      </c>
      <c r="D284" s="635" t="s">
        <v>512</v>
      </c>
      <c r="E284" s="634" t="s">
        <v>502</v>
      </c>
      <c r="F284" s="635" t="s">
        <v>503</v>
      </c>
      <c r="G284" s="634" t="s">
        <v>1480</v>
      </c>
      <c r="H284" s="634" t="s">
        <v>1502</v>
      </c>
      <c r="I284" s="634" t="s">
        <v>1503</v>
      </c>
      <c r="J284" s="634" t="s">
        <v>1500</v>
      </c>
      <c r="K284" s="634" t="s">
        <v>1504</v>
      </c>
      <c r="L284" s="636">
        <v>94.479836316639407</v>
      </c>
      <c r="M284" s="636">
        <v>1</v>
      </c>
      <c r="N284" s="637">
        <v>94.479836316639407</v>
      </c>
    </row>
    <row r="285" spans="1:14" ht="14.4" customHeight="1" x14ac:dyDescent="0.3">
      <c r="A285" s="632" t="s">
        <v>499</v>
      </c>
      <c r="B285" s="633" t="s">
        <v>501</v>
      </c>
      <c r="C285" s="634" t="s">
        <v>511</v>
      </c>
      <c r="D285" s="635" t="s">
        <v>512</v>
      </c>
      <c r="E285" s="634" t="s">
        <v>502</v>
      </c>
      <c r="F285" s="635" t="s">
        <v>503</v>
      </c>
      <c r="G285" s="634" t="s">
        <v>1480</v>
      </c>
      <c r="H285" s="634" t="s">
        <v>1505</v>
      </c>
      <c r="I285" s="634" t="s">
        <v>1506</v>
      </c>
      <c r="J285" s="634" t="s">
        <v>1507</v>
      </c>
      <c r="K285" s="634" t="s">
        <v>1508</v>
      </c>
      <c r="L285" s="636">
        <v>123.05</v>
      </c>
      <c r="M285" s="636">
        <v>1</v>
      </c>
      <c r="N285" s="637">
        <v>123.05</v>
      </c>
    </row>
    <row r="286" spans="1:14" ht="14.4" customHeight="1" x14ac:dyDescent="0.3">
      <c r="A286" s="632" t="s">
        <v>499</v>
      </c>
      <c r="B286" s="633" t="s">
        <v>501</v>
      </c>
      <c r="C286" s="634" t="s">
        <v>511</v>
      </c>
      <c r="D286" s="635" t="s">
        <v>512</v>
      </c>
      <c r="E286" s="634" t="s">
        <v>502</v>
      </c>
      <c r="F286" s="635" t="s">
        <v>503</v>
      </c>
      <c r="G286" s="634" t="s">
        <v>1480</v>
      </c>
      <c r="H286" s="634" t="s">
        <v>1509</v>
      </c>
      <c r="I286" s="634" t="s">
        <v>1510</v>
      </c>
      <c r="J286" s="634" t="s">
        <v>1511</v>
      </c>
      <c r="K286" s="634" t="s">
        <v>958</v>
      </c>
      <c r="L286" s="636">
        <v>84.350099517522452</v>
      </c>
      <c r="M286" s="636">
        <v>2</v>
      </c>
      <c r="N286" s="637">
        <v>168.7001990350449</v>
      </c>
    </row>
    <row r="287" spans="1:14" ht="14.4" customHeight="1" x14ac:dyDescent="0.3">
      <c r="A287" s="632" t="s">
        <v>499</v>
      </c>
      <c r="B287" s="633" t="s">
        <v>501</v>
      </c>
      <c r="C287" s="634" t="s">
        <v>511</v>
      </c>
      <c r="D287" s="635" t="s">
        <v>512</v>
      </c>
      <c r="E287" s="634" t="s">
        <v>502</v>
      </c>
      <c r="F287" s="635" t="s">
        <v>503</v>
      </c>
      <c r="G287" s="634" t="s">
        <v>1480</v>
      </c>
      <c r="H287" s="634" t="s">
        <v>1512</v>
      </c>
      <c r="I287" s="634" t="s">
        <v>1513</v>
      </c>
      <c r="J287" s="634" t="s">
        <v>1514</v>
      </c>
      <c r="K287" s="634" t="s">
        <v>1515</v>
      </c>
      <c r="L287" s="636">
        <v>102.25</v>
      </c>
      <c r="M287" s="636">
        <v>1</v>
      </c>
      <c r="N287" s="637">
        <v>102.25</v>
      </c>
    </row>
    <row r="288" spans="1:14" ht="14.4" customHeight="1" x14ac:dyDescent="0.3">
      <c r="A288" s="632" t="s">
        <v>499</v>
      </c>
      <c r="B288" s="633" t="s">
        <v>501</v>
      </c>
      <c r="C288" s="634" t="s">
        <v>511</v>
      </c>
      <c r="D288" s="635" t="s">
        <v>512</v>
      </c>
      <c r="E288" s="634" t="s">
        <v>502</v>
      </c>
      <c r="F288" s="635" t="s">
        <v>503</v>
      </c>
      <c r="G288" s="634" t="s">
        <v>1480</v>
      </c>
      <c r="H288" s="634" t="s">
        <v>1516</v>
      </c>
      <c r="I288" s="634" t="s">
        <v>1517</v>
      </c>
      <c r="J288" s="634" t="s">
        <v>1518</v>
      </c>
      <c r="K288" s="634" t="s">
        <v>1519</v>
      </c>
      <c r="L288" s="636">
        <v>492.19922875133199</v>
      </c>
      <c r="M288" s="636">
        <v>54</v>
      </c>
      <c r="N288" s="637">
        <v>26578.758352571927</v>
      </c>
    </row>
    <row r="289" spans="1:14" ht="14.4" customHeight="1" x14ac:dyDescent="0.3">
      <c r="A289" s="632" t="s">
        <v>499</v>
      </c>
      <c r="B289" s="633" t="s">
        <v>501</v>
      </c>
      <c r="C289" s="634" t="s">
        <v>511</v>
      </c>
      <c r="D289" s="635" t="s">
        <v>512</v>
      </c>
      <c r="E289" s="634" t="s">
        <v>502</v>
      </c>
      <c r="F289" s="635" t="s">
        <v>503</v>
      </c>
      <c r="G289" s="634" t="s">
        <v>1480</v>
      </c>
      <c r="H289" s="634" t="s">
        <v>1520</v>
      </c>
      <c r="I289" s="634" t="s">
        <v>1521</v>
      </c>
      <c r="J289" s="634" t="s">
        <v>1518</v>
      </c>
      <c r="K289" s="634" t="s">
        <v>1522</v>
      </c>
      <c r="L289" s="636">
        <v>942.99879062711966</v>
      </c>
      <c r="M289" s="636">
        <v>5</v>
      </c>
      <c r="N289" s="637">
        <v>4714.9939531355985</v>
      </c>
    </row>
    <row r="290" spans="1:14" ht="14.4" customHeight="1" x14ac:dyDescent="0.3">
      <c r="A290" s="632" t="s">
        <v>499</v>
      </c>
      <c r="B290" s="633" t="s">
        <v>501</v>
      </c>
      <c r="C290" s="634" t="s">
        <v>511</v>
      </c>
      <c r="D290" s="635" t="s">
        <v>512</v>
      </c>
      <c r="E290" s="634" t="s">
        <v>502</v>
      </c>
      <c r="F290" s="635" t="s">
        <v>503</v>
      </c>
      <c r="G290" s="634" t="s">
        <v>1480</v>
      </c>
      <c r="H290" s="634" t="s">
        <v>1523</v>
      </c>
      <c r="I290" s="634" t="s">
        <v>1524</v>
      </c>
      <c r="J290" s="634" t="s">
        <v>1525</v>
      </c>
      <c r="K290" s="634" t="s">
        <v>1526</v>
      </c>
      <c r="L290" s="636">
        <v>40.35</v>
      </c>
      <c r="M290" s="636">
        <v>6</v>
      </c>
      <c r="N290" s="637">
        <v>242.10000000000002</v>
      </c>
    </row>
    <row r="291" spans="1:14" ht="14.4" customHeight="1" x14ac:dyDescent="0.3">
      <c r="A291" s="632" t="s">
        <v>499</v>
      </c>
      <c r="B291" s="633" t="s">
        <v>501</v>
      </c>
      <c r="C291" s="634" t="s">
        <v>511</v>
      </c>
      <c r="D291" s="635" t="s">
        <v>512</v>
      </c>
      <c r="E291" s="634" t="s">
        <v>502</v>
      </c>
      <c r="F291" s="635" t="s">
        <v>503</v>
      </c>
      <c r="G291" s="634" t="s">
        <v>1480</v>
      </c>
      <c r="H291" s="634" t="s">
        <v>1527</v>
      </c>
      <c r="I291" s="634" t="s">
        <v>1528</v>
      </c>
      <c r="J291" s="634" t="s">
        <v>1529</v>
      </c>
      <c r="K291" s="634" t="s">
        <v>1530</v>
      </c>
      <c r="L291" s="636">
        <v>61.339999999999996</v>
      </c>
      <c r="M291" s="636">
        <v>3</v>
      </c>
      <c r="N291" s="637">
        <v>184.01999999999998</v>
      </c>
    </row>
    <row r="292" spans="1:14" ht="14.4" customHeight="1" x14ac:dyDescent="0.3">
      <c r="A292" s="632" t="s">
        <v>499</v>
      </c>
      <c r="B292" s="633" t="s">
        <v>501</v>
      </c>
      <c r="C292" s="634" t="s">
        <v>511</v>
      </c>
      <c r="D292" s="635" t="s">
        <v>512</v>
      </c>
      <c r="E292" s="634" t="s">
        <v>502</v>
      </c>
      <c r="F292" s="635" t="s">
        <v>503</v>
      </c>
      <c r="G292" s="634" t="s">
        <v>1480</v>
      </c>
      <c r="H292" s="634" t="s">
        <v>1531</v>
      </c>
      <c r="I292" s="634" t="s">
        <v>1532</v>
      </c>
      <c r="J292" s="634" t="s">
        <v>1533</v>
      </c>
      <c r="K292" s="634" t="s">
        <v>1534</v>
      </c>
      <c r="L292" s="636">
        <v>115.66182670327558</v>
      </c>
      <c r="M292" s="636">
        <v>4</v>
      </c>
      <c r="N292" s="637">
        <v>462.64730681310232</v>
      </c>
    </row>
    <row r="293" spans="1:14" ht="14.4" customHeight="1" x14ac:dyDescent="0.3">
      <c r="A293" s="632" t="s">
        <v>499</v>
      </c>
      <c r="B293" s="633" t="s">
        <v>501</v>
      </c>
      <c r="C293" s="634" t="s">
        <v>511</v>
      </c>
      <c r="D293" s="635" t="s">
        <v>512</v>
      </c>
      <c r="E293" s="634" t="s">
        <v>502</v>
      </c>
      <c r="F293" s="635" t="s">
        <v>503</v>
      </c>
      <c r="G293" s="634" t="s">
        <v>1480</v>
      </c>
      <c r="H293" s="634" t="s">
        <v>1535</v>
      </c>
      <c r="I293" s="634" t="s">
        <v>1536</v>
      </c>
      <c r="J293" s="634" t="s">
        <v>1537</v>
      </c>
      <c r="K293" s="634" t="s">
        <v>1538</v>
      </c>
      <c r="L293" s="636">
        <v>45.583897092656748</v>
      </c>
      <c r="M293" s="636">
        <v>8</v>
      </c>
      <c r="N293" s="637">
        <v>364.67117674125399</v>
      </c>
    </row>
    <row r="294" spans="1:14" ht="14.4" customHeight="1" x14ac:dyDescent="0.3">
      <c r="A294" s="632" t="s">
        <v>499</v>
      </c>
      <c r="B294" s="633" t="s">
        <v>501</v>
      </c>
      <c r="C294" s="634" t="s">
        <v>511</v>
      </c>
      <c r="D294" s="635" t="s">
        <v>512</v>
      </c>
      <c r="E294" s="634" t="s">
        <v>502</v>
      </c>
      <c r="F294" s="635" t="s">
        <v>503</v>
      </c>
      <c r="G294" s="634" t="s">
        <v>1480</v>
      </c>
      <c r="H294" s="634" t="s">
        <v>1539</v>
      </c>
      <c r="I294" s="634" t="s">
        <v>1540</v>
      </c>
      <c r="J294" s="634" t="s">
        <v>1541</v>
      </c>
      <c r="K294" s="634" t="s">
        <v>818</v>
      </c>
      <c r="L294" s="636">
        <v>55.064781965394566</v>
      </c>
      <c r="M294" s="636">
        <v>4</v>
      </c>
      <c r="N294" s="637">
        <v>220.25912786157826</v>
      </c>
    </row>
    <row r="295" spans="1:14" ht="14.4" customHeight="1" x14ac:dyDescent="0.3">
      <c r="A295" s="632" t="s">
        <v>499</v>
      </c>
      <c r="B295" s="633" t="s">
        <v>501</v>
      </c>
      <c r="C295" s="634" t="s">
        <v>511</v>
      </c>
      <c r="D295" s="635" t="s">
        <v>512</v>
      </c>
      <c r="E295" s="634" t="s">
        <v>502</v>
      </c>
      <c r="F295" s="635" t="s">
        <v>503</v>
      </c>
      <c r="G295" s="634" t="s">
        <v>1480</v>
      </c>
      <c r="H295" s="634" t="s">
        <v>1542</v>
      </c>
      <c r="I295" s="634" t="s">
        <v>1543</v>
      </c>
      <c r="J295" s="634" t="s">
        <v>1482</v>
      </c>
      <c r="K295" s="634" t="s">
        <v>1544</v>
      </c>
      <c r="L295" s="636">
        <v>36.733333333333327</v>
      </c>
      <c r="M295" s="636">
        <v>15</v>
      </c>
      <c r="N295" s="637">
        <v>550.99999999999989</v>
      </c>
    </row>
    <row r="296" spans="1:14" ht="14.4" customHeight="1" x14ac:dyDescent="0.3">
      <c r="A296" s="632" t="s">
        <v>499</v>
      </c>
      <c r="B296" s="633" t="s">
        <v>501</v>
      </c>
      <c r="C296" s="634" t="s">
        <v>511</v>
      </c>
      <c r="D296" s="635" t="s">
        <v>512</v>
      </c>
      <c r="E296" s="634" t="s">
        <v>502</v>
      </c>
      <c r="F296" s="635" t="s">
        <v>503</v>
      </c>
      <c r="G296" s="634" t="s">
        <v>1480</v>
      </c>
      <c r="H296" s="634" t="s">
        <v>1545</v>
      </c>
      <c r="I296" s="634" t="s">
        <v>1546</v>
      </c>
      <c r="J296" s="634" t="s">
        <v>1547</v>
      </c>
      <c r="K296" s="634" t="s">
        <v>1548</v>
      </c>
      <c r="L296" s="636">
        <v>73.439843149001561</v>
      </c>
      <c r="M296" s="636">
        <v>3</v>
      </c>
      <c r="N296" s="637">
        <v>220.3195294470047</v>
      </c>
    </row>
    <row r="297" spans="1:14" ht="14.4" customHeight="1" x14ac:dyDescent="0.3">
      <c r="A297" s="632" t="s">
        <v>499</v>
      </c>
      <c r="B297" s="633" t="s">
        <v>501</v>
      </c>
      <c r="C297" s="634" t="s">
        <v>511</v>
      </c>
      <c r="D297" s="635" t="s">
        <v>512</v>
      </c>
      <c r="E297" s="634" t="s">
        <v>502</v>
      </c>
      <c r="F297" s="635" t="s">
        <v>503</v>
      </c>
      <c r="G297" s="634" t="s">
        <v>1480</v>
      </c>
      <c r="H297" s="634" t="s">
        <v>1549</v>
      </c>
      <c r="I297" s="634" t="s">
        <v>1550</v>
      </c>
      <c r="J297" s="634" t="s">
        <v>1551</v>
      </c>
      <c r="K297" s="634" t="s">
        <v>1552</v>
      </c>
      <c r="L297" s="636">
        <v>65.599999999999994</v>
      </c>
      <c r="M297" s="636">
        <v>2</v>
      </c>
      <c r="N297" s="637">
        <v>131.19999999999999</v>
      </c>
    </row>
    <row r="298" spans="1:14" ht="14.4" customHeight="1" x14ac:dyDescent="0.3">
      <c r="A298" s="632" t="s">
        <v>499</v>
      </c>
      <c r="B298" s="633" t="s">
        <v>501</v>
      </c>
      <c r="C298" s="634" t="s">
        <v>511</v>
      </c>
      <c r="D298" s="635" t="s">
        <v>512</v>
      </c>
      <c r="E298" s="634" t="s">
        <v>502</v>
      </c>
      <c r="F298" s="635" t="s">
        <v>503</v>
      </c>
      <c r="G298" s="634" t="s">
        <v>1480</v>
      </c>
      <c r="H298" s="634" t="s">
        <v>1553</v>
      </c>
      <c r="I298" s="634" t="s">
        <v>1554</v>
      </c>
      <c r="J298" s="634" t="s">
        <v>1555</v>
      </c>
      <c r="K298" s="634" t="s">
        <v>1556</v>
      </c>
      <c r="L298" s="636">
        <v>76.640091387052536</v>
      </c>
      <c r="M298" s="636">
        <v>4</v>
      </c>
      <c r="N298" s="637">
        <v>306.56036554821014</v>
      </c>
    </row>
    <row r="299" spans="1:14" ht="14.4" customHeight="1" x14ac:dyDescent="0.3">
      <c r="A299" s="632" t="s">
        <v>499</v>
      </c>
      <c r="B299" s="633" t="s">
        <v>501</v>
      </c>
      <c r="C299" s="634" t="s">
        <v>511</v>
      </c>
      <c r="D299" s="635" t="s">
        <v>512</v>
      </c>
      <c r="E299" s="634" t="s">
        <v>502</v>
      </c>
      <c r="F299" s="635" t="s">
        <v>503</v>
      </c>
      <c r="G299" s="634" t="s">
        <v>1480</v>
      </c>
      <c r="H299" s="634" t="s">
        <v>1557</v>
      </c>
      <c r="I299" s="634" t="s">
        <v>1558</v>
      </c>
      <c r="J299" s="634" t="s">
        <v>1559</v>
      </c>
      <c r="K299" s="634" t="s">
        <v>1560</v>
      </c>
      <c r="L299" s="636">
        <v>98.52</v>
      </c>
      <c r="M299" s="636">
        <v>1</v>
      </c>
      <c r="N299" s="637">
        <v>98.52</v>
      </c>
    </row>
    <row r="300" spans="1:14" ht="14.4" customHeight="1" x14ac:dyDescent="0.3">
      <c r="A300" s="632" t="s">
        <v>499</v>
      </c>
      <c r="B300" s="633" t="s">
        <v>501</v>
      </c>
      <c r="C300" s="634" t="s">
        <v>511</v>
      </c>
      <c r="D300" s="635" t="s">
        <v>512</v>
      </c>
      <c r="E300" s="634" t="s">
        <v>502</v>
      </c>
      <c r="F300" s="635" t="s">
        <v>503</v>
      </c>
      <c r="G300" s="634" t="s">
        <v>1480</v>
      </c>
      <c r="H300" s="634" t="s">
        <v>1561</v>
      </c>
      <c r="I300" s="634" t="s">
        <v>1562</v>
      </c>
      <c r="J300" s="634" t="s">
        <v>1563</v>
      </c>
      <c r="K300" s="634" t="s">
        <v>1564</v>
      </c>
      <c r="L300" s="636">
        <v>50.63</v>
      </c>
      <c r="M300" s="636">
        <v>6</v>
      </c>
      <c r="N300" s="637">
        <v>303.78000000000003</v>
      </c>
    </row>
    <row r="301" spans="1:14" ht="14.4" customHeight="1" x14ac:dyDescent="0.3">
      <c r="A301" s="632" t="s">
        <v>499</v>
      </c>
      <c r="B301" s="633" t="s">
        <v>501</v>
      </c>
      <c r="C301" s="634" t="s">
        <v>511</v>
      </c>
      <c r="D301" s="635" t="s">
        <v>512</v>
      </c>
      <c r="E301" s="634" t="s">
        <v>502</v>
      </c>
      <c r="F301" s="635" t="s">
        <v>503</v>
      </c>
      <c r="G301" s="634" t="s">
        <v>1480</v>
      </c>
      <c r="H301" s="634" t="s">
        <v>1565</v>
      </c>
      <c r="I301" s="634" t="s">
        <v>1566</v>
      </c>
      <c r="J301" s="634" t="s">
        <v>1567</v>
      </c>
      <c r="K301" s="634" t="s">
        <v>1568</v>
      </c>
      <c r="L301" s="636">
        <v>98.3</v>
      </c>
      <c r="M301" s="636">
        <v>4</v>
      </c>
      <c r="N301" s="637">
        <v>393.2</v>
      </c>
    </row>
    <row r="302" spans="1:14" ht="14.4" customHeight="1" x14ac:dyDescent="0.3">
      <c r="A302" s="632" t="s">
        <v>499</v>
      </c>
      <c r="B302" s="633" t="s">
        <v>501</v>
      </c>
      <c r="C302" s="634" t="s">
        <v>511</v>
      </c>
      <c r="D302" s="635" t="s">
        <v>512</v>
      </c>
      <c r="E302" s="634" t="s">
        <v>502</v>
      </c>
      <c r="F302" s="635" t="s">
        <v>503</v>
      </c>
      <c r="G302" s="634" t="s">
        <v>1480</v>
      </c>
      <c r="H302" s="634" t="s">
        <v>1569</v>
      </c>
      <c r="I302" s="634" t="s">
        <v>1570</v>
      </c>
      <c r="J302" s="634" t="s">
        <v>1571</v>
      </c>
      <c r="K302" s="634" t="s">
        <v>1572</v>
      </c>
      <c r="L302" s="636">
        <v>1452.0600000000002</v>
      </c>
      <c r="M302" s="636">
        <v>3</v>
      </c>
      <c r="N302" s="637">
        <v>4356.18</v>
      </c>
    </row>
    <row r="303" spans="1:14" ht="14.4" customHeight="1" x14ac:dyDescent="0.3">
      <c r="A303" s="632" t="s">
        <v>499</v>
      </c>
      <c r="B303" s="633" t="s">
        <v>501</v>
      </c>
      <c r="C303" s="634" t="s">
        <v>511</v>
      </c>
      <c r="D303" s="635" t="s">
        <v>512</v>
      </c>
      <c r="E303" s="634" t="s">
        <v>502</v>
      </c>
      <c r="F303" s="635" t="s">
        <v>503</v>
      </c>
      <c r="G303" s="634" t="s">
        <v>1480</v>
      </c>
      <c r="H303" s="634" t="s">
        <v>1573</v>
      </c>
      <c r="I303" s="634" t="s">
        <v>1574</v>
      </c>
      <c r="J303" s="634" t="s">
        <v>1492</v>
      </c>
      <c r="K303" s="634" t="s">
        <v>1575</v>
      </c>
      <c r="L303" s="636">
        <v>108.91993714458667</v>
      </c>
      <c r="M303" s="636">
        <v>5</v>
      </c>
      <c r="N303" s="637">
        <v>544.59968572293337</v>
      </c>
    </row>
    <row r="304" spans="1:14" ht="14.4" customHeight="1" x14ac:dyDescent="0.3">
      <c r="A304" s="632" t="s">
        <v>499</v>
      </c>
      <c r="B304" s="633" t="s">
        <v>501</v>
      </c>
      <c r="C304" s="634" t="s">
        <v>511</v>
      </c>
      <c r="D304" s="635" t="s">
        <v>512</v>
      </c>
      <c r="E304" s="634" t="s">
        <v>502</v>
      </c>
      <c r="F304" s="635" t="s">
        <v>503</v>
      </c>
      <c r="G304" s="634" t="s">
        <v>1480</v>
      </c>
      <c r="H304" s="634" t="s">
        <v>1576</v>
      </c>
      <c r="I304" s="634" t="s">
        <v>1576</v>
      </c>
      <c r="J304" s="634" t="s">
        <v>1577</v>
      </c>
      <c r="K304" s="634" t="s">
        <v>1578</v>
      </c>
      <c r="L304" s="636">
        <v>65.349999999999994</v>
      </c>
      <c r="M304" s="636">
        <v>2</v>
      </c>
      <c r="N304" s="637">
        <v>130.69999999999999</v>
      </c>
    </row>
    <row r="305" spans="1:14" ht="14.4" customHeight="1" x14ac:dyDescent="0.3">
      <c r="A305" s="632" t="s">
        <v>499</v>
      </c>
      <c r="B305" s="633" t="s">
        <v>501</v>
      </c>
      <c r="C305" s="634" t="s">
        <v>511</v>
      </c>
      <c r="D305" s="635" t="s">
        <v>512</v>
      </c>
      <c r="E305" s="634" t="s">
        <v>502</v>
      </c>
      <c r="F305" s="635" t="s">
        <v>503</v>
      </c>
      <c r="G305" s="634" t="s">
        <v>1480</v>
      </c>
      <c r="H305" s="634" t="s">
        <v>1579</v>
      </c>
      <c r="I305" s="634" t="s">
        <v>1580</v>
      </c>
      <c r="J305" s="634" t="s">
        <v>1581</v>
      </c>
      <c r="K305" s="634" t="s">
        <v>1582</v>
      </c>
      <c r="L305" s="636">
        <v>337.43920462313889</v>
      </c>
      <c r="M305" s="636">
        <v>9</v>
      </c>
      <c r="N305" s="637">
        <v>3036.9528416082499</v>
      </c>
    </row>
    <row r="306" spans="1:14" ht="14.4" customHeight="1" x14ac:dyDescent="0.3">
      <c r="A306" s="632" t="s">
        <v>499</v>
      </c>
      <c r="B306" s="633" t="s">
        <v>501</v>
      </c>
      <c r="C306" s="634" t="s">
        <v>511</v>
      </c>
      <c r="D306" s="635" t="s">
        <v>512</v>
      </c>
      <c r="E306" s="634" t="s">
        <v>502</v>
      </c>
      <c r="F306" s="635" t="s">
        <v>503</v>
      </c>
      <c r="G306" s="634" t="s">
        <v>1480</v>
      </c>
      <c r="H306" s="634" t="s">
        <v>1583</v>
      </c>
      <c r="I306" s="634" t="s">
        <v>1584</v>
      </c>
      <c r="J306" s="634" t="s">
        <v>1585</v>
      </c>
      <c r="K306" s="634" t="s">
        <v>624</v>
      </c>
      <c r="L306" s="636">
        <v>44.572142857142865</v>
      </c>
      <c r="M306" s="636">
        <v>14</v>
      </c>
      <c r="N306" s="637">
        <v>624.0100000000001</v>
      </c>
    </row>
    <row r="307" spans="1:14" ht="14.4" customHeight="1" x14ac:dyDescent="0.3">
      <c r="A307" s="632" t="s">
        <v>499</v>
      </c>
      <c r="B307" s="633" t="s">
        <v>501</v>
      </c>
      <c r="C307" s="634" t="s">
        <v>511</v>
      </c>
      <c r="D307" s="635" t="s">
        <v>512</v>
      </c>
      <c r="E307" s="634" t="s">
        <v>502</v>
      </c>
      <c r="F307" s="635" t="s">
        <v>503</v>
      </c>
      <c r="G307" s="634" t="s">
        <v>1480</v>
      </c>
      <c r="H307" s="634" t="s">
        <v>1586</v>
      </c>
      <c r="I307" s="634" t="s">
        <v>1586</v>
      </c>
      <c r="J307" s="634" t="s">
        <v>1587</v>
      </c>
      <c r="K307" s="634" t="s">
        <v>1588</v>
      </c>
      <c r="L307" s="636">
        <v>98.969999999999956</v>
      </c>
      <c r="M307" s="636">
        <v>1</v>
      </c>
      <c r="N307" s="637">
        <v>98.969999999999956</v>
      </c>
    </row>
    <row r="308" spans="1:14" ht="14.4" customHeight="1" x14ac:dyDescent="0.3">
      <c r="A308" s="632" t="s">
        <v>499</v>
      </c>
      <c r="B308" s="633" t="s">
        <v>501</v>
      </c>
      <c r="C308" s="634" t="s">
        <v>511</v>
      </c>
      <c r="D308" s="635" t="s">
        <v>512</v>
      </c>
      <c r="E308" s="634" t="s">
        <v>502</v>
      </c>
      <c r="F308" s="635" t="s">
        <v>503</v>
      </c>
      <c r="G308" s="634" t="s">
        <v>1480</v>
      </c>
      <c r="H308" s="634" t="s">
        <v>1589</v>
      </c>
      <c r="I308" s="634" t="s">
        <v>1590</v>
      </c>
      <c r="J308" s="634" t="s">
        <v>1591</v>
      </c>
      <c r="K308" s="634" t="s">
        <v>1575</v>
      </c>
      <c r="L308" s="636">
        <v>48.960000000000015</v>
      </c>
      <c r="M308" s="636">
        <v>3</v>
      </c>
      <c r="N308" s="637">
        <v>146.88000000000005</v>
      </c>
    </row>
    <row r="309" spans="1:14" ht="14.4" customHeight="1" x14ac:dyDescent="0.3">
      <c r="A309" s="632" t="s">
        <v>499</v>
      </c>
      <c r="B309" s="633" t="s">
        <v>501</v>
      </c>
      <c r="C309" s="634" t="s">
        <v>511</v>
      </c>
      <c r="D309" s="635" t="s">
        <v>512</v>
      </c>
      <c r="E309" s="634" t="s">
        <v>502</v>
      </c>
      <c r="F309" s="635" t="s">
        <v>503</v>
      </c>
      <c r="G309" s="634" t="s">
        <v>1480</v>
      </c>
      <c r="H309" s="634" t="s">
        <v>1592</v>
      </c>
      <c r="I309" s="634" t="s">
        <v>1593</v>
      </c>
      <c r="J309" s="634" t="s">
        <v>1594</v>
      </c>
      <c r="K309" s="634" t="s">
        <v>1595</v>
      </c>
      <c r="L309" s="636">
        <v>98.024999999999977</v>
      </c>
      <c r="M309" s="636">
        <v>4</v>
      </c>
      <c r="N309" s="637">
        <v>392.09999999999991</v>
      </c>
    </row>
    <row r="310" spans="1:14" ht="14.4" customHeight="1" x14ac:dyDescent="0.3">
      <c r="A310" s="632" t="s">
        <v>499</v>
      </c>
      <c r="B310" s="633" t="s">
        <v>501</v>
      </c>
      <c r="C310" s="634" t="s">
        <v>511</v>
      </c>
      <c r="D310" s="635" t="s">
        <v>512</v>
      </c>
      <c r="E310" s="634" t="s">
        <v>502</v>
      </c>
      <c r="F310" s="635" t="s">
        <v>503</v>
      </c>
      <c r="G310" s="634" t="s">
        <v>1480</v>
      </c>
      <c r="H310" s="634" t="s">
        <v>1596</v>
      </c>
      <c r="I310" s="634" t="s">
        <v>1597</v>
      </c>
      <c r="J310" s="634" t="s">
        <v>1598</v>
      </c>
      <c r="K310" s="634" t="s">
        <v>1599</v>
      </c>
      <c r="L310" s="636">
        <v>331.28</v>
      </c>
      <c r="M310" s="636">
        <v>4</v>
      </c>
      <c r="N310" s="637">
        <v>1325.12</v>
      </c>
    </row>
    <row r="311" spans="1:14" ht="14.4" customHeight="1" x14ac:dyDescent="0.3">
      <c r="A311" s="632" t="s">
        <v>499</v>
      </c>
      <c r="B311" s="633" t="s">
        <v>501</v>
      </c>
      <c r="C311" s="634" t="s">
        <v>511</v>
      </c>
      <c r="D311" s="635" t="s">
        <v>512</v>
      </c>
      <c r="E311" s="634" t="s">
        <v>502</v>
      </c>
      <c r="F311" s="635" t="s">
        <v>503</v>
      </c>
      <c r="G311" s="634" t="s">
        <v>1480</v>
      </c>
      <c r="H311" s="634" t="s">
        <v>1600</v>
      </c>
      <c r="I311" s="634" t="s">
        <v>1601</v>
      </c>
      <c r="J311" s="634" t="s">
        <v>1602</v>
      </c>
      <c r="K311" s="634" t="s">
        <v>1603</v>
      </c>
      <c r="L311" s="636">
        <v>145.07</v>
      </c>
      <c r="M311" s="636">
        <v>1</v>
      </c>
      <c r="N311" s="637">
        <v>145.07</v>
      </c>
    </row>
    <row r="312" spans="1:14" ht="14.4" customHeight="1" x14ac:dyDescent="0.3">
      <c r="A312" s="632" t="s">
        <v>499</v>
      </c>
      <c r="B312" s="633" t="s">
        <v>501</v>
      </c>
      <c r="C312" s="634" t="s">
        <v>511</v>
      </c>
      <c r="D312" s="635" t="s">
        <v>512</v>
      </c>
      <c r="E312" s="634" t="s">
        <v>502</v>
      </c>
      <c r="F312" s="635" t="s">
        <v>503</v>
      </c>
      <c r="G312" s="634" t="s">
        <v>1480</v>
      </c>
      <c r="H312" s="634" t="s">
        <v>1604</v>
      </c>
      <c r="I312" s="634" t="s">
        <v>1605</v>
      </c>
      <c r="J312" s="634" t="s">
        <v>1606</v>
      </c>
      <c r="K312" s="634" t="s">
        <v>1607</v>
      </c>
      <c r="L312" s="636">
        <v>102.66987320323565</v>
      </c>
      <c r="M312" s="636">
        <v>5</v>
      </c>
      <c r="N312" s="637">
        <v>513.34936601617824</v>
      </c>
    </row>
    <row r="313" spans="1:14" ht="14.4" customHeight="1" x14ac:dyDescent="0.3">
      <c r="A313" s="632" t="s">
        <v>499</v>
      </c>
      <c r="B313" s="633" t="s">
        <v>501</v>
      </c>
      <c r="C313" s="634" t="s">
        <v>511</v>
      </c>
      <c r="D313" s="635" t="s">
        <v>512</v>
      </c>
      <c r="E313" s="634" t="s">
        <v>502</v>
      </c>
      <c r="F313" s="635" t="s">
        <v>503</v>
      </c>
      <c r="G313" s="634" t="s">
        <v>1480</v>
      </c>
      <c r="H313" s="634" t="s">
        <v>1608</v>
      </c>
      <c r="I313" s="634" t="s">
        <v>1609</v>
      </c>
      <c r="J313" s="634" t="s">
        <v>1610</v>
      </c>
      <c r="K313" s="634" t="s">
        <v>837</v>
      </c>
      <c r="L313" s="636">
        <v>98.172195632164872</v>
      </c>
      <c r="M313" s="636">
        <v>5</v>
      </c>
      <c r="N313" s="637">
        <v>490.86097816082435</v>
      </c>
    </row>
    <row r="314" spans="1:14" ht="14.4" customHeight="1" x14ac:dyDescent="0.3">
      <c r="A314" s="632" t="s">
        <v>499</v>
      </c>
      <c r="B314" s="633" t="s">
        <v>501</v>
      </c>
      <c r="C314" s="634" t="s">
        <v>511</v>
      </c>
      <c r="D314" s="635" t="s">
        <v>512</v>
      </c>
      <c r="E314" s="634" t="s">
        <v>502</v>
      </c>
      <c r="F314" s="635" t="s">
        <v>503</v>
      </c>
      <c r="G314" s="634" t="s">
        <v>1480</v>
      </c>
      <c r="H314" s="634" t="s">
        <v>1611</v>
      </c>
      <c r="I314" s="634" t="s">
        <v>1612</v>
      </c>
      <c r="J314" s="634" t="s">
        <v>1613</v>
      </c>
      <c r="K314" s="634" t="s">
        <v>1614</v>
      </c>
      <c r="L314" s="636">
        <v>71.809999999999988</v>
      </c>
      <c r="M314" s="636">
        <v>3</v>
      </c>
      <c r="N314" s="637">
        <v>215.42999999999995</v>
      </c>
    </row>
    <row r="315" spans="1:14" ht="14.4" customHeight="1" x14ac:dyDescent="0.3">
      <c r="A315" s="632" t="s">
        <v>499</v>
      </c>
      <c r="B315" s="633" t="s">
        <v>501</v>
      </c>
      <c r="C315" s="634" t="s">
        <v>511</v>
      </c>
      <c r="D315" s="635" t="s">
        <v>512</v>
      </c>
      <c r="E315" s="634" t="s">
        <v>502</v>
      </c>
      <c r="F315" s="635" t="s">
        <v>503</v>
      </c>
      <c r="G315" s="634" t="s">
        <v>1480</v>
      </c>
      <c r="H315" s="634" t="s">
        <v>1615</v>
      </c>
      <c r="I315" s="634" t="s">
        <v>1616</v>
      </c>
      <c r="J315" s="634" t="s">
        <v>1500</v>
      </c>
      <c r="K315" s="634" t="s">
        <v>1617</v>
      </c>
      <c r="L315" s="636">
        <v>135.21027216562226</v>
      </c>
      <c r="M315" s="636">
        <v>1</v>
      </c>
      <c r="N315" s="637">
        <v>135.21027216562226</v>
      </c>
    </row>
    <row r="316" spans="1:14" ht="14.4" customHeight="1" x14ac:dyDescent="0.3">
      <c r="A316" s="632" t="s">
        <v>499</v>
      </c>
      <c r="B316" s="633" t="s">
        <v>501</v>
      </c>
      <c r="C316" s="634" t="s">
        <v>511</v>
      </c>
      <c r="D316" s="635" t="s">
        <v>512</v>
      </c>
      <c r="E316" s="634" t="s">
        <v>502</v>
      </c>
      <c r="F316" s="635" t="s">
        <v>503</v>
      </c>
      <c r="G316" s="634" t="s">
        <v>1480</v>
      </c>
      <c r="H316" s="634" t="s">
        <v>1618</v>
      </c>
      <c r="I316" s="634" t="s">
        <v>1619</v>
      </c>
      <c r="J316" s="634" t="s">
        <v>1620</v>
      </c>
      <c r="K316" s="634" t="s">
        <v>942</v>
      </c>
      <c r="L316" s="636">
        <v>151.45903416324012</v>
      </c>
      <c r="M316" s="636">
        <v>5</v>
      </c>
      <c r="N316" s="637">
        <v>757.29517081620065</v>
      </c>
    </row>
    <row r="317" spans="1:14" ht="14.4" customHeight="1" x14ac:dyDescent="0.3">
      <c r="A317" s="632" t="s">
        <v>499</v>
      </c>
      <c r="B317" s="633" t="s">
        <v>501</v>
      </c>
      <c r="C317" s="634" t="s">
        <v>511</v>
      </c>
      <c r="D317" s="635" t="s">
        <v>512</v>
      </c>
      <c r="E317" s="634" t="s">
        <v>502</v>
      </c>
      <c r="F317" s="635" t="s">
        <v>503</v>
      </c>
      <c r="G317" s="634" t="s">
        <v>1480</v>
      </c>
      <c r="H317" s="634" t="s">
        <v>1621</v>
      </c>
      <c r="I317" s="634" t="s">
        <v>1622</v>
      </c>
      <c r="J317" s="634" t="s">
        <v>1623</v>
      </c>
      <c r="K317" s="634" t="s">
        <v>1624</v>
      </c>
      <c r="L317" s="636">
        <v>23.9702435110495</v>
      </c>
      <c r="M317" s="636">
        <v>2</v>
      </c>
      <c r="N317" s="637">
        <v>47.940487022098999</v>
      </c>
    </row>
    <row r="318" spans="1:14" ht="14.4" customHeight="1" x14ac:dyDescent="0.3">
      <c r="A318" s="632" t="s">
        <v>499</v>
      </c>
      <c r="B318" s="633" t="s">
        <v>501</v>
      </c>
      <c r="C318" s="634" t="s">
        <v>511</v>
      </c>
      <c r="D318" s="635" t="s">
        <v>512</v>
      </c>
      <c r="E318" s="634" t="s">
        <v>502</v>
      </c>
      <c r="F318" s="635" t="s">
        <v>503</v>
      </c>
      <c r="G318" s="634" t="s">
        <v>1480</v>
      </c>
      <c r="H318" s="634" t="s">
        <v>1625</v>
      </c>
      <c r="I318" s="634" t="s">
        <v>1626</v>
      </c>
      <c r="J318" s="634" t="s">
        <v>1627</v>
      </c>
      <c r="K318" s="634" t="s">
        <v>1399</v>
      </c>
      <c r="L318" s="636">
        <v>36.269999978650873</v>
      </c>
      <c r="M318" s="636">
        <v>7</v>
      </c>
      <c r="N318" s="637">
        <v>253.88999985055611</v>
      </c>
    </row>
    <row r="319" spans="1:14" ht="14.4" customHeight="1" x14ac:dyDescent="0.3">
      <c r="A319" s="632" t="s">
        <v>499</v>
      </c>
      <c r="B319" s="633" t="s">
        <v>501</v>
      </c>
      <c r="C319" s="634" t="s">
        <v>511</v>
      </c>
      <c r="D319" s="635" t="s">
        <v>512</v>
      </c>
      <c r="E319" s="634" t="s">
        <v>502</v>
      </c>
      <c r="F319" s="635" t="s">
        <v>503</v>
      </c>
      <c r="G319" s="634" t="s">
        <v>1480</v>
      </c>
      <c r="H319" s="634" t="s">
        <v>1628</v>
      </c>
      <c r="I319" s="634" t="s">
        <v>1629</v>
      </c>
      <c r="J319" s="634" t="s">
        <v>1630</v>
      </c>
      <c r="K319" s="634" t="s">
        <v>1497</v>
      </c>
      <c r="L319" s="636">
        <v>64.606000000000023</v>
      </c>
      <c r="M319" s="636">
        <v>5</v>
      </c>
      <c r="N319" s="637">
        <v>323.03000000000009</v>
      </c>
    </row>
    <row r="320" spans="1:14" ht="14.4" customHeight="1" x14ac:dyDescent="0.3">
      <c r="A320" s="632" t="s">
        <v>499</v>
      </c>
      <c r="B320" s="633" t="s">
        <v>501</v>
      </c>
      <c r="C320" s="634" t="s">
        <v>511</v>
      </c>
      <c r="D320" s="635" t="s">
        <v>512</v>
      </c>
      <c r="E320" s="634" t="s">
        <v>502</v>
      </c>
      <c r="F320" s="635" t="s">
        <v>503</v>
      </c>
      <c r="G320" s="634" t="s">
        <v>1480</v>
      </c>
      <c r="H320" s="634" t="s">
        <v>1631</v>
      </c>
      <c r="I320" s="634" t="s">
        <v>1632</v>
      </c>
      <c r="J320" s="634" t="s">
        <v>1633</v>
      </c>
      <c r="K320" s="634" t="s">
        <v>1634</v>
      </c>
      <c r="L320" s="636">
        <v>26.084999999999997</v>
      </c>
      <c r="M320" s="636">
        <v>6</v>
      </c>
      <c r="N320" s="637">
        <v>156.51</v>
      </c>
    </row>
    <row r="321" spans="1:14" ht="14.4" customHeight="1" x14ac:dyDescent="0.3">
      <c r="A321" s="632" t="s">
        <v>499</v>
      </c>
      <c r="B321" s="633" t="s">
        <v>501</v>
      </c>
      <c r="C321" s="634" t="s">
        <v>511</v>
      </c>
      <c r="D321" s="635" t="s">
        <v>512</v>
      </c>
      <c r="E321" s="634" t="s">
        <v>502</v>
      </c>
      <c r="F321" s="635" t="s">
        <v>503</v>
      </c>
      <c r="G321" s="634" t="s">
        <v>1480</v>
      </c>
      <c r="H321" s="634" t="s">
        <v>1635</v>
      </c>
      <c r="I321" s="634" t="s">
        <v>1636</v>
      </c>
      <c r="J321" s="634" t="s">
        <v>1637</v>
      </c>
      <c r="K321" s="634" t="s">
        <v>1360</v>
      </c>
      <c r="L321" s="636">
        <v>46.219624648662929</v>
      </c>
      <c r="M321" s="636">
        <v>2</v>
      </c>
      <c r="N321" s="637">
        <v>92.439249297325858</v>
      </c>
    </row>
    <row r="322" spans="1:14" ht="14.4" customHeight="1" x14ac:dyDescent="0.3">
      <c r="A322" s="632" t="s">
        <v>499</v>
      </c>
      <c r="B322" s="633" t="s">
        <v>501</v>
      </c>
      <c r="C322" s="634" t="s">
        <v>511</v>
      </c>
      <c r="D322" s="635" t="s">
        <v>512</v>
      </c>
      <c r="E322" s="634" t="s">
        <v>502</v>
      </c>
      <c r="F322" s="635" t="s">
        <v>503</v>
      </c>
      <c r="G322" s="634" t="s">
        <v>1480</v>
      </c>
      <c r="H322" s="634" t="s">
        <v>1638</v>
      </c>
      <c r="I322" s="634" t="s">
        <v>1639</v>
      </c>
      <c r="J322" s="634" t="s">
        <v>1640</v>
      </c>
      <c r="K322" s="634" t="s">
        <v>1641</v>
      </c>
      <c r="L322" s="636">
        <v>65.459999999999965</v>
      </c>
      <c r="M322" s="636">
        <v>2</v>
      </c>
      <c r="N322" s="637">
        <v>130.91999999999993</v>
      </c>
    </row>
    <row r="323" spans="1:14" ht="14.4" customHeight="1" x14ac:dyDescent="0.3">
      <c r="A323" s="632" t="s">
        <v>499</v>
      </c>
      <c r="B323" s="633" t="s">
        <v>501</v>
      </c>
      <c r="C323" s="634" t="s">
        <v>511</v>
      </c>
      <c r="D323" s="635" t="s">
        <v>512</v>
      </c>
      <c r="E323" s="634" t="s">
        <v>502</v>
      </c>
      <c r="F323" s="635" t="s">
        <v>503</v>
      </c>
      <c r="G323" s="634" t="s">
        <v>1480</v>
      </c>
      <c r="H323" s="634" t="s">
        <v>1642</v>
      </c>
      <c r="I323" s="634" t="s">
        <v>1642</v>
      </c>
      <c r="J323" s="634" t="s">
        <v>1643</v>
      </c>
      <c r="K323" s="634" t="s">
        <v>1644</v>
      </c>
      <c r="L323" s="636">
        <v>1200.1100000000001</v>
      </c>
      <c r="M323" s="636">
        <v>1</v>
      </c>
      <c r="N323" s="637">
        <v>1200.1100000000001</v>
      </c>
    </row>
    <row r="324" spans="1:14" ht="14.4" customHeight="1" x14ac:dyDescent="0.3">
      <c r="A324" s="632" t="s">
        <v>499</v>
      </c>
      <c r="B324" s="633" t="s">
        <v>501</v>
      </c>
      <c r="C324" s="634" t="s">
        <v>511</v>
      </c>
      <c r="D324" s="635" t="s">
        <v>512</v>
      </c>
      <c r="E324" s="634" t="s">
        <v>502</v>
      </c>
      <c r="F324" s="635" t="s">
        <v>503</v>
      </c>
      <c r="G324" s="634" t="s">
        <v>1480</v>
      </c>
      <c r="H324" s="634" t="s">
        <v>1645</v>
      </c>
      <c r="I324" s="634" t="s">
        <v>1646</v>
      </c>
      <c r="J324" s="634" t="s">
        <v>1647</v>
      </c>
      <c r="K324" s="634" t="s">
        <v>1648</v>
      </c>
      <c r="L324" s="636">
        <v>121.53964930926665</v>
      </c>
      <c r="M324" s="636">
        <v>1</v>
      </c>
      <c r="N324" s="637">
        <v>121.53964930926665</v>
      </c>
    </row>
    <row r="325" spans="1:14" ht="14.4" customHeight="1" x14ac:dyDescent="0.3">
      <c r="A325" s="632" t="s">
        <v>499</v>
      </c>
      <c r="B325" s="633" t="s">
        <v>501</v>
      </c>
      <c r="C325" s="634" t="s">
        <v>511</v>
      </c>
      <c r="D325" s="635" t="s">
        <v>512</v>
      </c>
      <c r="E325" s="634" t="s">
        <v>502</v>
      </c>
      <c r="F325" s="635" t="s">
        <v>503</v>
      </c>
      <c r="G325" s="634" t="s">
        <v>1480</v>
      </c>
      <c r="H325" s="634" t="s">
        <v>1649</v>
      </c>
      <c r="I325" s="634" t="s">
        <v>1650</v>
      </c>
      <c r="J325" s="634" t="s">
        <v>1651</v>
      </c>
      <c r="K325" s="634" t="s">
        <v>1652</v>
      </c>
      <c r="L325" s="636">
        <v>52.81</v>
      </c>
      <c r="M325" s="636">
        <v>3</v>
      </c>
      <c r="N325" s="637">
        <v>158.43</v>
      </c>
    </row>
    <row r="326" spans="1:14" ht="14.4" customHeight="1" x14ac:dyDescent="0.3">
      <c r="A326" s="632" t="s">
        <v>499</v>
      </c>
      <c r="B326" s="633" t="s">
        <v>501</v>
      </c>
      <c r="C326" s="634" t="s">
        <v>511</v>
      </c>
      <c r="D326" s="635" t="s">
        <v>512</v>
      </c>
      <c r="E326" s="634" t="s">
        <v>502</v>
      </c>
      <c r="F326" s="635" t="s">
        <v>503</v>
      </c>
      <c r="G326" s="634" t="s">
        <v>1480</v>
      </c>
      <c r="H326" s="634" t="s">
        <v>1653</v>
      </c>
      <c r="I326" s="634" t="s">
        <v>1654</v>
      </c>
      <c r="J326" s="634" t="s">
        <v>1655</v>
      </c>
      <c r="K326" s="634" t="s">
        <v>1656</v>
      </c>
      <c r="L326" s="636">
        <v>714.45</v>
      </c>
      <c r="M326" s="636">
        <v>10</v>
      </c>
      <c r="N326" s="637">
        <v>7144.5</v>
      </c>
    </row>
    <row r="327" spans="1:14" ht="14.4" customHeight="1" x14ac:dyDescent="0.3">
      <c r="A327" s="632" t="s">
        <v>499</v>
      </c>
      <c r="B327" s="633" t="s">
        <v>501</v>
      </c>
      <c r="C327" s="634" t="s">
        <v>511</v>
      </c>
      <c r="D327" s="635" t="s">
        <v>512</v>
      </c>
      <c r="E327" s="634" t="s">
        <v>502</v>
      </c>
      <c r="F327" s="635" t="s">
        <v>503</v>
      </c>
      <c r="G327" s="634" t="s">
        <v>1480</v>
      </c>
      <c r="H327" s="634" t="s">
        <v>1657</v>
      </c>
      <c r="I327" s="634" t="s">
        <v>1658</v>
      </c>
      <c r="J327" s="634" t="s">
        <v>1659</v>
      </c>
      <c r="K327" s="634" t="s">
        <v>1660</v>
      </c>
      <c r="L327" s="636">
        <v>869.27000000000044</v>
      </c>
      <c r="M327" s="636">
        <v>1</v>
      </c>
      <c r="N327" s="637">
        <v>869.27000000000044</v>
      </c>
    </row>
    <row r="328" spans="1:14" ht="14.4" customHeight="1" x14ac:dyDescent="0.3">
      <c r="A328" s="632" t="s">
        <v>499</v>
      </c>
      <c r="B328" s="633" t="s">
        <v>501</v>
      </c>
      <c r="C328" s="634" t="s">
        <v>511</v>
      </c>
      <c r="D328" s="635" t="s">
        <v>512</v>
      </c>
      <c r="E328" s="634" t="s">
        <v>502</v>
      </c>
      <c r="F328" s="635" t="s">
        <v>503</v>
      </c>
      <c r="G328" s="634" t="s">
        <v>1480</v>
      </c>
      <c r="H328" s="634" t="s">
        <v>1661</v>
      </c>
      <c r="I328" s="634" t="s">
        <v>1662</v>
      </c>
      <c r="J328" s="634" t="s">
        <v>1663</v>
      </c>
      <c r="K328" s="634" t="s">
        <v>1664</v>
      </c>
      <c r="L328" s="636">
        <v>70.909999999999982</v>
      </c>
      <c r="M328" s="636">
        <v>50</v>
      </c>
      <c r="N328" s="637">
        <v>3545.4999999999991</v>
      </c>
    </row>
    <row r="329" spans="1:14" ht="14.4" customHeight="1" x14ac:dyDescent="0.3">
      <c r="A329" s="632" t="s">
        <v>499</v>
      </c>
      <c r="B329" s="633" t="s">
        <v>501</v>
      </c>
      <c r="C329" s="634" t="s">
        <v>511</v>
      </c>
      <c r="D329" s="635" t="s">
        <v>512</v>
      </c>
      <c r="E329" s="634" t="s">
        <v>502</v>
      </c>
      <c r="F329" s="635" t="s">
        <v>503</v>
      </c>
      <c r="G329" s="634" t="s">
        <v>1480</v>
      </c>
      <c r="H329" s="634" t="s">
        <v>1665</v>
      </c>
      <c r="I329" s="634" t="s">
        <v>1665</v>
      </c>
      <c r="J329" s="634" t="s">
        <v>1666</v>
      </c>
      <c r="K329" s="634" t="s">
        <v>1667</v>
      </c>
      <c r="L329" s="636">
        <v>107.86660445959767</v>
      </c>
      <c r="M329" s="636">
        <v>3</v>
      </c>
      <c r="N329" s="637">
        <v>323.59981337879299</v>
      </c>
    </row>
    <row r="330" spans="1:14" ht="14.4" customHeight="1" x14ac:dyDescent="0.3">
      <c r="A330" s="632" t="s">
        <v>499</v>
      </c>
      <c r="B330" s="633" t="s">
        <v>501</v>
      </c>
      <c r="C330" s="634" t="s">
        <v>511</v>
      </c>
      <c r="D330" s="635" t="s">
        <v>512</v>
      </c>
      <c r="E330" s="634" t="s">
        <v>502</v>
      </c>
      <c r="F330" s="635" t="s">
        <v>503</v>
      </c>
      <c r="G330" s="634" t="s">
        <v>1480</v>
      </c>
      <c r="H330" s="634" t="s">
        <v>1668</v>
      </c>
      <c r="I330" s="634" t="s">
        <v>1669</v>
      </c>
      <c r="J330" s="634" t="s">
        <v>1670</v>
      </c>
      <c r="K330" s="634" t="s">
        <v>1372</v>
      </c>
      <c r="L330" s="636">
        <v>151.63999999999996</v>
      </c>
      <c r="M330" s="636">
        <v>1</v>
      </c>
      <c r="N330" s="637">
        <v>151.63999999999996</v>
      </c>
    </row>
    <row r="331" spans="1:14" ht="14.4" customHeight="1" x14ac:dyDescent="0.3">
      <c r="A331" s="632" t="s">
        <v>499</v>
      </c>
      <c r="B331" s="633" t="s">
        <v>501</v>
      </c>
      <c r="C331" s="634" t="s">
        <v>511</v>
      </c>
      <c r="D331" s="635" t="s">
        <v>512</v>
      </c>
      <c r="E331" s="634" t="s">
        <v>502</v>
      </c>
      <c r="F331" s="635" t="s">
        <v>503</v>
      </c>
      <c r="G331" s="634" t="s">
        <v>1480</v>
      </c>
      <c r="H331" s="634" t="s">
        <v>1671</v>
      </c>
      <c r="I331" s="634" t="s">
        <v>1672</v>
      </c>
      <c r="J331" s="634" t="s">
        <v>1602</v>
      </c>
      <c r="K331" s="634" t="s">
        <v>1673</v>
      </c>
      <c r="L331" s="636">
        <v>117.13999999999999</v>
      </c>
      <c r="M331" s="636">
        <v>2</v>
      </c>
      <c r="N331" s="637">
        <v>234.27999999999997</v>
      </c>
    </row>
    <row r="332" spans="1:14" ht="14.4" customHeight="1" x14ac:dyDescent="0.3">
      <c r="A332" s="632" t="s">
        <v>499</v>
      </c>
      <c r="B332" s="633" t="s">
        <v>501</v>
      </c>
      <c r="C332" s="634" t="s">
        <v>511</v>
      </c>
      <c r="D332" s="635" t="s">
        <v>512</v>
      </c>
      <c r="E332" s="634" t="s">
        <v>502</v>
      </c>
      <c r="F332" s="635" t="s">
        <v>503</v>
      </c>
      <c r="G332" s="634" t="s">
        <v>1480</v>
      </c>
      <c r="H332" s="634" t="s">
        <v>1674</v>
      </c>
      <c r="I332" s="634" t="s">
        <v>1123</v>
      </c>
      <c r="J332" s="634" t="s">
        <v>1675</v>
      </c>
      <c r="K332" s="634" t="s">
        <v>1676</v>
      </c>
      <c r="L332" s="636">
        <v>103.28666666666668</v>
      </c>
      <c r="M332" s="636">
        <v>6</v>
      </c>
      <c r="N332" s="637">
        <v>619.72</v>
      </c>
    </row>
    <row r="333" spans="1:14" ht="14.4" customHeight="1" x14ac:dyDescent="0.3">
      <c r="A333" s="632" t="s">
        <v>499</v>
      </c>
      <c r="B333" s="633" t="s">
        <v>501</v>
      </c>
      <c r="C333" s="634" t="s">
        <v>511</v>
      </c>
      <c r="D333" s="635" t="s">
        <v>512</v>
      </c>
      <c r="E333" s="634" t="s">
        <v>502</v>
      </c>
      <c r="F333" s="635" t="s">
        <v>503</v>
      </c>
      <c r="G333" s="634" t="s">
        <v>1480</v>
      </c>
      <c r="H333" s="634" t="s">
        <v>1677</v>
      </c>
      <c r="I333" s="634" t="s">
        <v>1678</v>
      </c>
      <c r="J333" s="634" t="s">
        <v>1679</v>
      </c>
      <c r="K333" s="634" t="s">
        <v>1680</v>
      </c>
      <c r="L333" s="636">
        <v>236.47215736631074</v>
      </c>
      <c r="M333" s="636">
        <v>1</v>
      </c>
      <c r="N333" s="637">
        <v>236.47215736631074</v>
      </c>
    </row>
    <row r="334" spans="1:14" ht="14.4" customHeight="1" x14ac:dyDescent="0.3">
      <c r="A334" s="632" t="s">
        <v>499</v>
      </c>
      <c r="B334" s="633" t="s">
        <v>501</v>
      </c>
      <c r="C334" s="634" t="s">
        <v>511</v>
      </c>
      <c r="D334" s="635" t="s">
        <v>512</v>
      </c>
      <c r="E334" s="634" t="s">
        <v>502</v>
      </c>
      <c r="F334" s="635" t="s">
        <v>503</v>
      </c>
      <c r="G334" s="634" t="s">
        <v>1480</v>
      </c>
      <c r="H334" s="634" t="s">
        <v>1681</v>
      </c>
      <c r="I334" s="634" t="s">
        <v>1682</v>
      </c>
      <c r="J334" s="634" t="s">
        <v>1683</v>
      </c>
      <c r="K334" s="634" t="s">
        <v>818</v>
      </c>
      <c r="L334" s="636">
        <v>174.58071874667601</v>
      </c>
      <c r="M334" s="636">
        <v>3</v>
      </c>
      <c r="N334" s="637">
        <v>523.74215624002807</v>
      </c>
    </row>
    <row r="335" spans="1:14" ht="14.4" customHeight="1" x14ac:dyDescent="0.3">
      <c r="A335" s="632" t="s">
        <v>499</v>
      </c>
      <c r="B335" s="633" t="s">
        <v>501</v>
      </c>
      <c r="C335" s="634" t="s">
        <v>511</v>
      </c>
      <c r="D335" s="635" t="s">
        <v>512</v>
      </c>
      <c r="E335" s="634" t="s">
        <v>502</v>
      </c>
      <c r="F335" s="635" t="s">
        <v>503</v>
      </c>
      <c r="G335" s="634" t="s">
        <v>1480</v>
      </c>
      <c r="H335" s="634" t="s">
        <v>1684</v>
      </c>
      <c r="I335" s="634" t="s">
        <v>1685</v>
      </c>
      <c r="J335" s="634" t="s">
        <v>1686</v>
      </c>
      <c r="K335" s="634" t="s">
        <v>1687</v>
      </c>
      <c r="L335" s="636">
        <v>41.5732654838678</v>
      </c>
      <c r="M335" s="636">
        <v>3</v>
      </c>
      <c r="N335" s="637">
        <v>124.7197964516034</v>
      </c>
    </row>
    <row r="336" spans="1:14" ht="14.4" customHeight="1" x14ac:dyDescent="0.3">
      <c r="A336" s="632" t="s">
        <v>499</v>
      </c>
      <c r="B336" s="633" t="s">
        <v>501</v>
      </c>
      <c r="C336" s="634" t="s">
        <v>511</v>
      </c>
      <c r="D336" s="635" t="s">
        <v>512</v>
      </c>
      <c r="E336" s="634" t="s">
        <v>502</v>
      </c>
      <c r="F336" s="635" t="s">
        <v>503</v>
      </c>
      <c r="G336" s="634" t="s">
        <v>1480</v>
      </c>
      <c r="H336" s="634" t="s">
        <v>1688</v>
      </c>
      <c r="I336" s="634" t="s">
        <v>1689</v>
      </c>
      <c r="J336" s="634" t="s">
        <v>1690</v>
      </c>
      <c r="K336" s="634" t="s">
        <v>1691</v>
      </c>
      <c r="L336" s="636">
        <v>163.31</v>
      </c>
      <c r="M336" s="636">
        <v>2</v>
      </c>
      <c r="N336" s="637">
        <v>326.62</v>
      </c>
    </row>
    <row r="337" spans="1:14" ht="14.4" customHeight="1" x14ac:dyDescent="0.3">
      <c r="A337" s="632" t="s">
        <v>499</v>
      </c>
      <c r="B337" s="633" t="s">
        <v>501</v>
      </c>
      <c r="C337" s="634" t="s">
        <v>511</v>
      </c>
      <c r="D337" s="635" t="s">
        <v>512</v>
      </c>
      <c r="E337" s="634" t="s">
        <v>502</v>
      </c>
      <c r="F337" s="635" t="s">
        <v>503</v>
      </c>
      <c r="G337" s="634" t="s">
        <v>1480</v>
      </c>
      <c r="H337" s="634" t="s">
        <v>1692</v>
      </c>
      <c r="I337" s="634" t="s">
        <v>1693</v>
      </c>
      <c r="J337" s="634" t="s">
        <v>1492</v>
      </c>
      <c r="K337" s="634" t="s">
        <v>1694</v>
      </c>
      <c r="L337" s="636">
        <v>314.35000000000002</v>
      </c>
      <c r="M337" s="636">
        <v>1</v>
      </c>
      <c r="N337" s="637">
        <v>314.35000000000002</v>
      </c>
    </row>
    <row r="338" spans="1:14" ht="14.4" customHeight="1" x14ac:dyDescent="0.3">
      <c r="A338" s="632" t="s">
        <v>499</v>
      </c>
      <c r="B338" s="633" t="s">
        <v>501</v>
      </c>
      <c r="C338" s="634" t="s">
        <v>511</v>
      </c>
      <c r="D338" s="635" t="s">
        <v>512</v>
      </c>
      <c r="E338" s="634" t="s">
        <v>502</v>
      </c>
      <c r="F338" s="635" t="s">
        <v>503</v>
      </c>
      <c r="G338" s="634" t="s">
        <v>1480</v>
      </c>
      <c r="H338" s="634" t="s">
        <v>1695</v>
      </c>
      <c r="I338" s="634" t="s">
        <v>1696</v>
      </c>
      <c r="J338" s="634" t="s">
        <v>1697</v>
      </c>
      <c r="K338" s="634" t="s">
        <v>1698</v>
      </c>
      <c r="L338" s="636">
        <v>799.86</v>
      </c>
      <c r="M338" s="636">
        <v>1</v>
      </c>
      <c r="N338" s="637">
        <v>799.86</v>
      </c>
    </row>
    <row r="339" spans="1:14" ht="14.4" customHeight="1" x14ac:dyDescent="0.3">
      <c r="A339" s="632" t="s">
        <v>499</v>
      </c>
      <c r="B339" s="633" t="s">
        <v>501</v>
      </c>
      <c r="C339" s="634" t="s">
        <v>511</v>
      </c>
      <c r="D339" s="635" t="s">
        <v>512</v>
      </c>
      <c r="E339" s="634" t="s">
        <v>502</v>
      </c>
      <c r="F339" s="635" t="s">
        <v>503</v>
      </c>
      <c r="G339" s="634" t="s">
        <v>1480</v>
      </c>
      <c r="H339" s="634" t="s">
        <v>1699</v>
      </c>
      <c r="I339" s="634" t="s">
        <v>1700</v>
      </c>
      <c r="J339" s="634" t="s">
        <v>1518</v>
      </c>
      <c r="K339" s="634" t="s">
        <v>1701</v>
      </c>
      <c r="L339" s="636">
        <v>356.49948291524566</v>
      </c>
      <c r="M339" s="636">
        <v>43</v>
      </c>
      <c r="N339" s="637">
        <v>15329.477765355563</v>
      </c>
    </row>
    <row r="340" spans="1:14" ht="14.4" customHeight="1" x14ac:dyDescent="0.3">
      <c r="A340" s="632" t="s">
        <v>499</v>
      </c>
      <c r="B340" s="633" t="s">
        <v>501</v>
      </c>
      <c r="C340" s="634" t="s">
        <v>511</v>
      </c>
      <c r="D340" s="635" t="s">
        <v>512</v>
      </c>
      <c r="E340" s="634" t="s">
        <v>502</v>
      </c>
      <c r="F340" s="635" t="s">
        <v>503</v>
      </c>
      <c r="G340" s="634" t="s">
        <v>1480</v>
      </c>
      <c r="H340" s="634" t="s">
        <v>1702</v>
      </c>
      <c r="I340" s="634" t="s">
        <v>1703</v>
      </c>
      <c r="J340" s="634" t="s">
        <v>1518</v>
      </c>
      <c r="K340" s="634" t="s">
        <v>1704</v>
      </c>
      <c r="L340" s="636">
        <v>413.99883434493643</v>
      </c>
      <c r="M340" s="636">
        <v>91</v>
      </c>
      <c r="N340" s="637">
        <v>37673.893925389217</v>
      </c>
    </row>
    <row r="341" spans="1:14" ht="14.4" customHeight="1" x14ac:dyDescent="0.3">
      <c r="A341" s="632" t="s">
        <v>499</v>
      </c>
      <c r="B341" s="633" t="s">
        <v>501</v>
      </c>
      <c r="C341" s="634" t="s">
        <v>511</v>
      </c>
      <c r="D341" s="635" t="s">
        <v>512</v>
      </c>
      <c r="E341" s="634" t="s">
        <v>502</v>
      </c>
      <c r="F341" s="635" t="s">
        <v>503</v>
      </c>
      <c r="G341" s="634" t="s">
        <v>1480</v>
      </c>
      <c r="H341" s="634" t="s">
        <v>1705</v>
      </c>
      <c r="I341" s="634" t="s">
        <v>1706</v>
      </c>
      <c r="J341" s="634" t="s">
        <v>1707</v>
      </c>
      <c r="K341" s="634" t="s">
        <v>1708</v>
      </c>
      <c r="L341" s="636">
        <v>128.92948925869047</v>
      </c>
      <c r="M341" s="636">
        <v>2</v>
      </c>
      <c r="N341" s="637">
        <v>257.85897851738093</v>
      </c>
    </row>
    <row r="342" spans="1:14" ht="14.4" customHeight="1" x14ac:dyDescent="0.3">
      <c r="A342" s="632" t="s">
        <v>499</v>
      </c>
      <c r="B342" s="633" t="s">
        <v>501</v>
      </c>
      <c r="C342" s="634" t="s">
        <v>511</v>
      </c>
      <c r="D342" s="635" t="s">
        <v>512</v>
      </c>
      <c r="E342" s="634" t="s">
        <v>502</v>
      </c>
      <c r="F342" s="635" t="s">
        <v>503</v>
      </c>
      <c r="G342" s="634" t="s">
        <v>1480</v>
      </c>
      <c r="H342" s="634" t="s">
        <v>1709</v>
      </c>
      <c r="I342" s="634" t="s">
        <v>1710</v>
      </c>
      <c r="J342" s="634" t="s">
        <v>1711</v>
      </c>
      <c r="K342" s="634" t="s">
        <v>1068</v>
      </c>
      <c r="L342" s="636">
        <v>609.32999999999993</v>
      </c>
      <c r="M342" s="636">
        <v>1</v>
      </c>
      <c r="N342" s="637">
        <v>609.32999999999993</v>
      </c>
    </row>
    <row r="343" spans="1:14" ht="14.4" customHeight="1" x14ac:dyDescent="0.3">
      <c r="A343" s="632" t="s">
        <v>499</v>
      </c>
      <c r="B343" s="633" t="s">
        <v>501</v>
      </c>
      <c r="C343" s="634" t="s">
        <v>511</v>
      </c>
      <c r="D343" s="635" t="s">
        <v>512</v>
      </c>
      <c r="E343" s="634" t="s">
        <v>502</v>
      </c>
      <c r="F343" s="635" t="s">
        <v>503</v>
      </c>
      <c r="G343" s="634" t="s">
        <v>1480</v>
      </c>
      <c r="H343" s="634" t="s">
        <v>1712</v>
      </c>
      <c r="I343" s="634" t="s">
        <v>1713</v>
      </c>
      <c r="J343" s="634" t="s">
        <v>1714</v>
      </c>
      <c r="K343" s="634" t="s">
        <v>1715</v>
      </c>
      <c r="L343" s="636">
        <v>1172.72</v>
      </c>
      <c r="M343" s="636">
        <v>1</v>
      </c>
      <c r="N343" s="637">
        <v>1172.72</v>
      </c>
    </row>
    <row r="344" spans="1:14" ht="14.4" customHeight="1" x14ac:dyDescent="0.3">
      <c r="A344" s="632" t="s">
        <v>499</v>
      </c>
      <c r="B344" s="633" t="s">
        <v>501</v>
      </c>
      <c r="C344" s="634" t="s">
        <v>511</v>
      </c>
      <c r="D344" s="635" t="s">
        <v>512</v>
      </c>
      <c r="E344" s="634" t="s">
        <v>502</v>
      </c>
      <c r="F344" s="635" t="s">
        <v>503</v>
      </c>
      <c r="G344" s="634" t="s">
        <v>1480</v>
      </c>
      <c r="H344" s="634" t="s">
        <v>1716</v>
      </c>
      <c r="I344" s="634" t="s">
        <v>1717</v>
      </c>
      <c r="J344" s="634" t="s">
        <v>1718</v>
      </c>
      <c r="K344" s="634" t="s">
        <v>1719</v>
      </c>
      <c r="L344" s="636">
        <v>182.55</v>
      </c>
      <c r="M344" s="636">
        <v>1</v>
      </c>
      <c r="N344" s="637">
        <v>182.55</v>
      </c>
    </row>
    <row r="345" spans="1:14" ht="14.4" customHeight="1" x14ac:dyDescent="0.3">
      <c r="A345" s="632" t="s">
        <v>499</v>
      </c>
      <c r="B345" s="633" t="s">
        <v>501</v>
      </c>
      <c r="C345" s="634" t="s">
        <v>511</v>
      </c>
      <c r="D345" s="635" t="s">
        <v>512</v>
      </c>
      <c r="E345" s="634" t="s">
        <v>502</v>
      </c>
      <c r="F345" s="635" t="s">
        <v>503</v>
      </c>
      <c r="G345" s="634" t="s">
        <v>1480</v>
      </c>
      <c r="H345" s="634" t="s">
        <v>1720</v>
      </c>
      <c r="I345" s="634" t="s">
        <v>1721</v>
      </c>
      <c r="J345" s="634" t="s">
        <v>1722</v>
      </c>
      <c r="K345" s="634" t="s">
        <v>1723</v>
      </c>
      <c r="L345" s="636">
        <v>162.36000000000004</v>
      </c>
      <c r="M345" s="636">
        <v>3</v>
      </c>
      <c r="N345" s="637">
        <v>487.08000000000015</v>
      </c>
    </row>
    <row r="346" spans="1:14" ht="14.4" customHeight="1" x14ac:dyDescent="0.3">
      <c r="A346" s="632" t="s">
        <v>499</v>
      </c>
      <c r="B346" s="633" t="s">
        <v>501</v>
      </c>
      <c r="C346" s="634" t="s">
        <v>511</v>
      </c>
      <c r="D346" s="635" t="s">
        <v>512</v>
      </c>
      <c r="E346" s="634" t="s">
        <v>502</v>
      </c>
      <c r="F346" s="635" t="s">
        <v>503</v>
      </c>
      <c r="G346" s="634" t="s">
        <v>1480</v>
      </c>
      <c r="H346" s="634" t="s">
        <v>1724</v>
      </c>
      <c r="I346" s="634" t="s">
        <v>1725</v>
      </c>
      <c r="J346" s="634" t="s">
        <v>1726</v>
      </c>
      <c r="K346" s="634" t="s">
        <v>1727</v>
      </c>
      <c r="L346" s="636">
        <v>84.18</v>
      </c>
      <c r="M346" s="636">
        <v>2</v>
      </c>
      <c r="N346" s="637">
        <v>168.36</v>
      </c>
    </row>
    <row r="347" spans="1:14" ht="14.4" customHeight="1" x14ac:dyDescent="0.3">
      <c r="A347" s="632" t="s">
        <v>499</v>
      </c>
      <c r="B347" s="633" t="s">
        <v>501</v>
      </c>
      <c r="C347" s="634" t="s">
        <v>511</v>
      </c>
      <c r="D347" s="635" t="s">
        <v>512</v>
      </c>
      <c r="E347" s="634" t="s">
        <v>502</v>
      </c>
      <c r="F347" s="635" t="s">
        <v>503</v>
      </c>
      <c r="G347" s="634" t="s">
        <v>1480</v>
      </c>
      <c r="H347" s="634" t="s">
        <v>1728</v>
      </c>
      <c r="I347" s="634" t="s">
        <v>1728</v>
      </c>
      <c r="J347" s="634" t="s">
        <v>1577</v>
      </c>
      <c r="K347" s="634" t="s">
        <v>1729</v>
      </c>
      <c r="L347" s="636">
        <v>128.34026445579514</v>
      </c>
      <c r="M347" s="636">
        <v>2</v>
      </c>
      <c r="N347" s="637">
        <v>256.68052891159027</v>
      </c>
    </row>
    <row r="348" spans="1:14" ht="14.4" customHeight="1" x14ac:dyDescent="0.3">
      <c r="A348" s="632" t="s">
        <v>499</v>
      </c>
      <c r="B348" s="633" t="s">
        <v>501</v>
      </c>
      <c r="C348" s="634" t="s">
        <v>511</v>
      </c>
      <c r="D348" s="635" t="s">
        <v>512</v>
      </c>
      <c r="E348" s="634" t="s">
        <v>502</v>
      </c>
      <c r="F348" s="635" t="s">
        <v>503</v>
      </c>
      <c r="G348" s="634" t="s">
        <v>1480</v>
      </c>
      <c r="H348" s="634" t="s">
        <v>1730</v>
      </c>
      <c r="I348" s="634" t="s">
        <v>1731</v>
      </c>
      <c r="J348" s="634" t="s">
        <v>1732</v>
      </c>
      <c r="K348" s="634" t="s">
        <v>1497</v>
      </c>
      <c r="L348" s="636">
        <v>41.625</v>
      </c>
      <c r="M348" s="636">
        <v>6</v>
      </c>
      <c r="N348" s="637">
        <v>249.75</v>
      </c>
    </row>
    <row r="349" spans="1:14" ht="14.4" customHeight="1" x14ac:dyDescent="0.3">
      <c r="A349" s="632" t="s">
        <v>499</v>
      </c>
      <c r="B349" s="633" t="s">
        <v>501</v>
      </c>
      <c r="C349" s="634" t="s">
        <v>511</v>
      </c>
      <c r="D349" s="635" t="s">
        <v>512</v>
      </c>
      <c r="E349" s="634" t="s">
        <v>502</v>
      </c>
      <c r="F349" s="635" t="s">
        <v>503</v>
      </c>
      <c r="G349" s="634" t="s">
        <v>1480</v>
      </c>
      <c r="H349" s="634" t="s">
        <v>1733</v>
      </c>
      <c r="I349" s="634" t="s">
        <v>1734</v>
      </c>
      <c r="J349" s="634" t="s">
        <v>1735</v>
      </c>
      <c r="K349" s="634" t="s">
        <v>1736</v>
      </c>
      <c r="L349" s="636">
        <v>150.93967737231787</v>
      </c>
      <c r="M349" s="636">
        <v>1</v>
      </c>
      <c r="N349" s="637">
        <v>150.93967737231787</v>
      </c>
    </row>
    <row r="350" spans="1:14" ht="14.4" customHeight="1" x14ac:dyDescent="0.3">
      <c r="A350" s="632" t="s">
        <v>499</v>
      </c>
      <c r="B350" s="633" t="s">
        <v>501</v>
      </c>
      <c r="C350" s="634" t="s">
        <v>511</v>
      </c>
      <c r="D350" s="635" t="s">
        <v>512</v>
      </c>
      <c r="E350" s="634" t="s">
        <v>502</v>
      </c>
      <c r="F350" s="635" t="s">
        <v>503</v>
      </c>
      <c r="G350" s="634" t="s">
        <v>1480</v>
      </c>
      <c r="H350" s="634" t="s">
        <v>1737</v>
      </c>
      <c r="I350" s="634" t="s">
        <v>1737</v>
      </c>
      <c r="J350" s="634" t="s">
        <v>1738</v>
      </c>
      <c r="K350" s="634" t="s">
        <v>1739</v>
      </c>
      <c r="L350" s="636">
        <v>230.9899999999999</v>
      </c>
      <c r="M350" s="636">
        <v>1</v>
      </c>
      <c r="N350" s="637">
        <v>230.9899999999999</v>
      </c>
    </row>
    <row r="351" spans="1:14" ht="14.4" customHeight="1" x14ac:dyDescent="0.3">
      <c r="A351" s="632" t="s">
        <v>499</v>
      </c>
      <c r="B351" s="633" t="s">
        <v>501</v>
      </c>
      <c r="C351" s="634" t="s">
        <v>511</v>
      </c>
      <c r="D351" s="635" t="s">
        <v>512</v>
      </c>
      <c r="E351" s="634" t="s">
        <v>502</v>
      </c>
      <c r="F351" s="635" t="s">
        <v>503</v>
      </c>
      <c r="G351" s="634" t="s">
        <v>1480</v>
      </c>
      <c r="H351" s="634" t="s">
        <v>1740</v>
      </c>
      <c r="I351" s="634" t="s">
        <v>1741</v>
      </c>
      <c r="J351" s="634" t="s">
        <v>1742</v>
      </c>
      <c r="K351" s="634" t="s">
        <v>1743</v>
      </c>
      <c r="L351" s="636">
        <v>230.24</v>
      </c>
      <c r="M351" s="636">
        <v>1</v>
      </c>
      <c r="N351" s="637">
        <v>230.24</v>
      </c>
    </row>
    <row r="352" spans="1:14" ht="14.4" customHeight="1" x14ac:dyDescent="0.3">
      <c r="A352" s="632" t="s">
        <v>499</v>
      </c>
      <c r="B352" s="633" t="s">
        <v>501</v>
      </c>
      <c r="C352" s="634" t="s">
        <v>511</v>
      </c>
      <c r="D352" s="635" t="s">
        <v>512</v>
      </c>
      <c r="E352" s="634" t="s">
        <v>502</v>
      </c>
      <c r="F352" s="635" t="s">
        <v>503</v>
      </c>
      <c r="G352" s="634" t="s">
        <v>1480</v>
      </c>
      <c r="H352" s="634" t="s">
        <v>1744</v>
      </c>
      <c r="I352" s="634" t="s">
        <v>1744</v>
      </c>
      <c r="J352" s="634" t="s">
        <v>1514</v>
      </c>
      <c r="K352" s="634" t="s">
        <v>1745</v>
      </c>
      <c r="L352" s="636">
        <v>103.97</v>
      </c>
      <c r="M352" s="636">
        <v>1</v>
      </c>
      <c r="N352" s="637">
        <v>103.97</v>
      </c>
    </row>
    <row r="353" spans="1:14" ht="14.4" customHeight="1" x14ac:dyDescent="0.3">
      <c r="A353" s="632" t="s">
        <v>499</v>
      </c>
      <c r="B353" s="633" t="s">
        <v>501</v>
      </c>
      <c r="C353" s="634" t="s">
        <v>511</v>
      </c>
      <c r="D353" s="635" t="s">
        <v>512</v>
      </c>
      <c r="E353" s="634" t="s">
        <v>504</v>
      </c>
      <c r="F353" s="635" t="s">
        <v>505</v>
      </c>
      <c r="G353" s="634" t="s">
        <v>532</v>
      </c>
      <c r="H353" s="634" t="s">
        <v>1746</v>
      </c>
      <c r="I353" s="634" t="s">
        <v>1747</v>
      </c>
      <c r="J353" s="634" t="s">
        <v>1748</v>
      </c>
      <c r="K353" s="634" t="s">
        <v>1749</v>
      </c>
      <c r="L353" s="636">
        <v>2332.29</v>
      </c>
      <c r="M353" s="636">
        <v>1</v>
      </c>
      <c r="N353" s="637">
        <v>2332.29</v>
      </c>
    </row>
    <row r="354" spans="1:14" ht="14.4" customHeight="1" x14ac:dyDescent="0.3">
      <c r="A354" s="632" t="s">
        <v>499</v>
      </c>
      <c r="B354" s="633" t="s">
        <v>501</v>
      </c>
      <c r="C354" s="634" t="s">
        <v>511</v>
      </c>
      <c r="D354" s="635" t="s">
        <v>512</v>
      </c>
      <c r="E354" s="634" t="s">
        <v>504</v>
      </c>
      <c r="F354" s="635" t="s">
        <v>505</v>
      </c>
      <c r="G354" s="634" t="s">
        <v>532</v>
      </c>
      <c r="H354" s="634" t="s">
        <v>1750</v>
      </c>
      <c r="I354" s="634" t="s">
        <v>1751</v>
      </c>
      <c r="J354" s="634" t="s">
        <v>1752</v>
      </c>
      <c r="K354" s="634" t="s">
        <v>1753</v>
      </c>
      <c r="L354" s="636">
        <v>1735.6482703270419</v>
      </c>
      <c r="M354" s="636">
        <v>1</v>
      </c>
      <c r="N354" s="637">
        <v>1735.6482703270419</v>
      </c>
    </row>
    <row r="355" spans="1:14" ht="14.4" customHeight="1" x14ac:dyDescent="0.3">
      <c r="A355" s="632" t="s">
        <v>499</v>
      </c>
      <c r="B355" s="633" t="s">
        <v>501</v>
      </c>
      <c r="C355" s="634" t="s">
        <v>511</v>
      </c>
      <c r="D355" s="635" t="s">
        <v>512</v>
      </c>
      <c r="E355" s="634" t="s">
        <v>504</v>
      </c>
      <c r="F355" s="635" t="s">
        <v>505</v>
      </c>
      <c r="G355" s="634" t="s">
        <v>532</v>
      </c>
      <c r="H355" s="634" t="s">
        <v>1754</v>
      </c>
      <c r="I355" s="634" t="s">
        <v>246</v>
      </c>
      <c r="J355" s="634" t="s">
        <v>1755</v>
      </c>
      <c r="K355" s="634"/>
      <c r="L355" s="636">
        <v>252.9700252125742</v>
      </c>
      <c r="M355" s="636">
        <v>18</v>
      </c>
      <c r="N355" s="637">
        <v>4553.4604538263357</v>
      </c>
    </row>
    <row r="356" spans="1:14" ht="14.4" customHeight="1" x14ac:dyDescent="0.3">
      <c r="A356" s="632" t="s">
        <v>499</v>
      </c>
      <c r="B356" s="633" t="s">
        <v>501</v>
      </c>
      <c r="C356" s="634" t="s">
        <v>511</v>
      </c>
      <c r="D356" s="635" t="s">
        <v>512</v>
      </c>
      <c r="E356" s="634" t="s">
        <v>504</v>
      </c>
      <c r="F356" s="635" t="s">
        <v>505</v>
      </c>
      <c r="G356" s="634" t="s">
        <v>1480</v>
      </c>
      <c r="H356" s="634" t="s">
        <v>1756</v>
      </c>
      <c r="I356" s="634" t="s">
        <v>1757</v>
      </c>
      <c r="J356" s="634" t="s">
        <v>1758</v>
      </c>
      <c r="K356" s="634" t="s">
        <v>1759</v>
      </c>
      <c r="L356" s="636">
        <v>207.00001624617002</v>
      </c>
      <c r="M356" s="636">
        <v>41</v>
      </c>
      <c r="N356" s="637">
        <v>8487.0006660929703</v>
      </c>
    </row>
    <row r="357" spans="1:14" ht="14.4" customHeight="1" x14ac:dyDescent="0.3">
      <c r="A357" s="632" t="s">
        <v>499</v>
      </c>
      <c r="B357" s="633" t="s">
        <v>501</v>
      </c>
      <c r="C357" s="634" t="s">
        <v>511</v>
      </c>
      <c r="D357" s="635" t="s">
        <v>512</v>
      </c>
      <c r="E357" s="634" t="s">
        <v>504</v>
      </c>
      <c r="F357" s="635" t="s">
        <v>505</v>
      </c>
      <c r="G357" s="634" t="s">
        <v>1480</v>
      </c>
      <c r="H357" s="634" t="s">
        <v>1760</v>
      </c>
      <c r="I357" s="634" t="s">
        <v>1761</v>
      </c>
      <c r="J357" s="634" t="s">
        <v>1762</v>
      </c>
      <c r="K357" s="634" t="s">
        <v>1763</v>
      </c>
      <c r="L357" s="636">
        <v>198.26</v>
      </c>
      <c r="M357" s="636">
        <v>1</v>
      </c>
      <c r="N357" s="637">
        <v>198.26</v>
      </c>
    </row>
    <row r="358" spans="1:14" ht="14.4" customHeight="1" x14ac:dyDescent="0.3">
      <c r="A358" s="632" t="s">
        <v>499</v>
      </c>
      <c r="B358" s="633" t="s">
        <v>501</v>
      </c>
      <c r="C358" s="634" t="s">
        <v>511</v>
      </c>
      <c r="D358" s="635" t="s">
        <v>512</v>
      </c>
      <c r="E358" s="634" t="s">
        <v>504</v>
      </c>
      <c r="F358" s="635" t="s">
        <v>505</v>
      </c>
      <c r="G358" s="634" t="s">
        <v>1480</v>
      </c>
      <c r="H358" s="634" t="s">
        <v>1764</v>
      </c>
      <c r="I358" s="634" t="s">
        <v>1764</v>
      </c>
      <c r="J358" s="634" t="s">
        <v>1765</v>
      </c>
      <c r="K358" s="634" t="s">
        <v>1766</v>
      </c>
      <c r="L358" s="636">
        <v>183.36994874218701</v>
      </c>
      <c r="M358" s="636">
        <v>34</v>
      </c>
      <c r="N358" s="637">
        <v>6234.5782572343578</v>
      </c>
    </row>
    <row r="359" spans="1:14" ht="14.4" customHeight="1" x14ac:dyDescent="0.3">
      <c r="A359" s="632" t="s">
        <v>499</v>
      </c>
      <c r="B359" s="633" t="s">
        <v>501</v>
      </c>
      <c r="C359" s="634" t="s">
        <v>511</v>
      </c>
      <c r="D359" s="635" t="s">
        <v>512</v>
      </c>
      <c r="E359" s="634" t="s">
        <v>506</v>
      </c>
      <c r="F359" s="635" t="s">
        <v>507</v>
      </c>
      <c r="G359" s="634" t="s">
        <v>532</v>
      </c>
      <c r="H359" s="634" t="s">
        <v>1767</v>
      </c>
      <c r="I359" s="634" t="s">
        <v>1768</v>
      </c>
      <c r="J359" s="634" t="s">
        <v>1769</v>
      </c>
      <c r="K359" s="634" t="s">
        <v>1770</v>
      </c>
      <c r="L359" s="636">
        <v>39.349999999999987</v>
      </c>
      <c r="M359" s="636">
        <v>7</v>
      </c>
      <c r="N359" s="637">
        <v>275.44999999999993</v>
      </c>
    </row>
    <row r="360" spans="1:14" ht="14.4" customHeight="1" x14ac:dyDescent="0.3">
      <c r="A360" s="632" t="s">
        <v>499</v>
      </c>
      <c r="B360" s="633" t="s">
        <v>501</v>
      </c>
      <c r="C360" s="634" t="s">
        <v>511</v>
      </c>
      <c r="D360" s="635" t="s">
        <v>512</v>
      </c>
      <c r="E360" s="634" t="s">
        <v>506</v>
      </c>
      <c r="F360" s="635" t="s">
        <v>507</v>
      </c>
      <c r="G360" s="634" t="s">
        <v>532</v>
      </c>
      <c r="H360" s="634" t="s">
        <v>1771</v>
      </c>
      <c r="I360" s="634" t="s">
        <v>1772</v>
      </c>
      <c r="J360" s="634" t="s">
        <v>1773</v>
      </c>
      <c r="K360" s="634" t="s">
        <v>582</v>
      </c>
      <c r="L360" s="636">
        <v>66.129735669577798</v>
      </c>
      <c r="M360" s="636">
        <v>1</v>
      </c>
      <c r="N360" s="637">
        <v>66.129735669577798</v>
      </c>
    </row>
    <row r="361" spans="1:14" ht="14.4" customHeight="1" x14ac:dyDescent="0.3">
      <c r="A361" s="632" t="s">
        <v>499</v>
      </c>
      <c r="B361" s="633" t="s">
        <v>501</v>
      </c>
      <c r="C361" s="634" t="s">
        <v>511</v>
      </c>
      <c r="D361" s="635" t="s">
        <v>512</v>
      </c>
      <c r="E361" s="634" t="s">
        <v>506</v>
      </c>
      <c r="F361" s="635" t="s">
        <v>507</v>
      </c>
      <c r="G361" s="634" t="s">
        <v>532</v>
      </c>
      <c r="H361" s="634" t="s">
        <v>1774</v>
      </c>
      <c r="I361" s="634" t="s">
        <v>1775</v>
      </c>
      <c r="J361" s="634" t="s">
        <v>1776</v>
      </c>
      <c r="K361" s="634" t="s">
        <v>1777</v>
      </c>
      <c r="L361" s="636">
        <v>26.821727429616228</v>
      </c>
      <c r="M361" s="636">
        <v>23</v>
      </c>
      <c r="N361" s="637">
        <v>616.89973088117324</v>
      </c>
    </row>
    <row r="362" spans="1:14" ht="14.4" customHeight="1" x14ac:dyDescent="0.3">
      <c r="A362" s="632" t="s">
        <v>499</v>
      </c>
      <c r="B362" s="633" t="s">
        <v>501</v>
      </c>
      <c r="C362" s="634" t="s">
        <v>511</v>
      </c>
      <c r="D362" s="635" t="s">
        <v>512</v>
      </c>
      <c r="E362" s="634" t="s">
        <v>506</v>
      </c>
      <c r="F362" s="635" t="s">
        <v>507</v>
      </c>
      <c r="G362" s="634" t="s">
        <v>532</v>
      </c>
      <c r="H362" s="634" t="s">
        <v>1778</v>
      </c>
      <c r="I362" s="634" t="s">
        <v>1779</v>
      </c>
      <c r="J362" s="634" t="s">
        <v>1780</v>
      </c>
      <c r="K362" s="634" t="s">
        <v>1781</v>
      </c>
      <c r="L362" s="636">
        <v>33.387857123218531</v>
      </c>
      <c r="M362" s="636">
        <v>28</v>
      </c>
      <c r="N362" s="637">
        <v>934.85999945011895</v>
      </c>
    </row>
    <row r="363" spans="1:14" ht="14.4" customHeight="1" x14ac:dyDescent="0.3">
      <c r="A363" s="632" t="s">
        <v>499</v>
      </c>
      <c r="B363" s="633" t="s">
        <v>501</v>
      </c>
      <c r="C363" s="634" t="s">
        <v>511</v>
      </c>
      <c r="D363" s="635" t="s">
        <v>512</v>
      </c>
      <c r="E363" s="634" t="s">
        <v>506</v>
      </c>
      <c r="F363" s="635" t="s">
        <v>507</v>
      </c>
      <c r="G363" s="634" t="s">
        <v>532</v>
      </c>
      <c r="H363" s="634" t="s">
        <v>1782</v>
      </c>
      <c r="I363" s="634" t="s">
        <v>1783</v>
      </c>
      <c r="J363" s="634" t="s">
        <v>1784</v>
      </c>
      <c r="K363" s="634" t="s">
        <v>1785</v>
      </c>
      <c r="L363" s="636">
        <v>428.73149999999998</v>
      </c>
      <c r="M363" s="636">
        <v>2</v>
      </c>
      <c r="N363" s="637">
        <v>857.46299999999997</v>
      </c>
    </row>
    <row r="364" spans="1:14" ht="14.4" customHeight="1" x14ac:dyDescent="0.3">
      <c r="A364" s="632" t="s">
        <v>499</v>
      </c>
      <c r="B364" s="633" t="s">
        <v>501</v>
      </c>
      <c r="C364" s="634" t="s">
        <v>511</v>
      </c>
      <c r="D364" s="635" t="s">
        <v>512</v>
      </c>
      <c r="E364" s="634" t="s">
        <v>506</v>
      </c>
      <c r="F364" s="635" t="s">
        <v>507</v>
      </c>
      <c r="G364" s="634" t="s">
        <v>532</v>
      </c>
      <c r="H364" s="634" t="s">
        <v>1786</v>
      </c>
      <c r="I364" s="634" t="s">
        <v>1787</v>
      </c>
      <c r="J364" s="634" t="s">
        <v>1788</v>
      </c>
      <c r="K364" s="634" t="s">
        <v>1789</v>
      </c>
      <c r="L364" s="636">
        <v>181.798835150673</v>
      </c>
      <c r="M364" s="636">
        <v>2</v>
      </c>
      <c r="N364" s="637">
        <v>363.597670301346</v>
      </c>
    </row>
    <row r="365" spans="1:14" ht="14.4" customHeight="1" x14ac:dyDescent="0.3">
      <c r="A365" s="632" t="s">
        <v>499</v>
      </c>
      <c r="B365" s="633" t="s">
        <v>501</v>
      </c>
      <c r="C365" s="634" t="s">
        <v>511</v>
      </c>
      <c r="D365" s="635" t="s">
        <v>512</v>
      </c>
      <c r="E365" s="634" t="s">
        <v>506</v>
      </c>
      <c r="F365" s="635" t="s">
        <v>507</v>
      </c>
      <c r="G365" s="634" t="s">
        <v>532</v>
      </c>
      <c r="H365" s="634" t="s">
        <v>1790</v>
      </c>
      <c r="I365" s="634" t="s">
        <v>1791</v>
      </c>
      <c r="J365" s="634" t="s">
        <v>1792</v>
      </c>
      <c r="K365" s="634" t="s">
        <v>1793</v>
      </c>
      <c r="L365" s="636">
        <v>3768.2599999999998</v>
      </c>
      <c r="M365" s="636">
        <v>1.6666666666666701</v>
      </c>
      <c r="N365" s="637">
        <v>6280.4333333333461</v>
      </c>
    </row>
    <row r="366" spans="1:14" ht="14.4" customHeight="1" x14ac:dyDescent="0.3">
      <c r="A366" s="632" t="s">
        <v>499</v>
      </c>
      <c r="B366" s="633" t="s">
        <v>501</v>
      </c>
      <c r="C366" s="634" t="s">
        <v>511</v>
      </c>
      <c r="D366" s="635" t="s">
        <v>512</v>
      </c>
      <c r="E366" s="634" t="s">
        <v>506</v>
      </c>
      <c r="F366" s="635" t="s">
        <v>507</v>
      </c>
      <c r="G366" s="634" t="s">
        <v>532</v>
      </c>
      <c r="H366" s="634" t="s">
        <v>1794</v>
      </c>
      <c r="I366" s="634" t="s">
        <v>1794</v>
      </c>
      <c r="J366" s="634" t="s">
        <v>1795</v>
      </c>
      <c r="K366" s="634" t="s">
        <v>1796</v>
      </c>
      <c r="L366" s="636">
        <v>610.95000000000005</v>
      </c>
      <c r="M366" s="636">
        <v>2</v>
      </c>
      <c r="N366" s="637">
        <v>1221.9000000000001</v>
      </c>
    </row>
    <row r="367" spans="1:14" ht="14.4" customHeight="1" x14ac:dyDescent="0.3">
      <c r="A367" s="632" t="s">
        <v>499</v>
      </c>
      <c r="B367" s="633" t="s">
        <v>501</v>
      </c>
      <c r="C367" s="634" t="s">
        <v>511</v>
      </c>
      <c r="D367" s="635" t="s">
        <v>512</v>
      </c>
      <c r="E367" s="634" t="s">
        <v>506</v>
      </c>
      <c r="F367" s="635" t="s">
        <v>507</v>
      </c>
      <c r="G367" s="634" t="s">
        <v>532</v>
      </c>
      <c r="H367" s="634" t="s">
        <v>1797</v>
      </c>
      <c r="I367" s="634" t="s">
        <v>1798</v>
      </c>
      <c r="J367" s="634" t="s">
        <v>1799</v>
      </c>
      <c r="K367" s="634" t="s">
        <v>1800</v>
      </c>
      <c r="L367" s="636">
        <v>57.54999999999999</v>
      </c>
      <c r="M367" s="636">
        <v>3</v>
      </c>
      <c r="N367" s="637">
        <v>172.64999999999998</v>
      </c>
    </row>
    <row r="368" spans="1:14" ht="14.4" customHeight="1" x14ac:dyDescent="0.3">
      <c r="A368" s="632" t="s">
        <v>499</v>
      </c>
      <c r="B368" s="633" t="s">
        <v>501</v>
      </c>
      <c r="C368" s="634" t="s">
        <v>511</v>
      </c>
      <c r="D368" s="635" t="s">
        <v>512</v>
      </c>
      <c r="E368" s="634" t="s">
        <v>506</v>
      </c>
      <c r="F368" s="635" t="s">
        <v>507</v>
      </c>
      <c r="G368" s="634" t="s">
        <v>532</v>
      </c>
      <c r="H368" s="634" t="s">
        <v>1801</v>
      </c>
      <c r="I368" s="634" t="s">
        <v>1802</v>
      </c>
      <c r="J368" s="634" t="s">
        <v>1803</v>
      </c>
      <c r="K368" s="634" t="s">
        <v>1804</v>
      </c>
      <c r="L368" s="636">
        <v>161.91990043077701</v>
      </c>
      <c r="M368" s="636">
        <v>15</v>
      </c>
      <c r="N368" s="637">
        <v>2428.7985064616551</v>
      </c>
    </row>
    <row r="369" spans="1:14" ht="14.4" customHeight="1" x14ac:dyDescent="0.3">
      <c r="A369" s="632" t="s">
        <v>499</v>
      </c>
      <c r="B369" s="633" t="s">
        <v>501</v>
      </c>
      <c r="C369" s="634" t="s">
        <v>511</v>
      </c>
      <c r="D369" s="635" t="s">
        <v>512</v>
      </c>
      <c r="E369" s="634" t="s">
        <v>506</v>
      </c>
      <c r="F369" s="635" t="s">
        <v>507</v>
      </c>
      <c r="G369" s="634" t="s">
        <v>532</v>
      </c>
      <c r="H369" s="634" t="s">
        <v>1805</v>
      </c>
      <c r="I369" s="634" t="s">
        <v>1806</v>
      </c>
      <c r="J369" s="634" t="s">
        <v>1807</v>
      </c>
      <c r="K369" s="634" t="s">
        <v>1808</v>
      </c>
      <c r="L369" s="636">
        <v>605.26802343136205</v>
      </c>
      <c r="M369" s="636">
        <v>1.3</v>
      </c>
      <c r="N369" s="637">
        <v>786.84843046077071</v>
      </c>
    </row>
    <row r="370" spans="1:14" ht="14.4" customHeight="1" x14ac:dyDescent="0.3">
      <c r="A370" s="632" t="s">
        <v>499</v>
      </c>
      <c r="B370" s="633" t="s">
        <v>501</v>
      </c>
      <c r="C370" s="634" t="s">
        <v>511</v>
      </c>
      <c r="D370" s="635" t="s">
        <v>512</v>
      </c>
      <c r="E370" s="634" t="s">
        <v>506</v>
      </c>
      <c r="F370" s="635" t="s">
        <v>507</v>
      </c>
      <c r="G370" s="634" t="s">
        <v>532</v>
      </c>
      <c r="H370" s="634" t="s">
        <v>1809</v>
      </c>
      <c r="I370" s="634" t="s">
        <v>1810</v>
      </c>
      <c r="J370" s="634" t="s">
        <v>1811</v>
      </c>
      <c r="K370" s="634" t="s">
        <v>1812</v>
      </c>
      <c r="L370" s="636">
        <v>517.50023345085765</v>
      </c>
      <c r="M370" s="636">
        <v>1.4999999999999998</v>
      </c>
      <c r="N370" s="637">
        <v>776.25035017628636</v>
      </c>
    </row>
    <row r="371" spans="1:14" ht="14.4" customHeight="1" x14ac:dyDescent="0.3">
      <c r="A371" s="632" t="s">
        <v>499</v>
      </c>
      <c r="B371" s="633" t="s">
        <v>501</v>
      </c>
      <c r="C371" s="634" t="s">
        <v>511</v>
      </c>
      <c r="D371" s="635" t="s">
        <v>512</v>
      </c>
      <c r="E371" s="634" t="s">
        <v>506</v>
      </c>
      <c r="F371" s="635" t="s">
        <v>507</v>
      </c>
      <c r="G371" s="634" t="s">
        <v>532</v>
      </c>
      <c r="H371" s="634" t="s">
        <v>1813</v>
      </c>
      <c r="I371" s="634" t="s">
        <v>1814</v>
      </c>
      <c r="J371" s="634" t="s">
        <v>1815</v>
      </c>
      <c r="K371" s="634" t="s">
        <v>1816</v>
      </c>
      <c r="L371" s="636">
        <v>115.31014285714289</v>
      </c>
      <c r="M371" s="636">
        <v>7</v>
      </c>
      <c r="N371" s="637">
        <v>807.17100000000028</v>
      </c>
    </row>
    <row r="372" spans="1:14" ht="14.4" customHeight="1" x14ac:dyDescent="0.3">
      <c r="A372" s="632" t="s">
        <v>499</v>
      </c>
      <c r="B372" s="633" t="s">
        <v>501</v>
      </c>
      <c r="C372" s="634" t="s">
        <v>511</v>
      </c>
      <c r="D372" s="635" t="s">
        <v>512</v>
      </c>
      <c r="E372" s="634" t="s">
        <v>506</v>
      </c>
      <c r="F372" s="635" t="s">
        <v>507</v>
      </c>
      <c r="G372" s="634" t="s">
        <v>532</v>
      </c>
      <c r="H372" s="634" t="s">
        <v>1817</v>
      </c>
      <c r="I372" s="634" t="s">
        <v>1818</v>
      </c>
      <c r="J372" s="634" t="s">
        <v>1819</v>
      </c>
      <c r="K372" s="634" t="s">
        <v>1820</v>
      </c>
      <c r="L372" s="636">
        <v>155.84333333333331</v>
      </c>
      <c r="M372" s="636">
        <v>6</v>
      </c>
      <c r="N372" s="637">
        <v>935.05999999999983</v>
      </c>
    </row>
    <row r="373" spans="1:14" ht="14.4" customHeight="1" x14ac:dyDescent="0.3">
      <c r="A373" s="632" t="s">
        <v>499</v>
      </c>
      <c r="B373" s="633" t="s">
        <v>501</v>
      </c>
      <c r="C373" s="634" t="s">
        <v>511</v>
      </c>
      <c r="D373" s="635" t="s">
        <v>512</v>
      </c>
      <c r="E373" s="634" t="s">
        <v>506</v>
      </c>
      <c r="F373" s="635" t="s">
        <v>507</v>
      </c>
      <c r="G373" s="634" t="s">
        <v>532</v>
      </c>
      <c r="H373" s="634" t="s">
        <v>1821</v>
      </c>
      <c r="I373" s="634" t="s">
        <v>1821</v>
      </c>
      <c r="J373" s="634" t="s">
        <v>1822</v>
      </c>
      <c r="K373" s="634" t="s">
        <v>1823</v>
      </c>
      <c r="L373" s="636">
        <v>814.63</v>
      </c>
      <c r="M373" s="636">
        <v>1.2</v>
      </c>
      <c r="N373" s="637">
        <v>977.55599999999993</v>
      </c>
    </row>
    <row r="374" spans="1:14" ht="14.4" customHeight="1" x14ac:dyDescent="0.3">
      <c r="A374" s="632" t="s">
        <v>499</v>
      </c>
      <c r="B374" s="633" t="s">
        <v>501</v>
      </c>
      <c r="C374" s="634" t="s">
        <v>511</v>
      </c>
      <c r="D374" s="635" t="s">
        <v>512</v>
      </c>
      <c r="E374" s="634" t="s">
        <v>506</v>
      </c>
      <c r="F374" s="635" t="s">
        <v>507</v>
      </c>
      <c r="G374" s="634" t="s">
        <v>532</v>
      </c>
      <c r="H374" s="634" t="s">
        <v>1824</v>
      </c>
      <c r="I374" s="634" t="s">
        <v>1825</v>
      </c>
      <c r="J374" s="634" t="s">
        <v>1826</v>
      </c>
      <c r="K374" s="634" t="s">
        <v>1827</v>
      </c>
      <c r="L374" s="636">
        <v>246.00848410748031</v>
      </c>
      <c r="M374" s="636">
        <v>22</v>
      </c>
      <c r="N374" s="637">
        <v>5412.186650364567</v>
      </c>
    </row>
    <row r="375" spans="1:14" ht="14.4" customHeight="1" x14ac:dyDescent="0.3">
      <c r="A375" s="632" t="s">
        <v>499</v>
      </c>
      <c r="B375" s="633" t="s">
        <v>501</v>
      </c>
      <c r="C375" s="634" t="s">
        <v>511</v>
      </c>
      <c r="D375" s="635" t="s">
        <v>512</v>
      </c>
      <c r="E375" s="634" t="s">
        <v>506</v>
      </c>
      <c r="F375" s="635" t="s">
        <v>507</v>
      </c>
      <c r="G375" s="634" t="s">
        <v>532</v>
      </c>
      <c r="H375" s="634" t="s">
        <v>1828</v>
      </c>
      <c r="I375" s="634" t="s">
        <v>1829</v>
      </c>
      <c r="J375" s="634" t="s">
        <v>1830</v>
      </c>
      <c r="K375" s="634" t="s">
        <v>1831</v>
      </c>
      <c r="L375" s="636">
        <v>57.300000000000004</v>
      </c>
      <c r="M375" s="636">
        <v>3</v>
      </c>
      <c r="N375" s="637">
        <v>171.9</v>
      </c>
    </row>
    <row r="376" spans="1:14" ht="14.4" customHeight="1" x14ac:dyDescent="0.3">
      <c r="A376" s="632" t="s">
        <v>499</v>
      </c>
      <c r="B376" s="633" t="s">
        <v>501</v>
      </c>
      <c r="C376" s="634" t="s">
        <v>511</v>
      </c>
      <c r="D376" s="635" t="s">
        <v>512</v>
      </c>
      <c r="E376" s="634" t="s">
        <v>506</v>
      </c>
      <c r="F376" s="635" t="s">
        <v>507</v>
      </c>
      <c r="G376" s="634" t="s">
        <v>532</v>
      </c>
      <c r="H376" s="634" t="s">
        <v>1832</v>
      </c>
      <c r="I376" s="634" t="s">
        <v>1833</v>
      </c>
      <c r="J376" s="634" t="s">
        <v>1834</v>
      </c>
      <c r="K376" s="634" t="s">
        <v>1835</v>
      </c>
      <c r="L376" s="636">
        <v>26.209959979869314</v>
      </c>
      <c r="M376" s="636">
        <v>3</v>
      </c>
      <c r="N376" s="637">
        <v>78.629879939607946</v>
      </c>
    </row>
    <row r="377" spans="1:14" ht="14.4" customHeight="1" x14ac:dyDescent="0.3">
      <c r="A377" s="632" t="s">
        <v>499</v>
      </c>
      <c r="B377" s="633" t="s">
        <v>501</v>
      </c>
      <c r="C377" s="634" t="s">
        <v>511</v>
      </c>
      <c r="D377" s="635" t="s">
        <v>512</v>
      </c>
      <c r="E377" s="634" t="s">
        <v>506</v>
      </c>
      <c r="F377" s="635" t="s">
        <v>507</v>
      </c>
      <c r="G377" s="634" t="s">
        <v>532</v>
      </c>
      <c r="H377" s="634" t="s">
        <v>1836</v>
      </c>
      <c r="I377" s="634" t="s">
        <v>1836</v>
      </c>
      <c r="J377" s="634" t="s">
        <v>1837</v>
      </c>
      <c r="K377" s="634" t="s">
        <v>1838</v>
      </c>
      <c r="L377" s="636">
        <v>920</v>
      </c>
      <c r="M377" s="636">
        <v>1</v>
      </c>
      <c r="N377" s="637">
        <v>920</v>
      </c>
    </row>
    <row r="378" spans="1:14" ht="14.4" customHeight="1" x14ac:dyDescent="0.3">
      <c r="A378" s="632" t="s">
        <v>499</v>
      </c>
      <c r="B378" s="633" t="s">
        <v>501</v>
      </c>
      <c r="C378" s="634" t="s">
        <v>511</v>
      </c>
      <c r="D378" s="635" t="s">
        <v>512</v>
      </c>
      <c r="E378" s="634" t="s">
        <v>506</v>
      </c>
      <c r="F378" s="635" t="s">
        <v>507</v>
      </c>
      <c r="G378" s="634" t="s">
        <v>1480</v>
      </c>
      <c r="H378" s="634" t="s">
        <v>1839</v>
      </c>
      <c r="I378" s="634" t="s">
        <v>1840</v>
      </c>
      <c r="J378" s="634" t="s">
        <v>1841</v>
      </c>
      <c r="K378" s="634" t="s">
        <v>1842</v>
      </c>
      <c r="L378" s="636">
        <v>169.62928046462525</v>
      </c>
      <c r="M378" s="636">
        <v>24</v>
      </c>
      <c r="N378" s="637">
        <v>4071.1027311510061</v>
      </c>
    </row>
    <row r="379" spans="1:14" ht="14.4" customHeight="1" x14ac:dyDescent="0.3">
      <c r="A379" s="632" t="s">
        <v>499</v>
      </c>
      <c r="B379" s="633" t="s">
        <v>501</v>
      </c>
      <c r="C379" s="634" t="s">
        <v>511</v>
      </c>
      <c r="D379" s="635" t="s">
        <v>512</v>
      </c>
      <c r="E379" s="634" t="s">
        <v>506</v>
      </c>
      <c r="F379" s="635" t="s">
        <v>507</v>
      </c>
      <c r="G379" s="634" t="s">
        <v>1480</v>
      </c>
      <c r="H379" s="634" t="s">
        <v>1843</v>
      </c>
      <c r="I379" s="634" t="s">
        <v>1844</v>
      </c>
      <c r="J379" s="634" t="s">
        <v>1845</v>
      </c>
      <c r="K379" s="634" t="s">
        <v>1846</v>
      </c>
      <c r="L379" s="636">
        <v>88.59999999999998</v>
      </c>
      <c r="M379" s="636">
        <v>12</v>
      </c>
      <c r="N379" s="637">
        <v>1063.1999999999998</v>
      </c>
    </row>
    <row r="380" spans="1:14" ht="14.4" customHeight="1" x14ac:dyDescent="0.3">
      <c r="A380" s="632" t="s">
        <v>499</v>
      </c>
      <c r="B380" s="633" t="s">
        <v>501</v>
      </c>
      <c r="C380" s="634" t="s">
        <v>511</v>
      </c>
      <c r="D380" s="635" t="s">
        <v>512</v>
      </c>
      <c r="E380" s="634" t="s">
        <v>506</v>
      </c>
      <c r="F380" s="635" t="s">
        <v>507</v>
      </c>
      <c r="G380" s="634" t="s">
        <v>1480</v>
      </c>
      <c r="H380" s="634" t="s">
        <v>1847</v>
      </c>
      <c r="I380" s="634" t="s">
        <v>1848</v>
      </c>
      <c r="J380" s="634" t="s">
        <v>1849</v>
      </c>
      <c r="K380" s="634" t="s">
        <v>1850</v>
      </c>
      <c r="L380" s="636">
        <v>138.13259972144215</v>
      </c>
      <c r="M380" s="636">
        <v>19</v>
      </c>
      <c r="N380" s="637">
        <v>2624.5193947074008</v>
      </c>
    </row>
    <row r="381" spans="1:14" ht="14.4" customHeight="1" x14ac:dyDescent="0.3">
      <c r="A381" s="632" t="s">
        <v>499</v>
      </c>
      <c r="B381" s="633" t="s">
        <v>501</v>
      </c>
      <c r="C381" s="634" t="s">
        <v>511</v>
      </c>
      <c r="D381" s="635" t="s">
        <v>512</v>
      </c>
      <c r="E381" s="634" t="s">
        <v>506</v>
      </c>
      <c r="F381" s="635" t="s">
        <v>507</v>
      </c>
      <c r="G381" s="634" t="s">
        <v>1480</v>
      </c>
      <c r="H381" s="634" t="s">
        <v>1851</v>
      </c>
      <c r="I381" s="634" t="s">
        <v>1852</v>
      </c>
      <c r="J381" s="634" t="s">
        <v>1853</v>
      </c>
      <c r="K381" s="634" t="s">
        <v>1850</v>
      </c>
      <c r="L381" s="636">
        <v>57.37</v>
      </c>
      <c r="M381" s="636">
        <v>4</v>
      </c>
      <c r="N381" s="637">
        <v>229.48</v>
      </c>
    </row>
    <row r="382" spans="1:14" ht="14.4" customHeight="1" x14ac:dyDescent="0.3">
      <c r="A382" s="632" t="s">
        <v>499</v>
      </c>
      <c r="B382" s="633" t="s">
        <v>501</v>
      </c>
      <c r="C382" s="634" t="s">
        <v>511</v>
      </c>
      <c r="D382" s="635" t="s">
        <v>512</v>
      </c>
      <c r="E382" s="634" t="s">
        <v>506</v>
      </c>
      <c r="F382" s="635" t="s">
        <v>507</v>
      </c>
      <c r="G382" s="634" t="s">
        <v>1480</v>
      </c>
      <c r="H382" s="634" t="s">
        <v>1854</v>
      </c>
      <c r="I382" s="634" t="s">
        <v>1855</v>
      </c>
      <c r="J382" s="634" t="s">
        <v>1856</v>
      </c>
      <c r="K382" s="634" t="s">
        <v>1857</v>
      </c>
      <c r="L382" s="636">
        <v>153.59002419276396</v>
      </c>
      <c r="M382" s="636">
        <v>15</v>
      </c>
      <c r="N382" s="637">
        <v>2303.8503628914596</v>
      </c>
    </row>
    <row r="383" spans="1:14" ht="14.4" customHeight="1" x14ac:dyDescent="0.3">
      <c r="A383" s="632" t="s">
        <v>499</v>
      </c>
      <c r="B383" s="633" t="s">
        <v>501</v>
      </c>
      <c r="C383" s="634" t="s">
        <v>511</v>
      </c>
      <c r="D383" s="635" t="s">
        <v>512</v>
      </c>
      <c r="E383" s="634" t="s">
        <v>506</v>
      </c>
      <c r="F383" s="635" t="s">
        <v>507</v>
      </c>
      <c r="G383" s="634" t="s">
        <v>1480</v>
      </c>
      <c r="H383" s="634" t="s">
        <v>1858</v>
      </c>
      <c r="I383" s="634" t="s">
        <v>1859</v>
      </c>
      <c r="J383" s="634" t="s">
        <v>1860</v>
      </c>
      <c r="K383" s="634" t="s">
        <v>1861</v>
      </c>
      <c r="L383" s="636">
        <v>55.550121138426576</v>
      </c>
      <c r="M383" s="636">
        <v>5</v>
      </c>
      <c r="N383" s="637">
        <v>277.75060569213286</v>
      </c>
    </row>
    <row r="384" spans="1:14" ht="14.4" customHeight="1" x14ac:dyDescent="0.3">
      <c r="A384" s="632" t="s">
        <v>499</v>
      </c>
      <c r="B384" s="633" t="s">
        <v>501</v>
      </c>
      <c r="C384" s="634" t="s">
        <v>511</v>
      </c>
      <c r="D384" s="635" t="s">
        <v>512</v>
      </c>
      <c r="E384" s="634" t="s">
        <v>506</v>
      </c>
      <c r="F384" s="635" t="s">
        <v>507</v>
      </c>
      <c r="G384" s="634" t="s">
        <v>1480</v>
      </c>
      <c r="H384" s="634" t="s">
        <v>1862</v>
      </c>
      <c r="I384" s="634" t="s">
        <v>1863</v>
      </c>
      <c r="J384" s="634" t="s">
        <v>1864</v>
      </c>
      <c r="K384" s="634" t="s">
        <v>1865</v>
      </c>
      <c r="L384" s="636">
        <v>124.54159999999996</v>
      </c>
      <c r="M384" s="636">
        <v>14.999999999999995</v>
      </c>
      <c r="N384" s="637">
        <v>1868.1239999999987</v>
      </c>
    </row>
    <row r="385" spans="1:14" ht="14.4" customHeight="1" x14ac:dyDescent="0.3">
      <c r="A385" s="632" t="s">
        <v>499</v>
      </c>
      <c r="B385" s="633" t="s">
        <v>501</v>
      </c>
      <c r="C385" s="634" t="s">
        <v>511</v>
      </c>
      <c r="D385" s="635" t="s">
        <v>512</v>
      </c>
      <c r="E385" s="634" t="s">
        <v>506</v>
      </c>
      <c r="F385" s="635" t="s">
        <v>507</v>
      </c>
      <c r="G385" s="634" t="s">
        <v>1480</v>
      </c>
      <c r="H385" s="634" t="s">
        <v>1866</v>
      </c>
      <c r="I385" s="634" t="s">
        <v>1867</v>
      </c>
      <c r="J385" s="634" t="s">
        <v>1868</v>
      </c>
      <c r="K385" s="634" t="s">
        <v>1869</v>
      </c>
      <c r="L385" s="636">
        <v>75.22</v>
      </c>
      <c r="M385" s="636">
        <v>30</v>
      </c>
      <c r="N385" s="637">
        <v>2256.6</v>
      </c>
    </row>
    <row r="386" spans="1:14" ht="14.4" customHeight="1" x14ac:dyDescent="0.3">
      <c r="A386" s="632" t="s">
        <v>499</v>
      </c>
      <c r="B386" s="633" t="s">
        <v>501</v>
      </c>
      <c r="C386" s="634" t="s">
        <v>511</v>
      </c>
      <c r="D386" s="635" t="s">
        <v>512</v>
      </c>
      <c r="E386" s="634" t="s">
        <v>506</v>
      </c>
      <c r="F386" s="635" t="s">
        <v>507</v>
      </c>
      <c r="G386" s="634" t="s">
        <v>1480</v>
      </c>
      <c r="H386" s="634" t="s">
        <v>1870</v>
      </c>
      <c r="I386" s="634" t="s">
        <v>1871</v>
      </c>
      <c r="J386" s="634" t="s">
        <v>1872</v>
      </c>
      <c r="K386" s="634" t="s">
        <v>1873</v>
      </c>
      <c r="L386" s="636">
        <v>120.43000000000002</v>
      </c>
      <c r="M386" s="636">
        <v>2</v>
      </c>
      <c r="N386" s="637">
        <v>240.86000000000004</v>
      </c>
    </row>
    <row r="387" spans="1:14" ht="14.4" customHeight="1" x14ac:dyDescent="0.3">
      <c r="A387" s="632" t="s">
        <v>499</v>
      </c>
      <c r="B387" s="633" t="s">
        <v>501</v>
      </c>
      <c r="C387" s="634" t="s">
        <v>511</v>
      </c>
      <c r="D387" s="635" t="s">
        <v>512</v>
      </c>
      <c r="E387" s="634" t="s">
        <v>506</v>
      </c>
      <c r="F387" s="635" t="s">
        <v>507</v>
      </c>
      <c r="G387" s="634" t="s">
        <v>1480</v>
      </c>
      <c r="H387" s="634" t="s">
        <v>1874</v>
      </c>
      <c r="I387" s="634" t="s">
        <v>1875</v>
      </c>
      <c r="J387" s="634" t="s">
        <v>1876</v>
      </c>
      <c r="K387" s="634" t="s">
        <v>1877</v>
      </c>
      <c r="L387" s="636">
        <v>190.15999999999994</v>
      </c>
      <c r="M387" s="636">
        <v>2</v>
      </c>
      <c r="N387" s="637">
        <v>380.31999999999988</v>
      </c>
    </row>
    <row r="388" spans="1:14" ht="14.4" customHeight="1" x14ac:dyDescent="0.3">
      <c r="A388" s="632" t="s">
        <v>499</v>
      </c>
      <c r="B388" s="633" t="s">
        <v>501</v>
      </c>
      <c r="C388" s="634" t="s">
        <v>511</v>
      </c>
      <c r="D388" s="635" t="s">
        <v>512</v>
      </c>
      <c r="E388" s="634" t="s">
        <v>506</v>
      </c>
      <c r="F388" s="635" t="s">
        <v>507</v>
      </c>
      <c r="G388" s="634" t="s">
        <v>1480</v>
      </c>
      <c r="H388" s="634" t="s">
        <v>1878</v>
      </c>
      <c r="I388" s="634" t="s">
        <v>1879</v>
      </c>
      <c r="J388" s="634" t="s">
        <v>1880</v>
      </c>
      <c r="K388" s="634" t="s">
        <v>1881</v>
      </c>
      <c r="L388" s="636">
        <v>83.729947548139265</v>
      </c>
      <c r="M388" s="636">
        <v>4</v>
      </c>
      <c r="N388" s="637">
        <v>334.91979019255706</v>
      </c>
    </row>
    <row r="389" spans="1:14" ht="14.4" customHeight="1" x14ac:dyDescent="0.3">
      <c r="A389" s="632" t="s">
        <v>499</v>
      </c>
      <c r="B389" s="633" t="s">
        <v>501</v>
      </c>
      <c r="C389" s="634" t="s">
        <v>511</v>
      </c>
      <c r="D389" s="635" t="s">
        <v>512</v>
      </c>
      <c r="E389" s="634" t="s">
        <v>508</v>
      </c>
      <c r="F389" s="635" t="s">
        <v>509</v>
      </c>
      <c r="G389" s="634" t="s">
        <v>532</v>
      </c>
      <c r="H389" s="634" t="s">
        <v>1882</v>
      </c>
      <c r="I389" s="634" t="s">
        <v>1883</v>
      </c>
      <c r="J389" s="634" t="s">
        <v>1884</v>
      </c>
      <c r="K389" s="634" t="s">
        <v>1885</v>
      </c>
      <c r="L389" s="636">
        <v>86.84</v>
      </c>
      <c r="M389" s="636">
        <v>7</v>
      </c>
      <c r="N389" s="637">
        <v>607.88</v>
      </c>
    </row>
    <row r="390" spans="1:14" ht="14.4" customHeight="1" x14ac:dyDescent="0.3">
      <c r="A390" s="632" t="s">
        <v>499</v>
      </c>
      <c r="B390" s="633" t="s">
        <v>501</v>
      </c>
      <c r="C390" s="634" t="s">
        <v>511</v>
      </c>
      <c r="D390" s="635" t="s">
        <v>512</v>
      </c>
      <c r="E390" s="634" t="s">
        <v>508</v>
      </c>
      <c r="F390" s="635" t="s">
        <v>509</v>
      </c>
      <c r="G390" s="634" t="s">
        <v>532</v>
      </c>
      <c r="H390" s="634" t="s">
        <v>1886</v>
      </c>
      <c r="I390" s="634" t="s">
        <v>1887</v>
      </c>
      <c r="J390" s="634" t="s">
        <v>1888</v>
      </c>
      <c r="K390" s="634" t="s">
        <v>1889</v>
      </c>
      <c r="L390" s="636">
        <v>76.204447150298392</v>
      </c>
      <c r="M390" s="636">
        <v>9</v>
      </c>
      <c r="N390" s="637">
        <v>685.84002435268553</v>
      </c>
    </row>
    <row r="391" spans="1:14" ht="14.4" customHeight="1" x14ac:dyDescent="0.3">
      <c r="A391" s="632" t="s">
        <v>499</v>
      </c>
      <c r="B391" s="633" t="s">
        <v>501</v>
      </c>
      <c r="C391" s="634" t="s">
        <v>511</v>
      </c>
      <c r="D391" s="635" t="s">
        <v>512</v>
      </c>
      <c r="E391" s="634" t="s">
        <v>508</v>
      </c>
      <c r="F391" s="635" t="s">
        <v>509</v>
      </c>
      <c r="G391" s="634" t="s">
        <v>532</v>
      </c>
      <c r="H391" s="634" t="s">
        <v>1890</v>
      </c>
      <c r="I391" s="634" t="s">
        <v>1891</v>
      </c>
      <c r="J391" s="634" t="s">
        <v>1892</v>
      </c>
      <c r="K391" s="634" t="s">
        <v>1893</v>
      </c>
      <c r="L391" s="636">
        <v>90.404086181222638</v>
      </c>
      <c r="M391" s="636">
        <v>26</v>
      </c>
      <c r="N391" s="637">
        <v>2350.5062407117885</v>
      </c>
    </row>
    <row r="392" spans="1:14" ht="14.4" customHeight="1" x14ac:dyDescent="0.3">
      <c r="A392" s="632" t="s">
        <v>499</v>
      </c>
      <c r="B392" s="633" t="s">
        <v>501</v>
      </c>
      <c r="C392" s="634" t="s">
        <v>511</v>
      </c>
      <c r="D392" s="635" t="s">
        <v>512</v>
      </c>
      <c r="E392" s="634" t="s">
        <v>508</v>
      </c>
      <c r="F392" s="635" t="s">
        <v>509</v>
      </c>
      <c r="G392" s="634" t="s">
        <v>532</v>
      </c>
      <c r="H392" s="634" t="s">
        <v>1894</v>
      </c>
      <c r="I392" s="634" t="s">
        <v>1895</v>
      </c>
      <c r="J392" s="634" t="s">
        <v>1896</v>
      </c>
      <c r="K392" s="634" t="s">
        <v>1897</v>
      </c>
      <c r="L392" s="636">
        <v>109.49327965524667</v>
      </c>
      <c r="M392" s="636">
        <v>3</v>
      </c>
      <c r="N392" s="637">
        <v>328.47983896573999</v>
      </c>
    </row>
    <row r="393" spans="1:14" ht="14.4" customHeight="1" x14ac:dyDescent="0.3">
      <c r="A393" s="632" t="s">
        <v>499</v>
      </c>
      <c r="B393" s="633" t="s">
        <v>501</v>
      </c>
      <c r="C393" s="634" t="s">
        <v>511</v>
      </c>
      <c r="D393" s="635" t="s">
        <v>512</v>
      </c>
      <c r="E393" s="634" t="s">
        <v>508</v>
      </c>
      <c r="F393" s="635" t="s">
        <v>509</v>
      </c>
      <c r="G393" s="634" t="s">
        <v>532</v>
      </c>
      <c r="H393" s="634" t="s">
        <v>1898</v>
      </c>
      <c r="I393" s="634" t="s">
        <v>1899</v>
      </c>
      <c r="J393" s="634" t="s">
        <v>1900</v>
      </c>
      <c r="K393" s="634" t="s">
        <v>1901</v>
      </c>
      <c r="L393" s="636">
        <v>107.285</v>
      </c>
      <c r="M393" s="636">
        <v>2</v>
      </c>
      <c r="N393" s="637">
        <v>214.57</v>
      </c>
    </row>
    <row r="394" spans="1:14" ht="14.4" customHeight="1" x14ac:dyDescent="0.3">
      <c r="A394" s="632" t="s">
        <v>499</v>
      </c>
      <c r="B394" s="633" t="s">
        <v>501</v>
      </c>
      <c r="C394" s="634" t="s">
        <v>511</v>
      </c>
      <c r="D394" s="635" t="s">
        <v>512</v>
      </c>
      <c r="E394" s="634" t="s">
        <v>508</v>
      </c>
      <c r="F394" s="635" t="s">
        <v>509</v>
      </c>
      <c r="G394" s="634" t="s">
        <v>532</v>
      </c>
      <c r="H394" s="634" t="s">
        <v>1902</v>
      </c>
      <c r="I394" s="634" t="s">
        <v>1903</v>
      </c>
      <c r="J394" s="634" t="s">
        <v>1904</v>
      </c>
      <c r="K394" s="634" t="s">
        <v>1905</v>
      </c>
      <c r="L394" s="636">
        <v>80.510000000000005</v>
      </c>
      <c r="M394" s="636">
        <v>6</v>
      </c>
      <c r="N394" s="637">
        <v>483.06000000000006</v>
      </c>
    </row>
    <row r="395" spans="1:14" ht="14.4" customHeight="1" x14ac:dyDescent="0.3">
      <c r="A395" s="632" t="s">
        <v>499</v>
      </c>
      <c r="B395" s="633" t="s">
        <v>501</v>
      </c>
      <c r="C395" s="634" t="s">
        <v>511</v>
      </c>
      <c r="D395" s="635" t="s">
        <v>512</v>
      </c>
      <c r="E395" s="634" t="s">
        <v>508</v>
      </c>
      <c r="F395" s="635" t="s">
        <v>509</v>
      </c>
      <c r="G395" s="634" t="s">
        <v>1480</v>
      </c>
      <c r="H395" s="634" t="s">
        <v>1906</v>
      </c>
      <c r="I395" s="634" t="s">
        <v>1907</v>
      </c>
      <c r="J395" s="634" t="s">
        <v>1908</v>
      </c>
      <c r="K395" s="634"/>
      <c r="L395" s="636">
        <v>91.71</v>
      </c>
      <c r="M395" s="636">
        <v>20</v>
      </c>
      <c r="N395" s="637">
        <v>1834.1999999999998</v>
      </c>
    </row>
    <row r="396" spans="1:14" ht="14.4" customHeight="1" x14ac:dyDescent="0.3">
      <c r="A396" s="632" t="s">
        <v>499</v>
      </c>
      <c r="B396" s="633" t="s">
        <v>501</v>
      </c>
      <c r="C396" s="634" t="s">
        <v>511</v>
      </c>
      <c r="D396" s="635" t="s">
        <v>512</v>
      </c>
      <c r="E396" s="634" t="s">
        <v>508</v>
      </c>
      <c r="F396" s="635" t="s">
        <v>509</v>
      </c>
      <c r="G396" s="634" t="s">
        <v>1480</v>
      </c>
      <c r="H396" s="634" t="s">
        <v>1909</v>
      </c>
      <c r="I396" s="634" t="s">
        <v>1910</v>
      </c>
      <c r="J396" s="634" t="s">
        <v>1911</v>
      </c>
      <c r="K396" s="634" t="s">
        <v>1912</v>
      </c>
      <c r="L396" s="636">
        <v>1831.3368272662401</v>
      </c>
      <c r="M396" s="636">
        <v>2</v>
      </c>
      <c r="N396" s="637">
        <v>3662.6736545324802</v>
      </c>
    </row>
    <row r="397" spans="1:14" ht="14.4" customHeight="1" x14ac:dyDescent="0.3">
      <c r="A397" s="632" t="s">
        <v>499</v>
      </c>
      <c r="B397" s="633" t="s">
        <v>501</v>
      </c>
      <c r="C397" s="634" t="s">
        <v>515</v>
      </c>
      <c r="D397" s="635" t="s">
        <v>516</v>
      </c>
      <c r="E397" s="634" t="s">
        <v>502</v>
      </c>
      <c r="F397" s="635" t="s">
        <v>503</v>
      </c>
      <c r="G397" s="634" t="s">
        <v>532</v>
      </c>
      <c r="H397" s="634" t="s">
        <v>533</v>
      </c>
      <c r="I397" s="634" t="s">
        <v>533</v>
      </c>
      <c r="J397" s="634" t="s">
        <v>534</v>
      </c>
      <c r="K397" s="634" t="s">
        <v>535</v>
      </c>
      <c r="L397" s="636">
        <v>179.4</v>
      </c>
      <c r="M397" s="636">
        <v>1</v>
      </c>
      <c r="N397" s="637">
        <v>179.4</v>
      </c>
    </row>
    <row r="398" spans="1:14" ht="14.4" customHeight="1" x14ac:dyDescent="0.3">
      <c r="A398" s="632" t="s">
        <v>499</v>
      </c>
      <c r="B398" s="633" t="s">
        <v>501</v>
      </c>
      <c r="C398" s="634" t="s">
        <v>515</v>
      </c>
      <c r="D398" s="635" t="s">
        <v>516</v>
      </c>
      <c r="E398" s="634" t="s">
        <v>502</v>
      </c>
      <c r="F398" s="635" t="s">
        <v>503</v>
      </c>
      <c r="G398" s="634" t="s">
        <v>532</v>
      </c>
      <c r="H398" s="634" t="s">
        <v>541</v>
      </c>
      <c r="I398" s="634" t="s">
        <v>541</v>
      </c>
      <c r="J398" s="634" t="s">
        <v>534</v>
      </c>
      <c r="K398" s="634" t="s">
        <v>542</v>
      </c>
      <c r="L398" s="636">
        <v>97.179343252930806</v>
      </c>
      <c r="M398" s="636">
        <v>1</v>
      </c>
      <c r="N398" s="637">
        <v>97.179343252930806</v>
      </c>
    </row>
    <row r="399" spans="1:14" ht="14.4" customHeight="1" x14ac:dyDescent="0.3">
      <c r="A399" s="632" t="s">
        <v>499</v>
      </c>
      <c r="B399" s="633" t="s">
        <v>501</v>
      </c>
      <c r="C399" s="634" t="s">
        <v>515</v>
      </c>
      <c r="D399" s="635" t="s">
        <v>516</v>
      </c>
      <c r="E399" s="634" t="s">
        <v>502</v>
      </c>
      <c r="F399" s="635" t="s">
        <v>503</v>
      </c>
      <c r="G399" s="634" t="s">
        <v>532</v>
      </c>
      <c r="H399" s="634" t="s">
        <v>557</v>
      </c>
      <c r="I399" s="634" t="s">
        <v>558</v>
      </c>
      <c r="J399" s="634" t="s">
        <v>555</v>
      </c>
      <c r="K399" s="634" t="s">
        <v>559</v>
      </c>
      <c r="L399" s="636">
        <v>99.738818388449118</v>
      </c>
      <c r="M399" s="636">
        <v>9</v>
      </c>
      <c r="N399" s="637">
        <v>897.64936549604204</v>
      </c>
    </row>
    <row r="400" spans="1:14" ht="14.4" customHeight="1" thickBot="1" x14ac:dyDescent="0.35">
      <c r="A400" s="638" t="s">
        <v>499</v>
      </c>
      <c r="B400" s="639" t="s">
        <v>501</v>
      </c>
      <c r="C400" s="640" t="s">
        <v>515</v>
      </c>
      <c r="D400" s="641" t="s">
        <v>516</v>
      </c>
      <c r="E400" s="640" t="s">
        <v>502</v>
      </c>
      <c r="F400" s="641" t="s">
        <v>503</v>
      </c>
      <c r="G400" s="640" t="s">
        <v>532</v>
      </c>
      <c r="H400" s="640" t="s">
        <v>861</v>
      </c>
      <c r="I400" s="640" t="s">
        <v>862</v>
      </c>
      <c r="J400" s="640" t="s">
        <v>863</v>
      </c>
      <c r="K400" s="640" t="s">
        <v>864</v>
      </c>
      <c r="L400" s="642">
        <v>44.631641199666163</v>
      </c>
      <c r="M400" s="642">
        <v>63</v>
      </c>
      <c r="N400" s="643">
        <v>2811.7933955789681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6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16384" width="8.88671875" style="260"/>
  </cols>
  <sheetData>
    <row r="1" spans="1:6" ht="37.200000000000003" customHeight="1" thickBot="1" x14ac:dyDescent="0.4">
      <c r="A1" s="493" t="s">
        <v>214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644" t="s">
        <v>190</v>
      </c>
      <c r="B4" s="645" t="s">
        <v>17</v>
      </c>
      <c r="C4" s="646" t="s">
        <v>5</v>
      </c>
      <c r="D4" s="645" t="s">
        <v>17</v>
      </c>
      <c r="E4" s="646" t="s">
        <v>5</v>
      </c>
      <c r="F4" s="647" t="s">
        <v>17</v>
      </c>
    </row>
    <row r="5" spans="1:6" ht="14.4" customHeight="1" thickBot="1" x14ac:dyDescent="0.35">
      <c r="A5" s="655" t="s">
        <v>1913</v>
      </c>
      <c r="B5" s="624">
        <v>4998.369999999999</v>
      </c>
      <c r="C5" s="648">
        <v>2.9612463502964065E-2</v>
      </c>
      <c r="D5" s="624">
        <v>163794.40873992775</v>
      </c>
      <c r="E5" s="648">
        <v>0.97038753649703591</v>
      </c>
      <c r="F5" s="625">
        <v>168792.77873992774</v>
      </c>
    </row>
    <row r="6" spans="1:6" ht="14.4" customHeight="1" thickBot="1" x14ac:dyDescent="0.35">
      <c r="A6" s="651" t="s">
        <v>6</v>
      </c>
      <c r="B6" s="652">
        <v>4998.369999999999</v>
      </c>
      <c r="C6" s="653">
        <v>2.9612463502964065E-2</v>
      </c>
      <c r="D6" s="652">
        <v>163794.40873992775</v>
      </c>
      <c r="E6" s="653">
        <v>0.97038753649703591</v>
      </c>
      <c r="F6" s="654">
        <v>168792.77873992774</v>
      </c>
    </row>
    <row r="7" spans="1:6" ht="14.4" customHeight="1" thickBot="1" x14ac:dyDescent="0.35"/>
    <row r="8" spans="1:6" ht="14.4" customHeight="1" x14ac:dyDescent="0.3">
      <c r="A8" s="661" t="s">
        <v>1914</v>
      </c>
      <c r="B8" s="630">
        <v>3413.3999999999996</v>
      </c>
      <c r="C8" s="649">
        <v>1</v>
      </c>
      <c r="D8" s="630"/>
      <c r="E8" s="649">
        <v>0</v>
      </c>
      <c r="F8" s="631">
        <v>3413.3999999999996</v>
      </c>
    </row>
    <row r="9" spans="1:6" ht="14.4" customHeight="1" x14ac:dyDescent="0.3">
      <c r="A9" s="662" t="s">
        <v>1915</v>
      </c>
      <c r="B9" s="636">
        <v>1100.9099999999999</v>
      </c>
      <c r="C9" s="657">
        <v>1</v>
      </c>
      <c r="D9" s="636"/>
      <c r="E9" s="657">
        <v>0</v>
      </c>
      <c r="F9" s="637">
        <v>1100.9099999999999</v>
      </c>
    </row>
    <row r="10" spans="1:6" ht="14.4" customHeight="1" x14ac:dyDescent="0.3">
      <c r="A10" s="662" t="s">
        <v>1916</v>
      </c>
      <c r="B10" s="636">
        <v>197.49</v>
      </c>
      <c r="C10" s="657">
        <v>1</v>
      </c>
      <c r="D10" s="636"/>
      <c r="E10" s="657">
        <v>0</v>
      </c>
      <c r="F10" s="637">
        <v>197.49</v>
      </c>
    </row>
    <row r="11" spans="1:6" ht="14.4" customHeight="1" x14ac:dyDescent="0.3">
      <c r="A11" s="662" t="s">
        <v>1917</v>
      </c>
      <c r="B11" s="636">
        <v>132.80000000000001</v>
      </c>
      <c r="C11" s="657">
        <v>1</v>
      </c>
      <c r="D11" s="636"/>
      <c r="E11" s="657">
        <v>0</v>
      </c>
      <c r="F11" s="637">
        <v>132.80000000000001</v>
      </c>
    </row>
    <row r="12" spans="1:6" ht="14.4" customHeight="1" x14ac:dyDescent="0.3">
      <c r="A12" s="662" t="s">
        <v>1918</v>
      </c>
      <c r="B12" s="636">
        <v>103.97</v>
      </c>
      <c r="C12" s="657">
        <v>0.25325775807390405</v>
      </c>
      <c r="D12" s="636">
        <v>306.56036554821014</v>
      </c>
      <c r="E12" s="657">
        <v>0.74674224192609595</v>
      </c>
      <c r="F12" s="637">
        <v>410.53036554821017</v>
      </c>
    </row>
    <row r="13" spans="1:6" ht="14.4" customHeight="1" x14ac:dyDescent="0.3">
      <c r="A13" s="662" t="s">
        <v>1919</v>
      </c>
      <c r="B13" s="636">
        <v>49.8</v>
      </c>
      <c r="C13" s="657">
        <v>1</v>
      </c>
      <c r="D13" s="636"/>
      <c r="E13" s="657">
        <v>0</v>
      </c>
      <c r="F13" s="637">
        <v>49.8</v>
      </c>
    </row>
    <row r="14" spans="1:6" ht="14.4" customHeight="1" x14ac:dyDescent="0.3">
      <c r="A14" s="662" t="s">
        <v>1920</v>
      </c>
      <c r="B14" s="636"/>
      <c r="C14" s="657">
        <v>0</v>
      </c>
      <c r="D14" s="636">
        <v>4700.849529447004</v>
      </c>
      <c r="E14" s="657">
        <v>1</v>
      </c>
      <c r="F14" s="637">
        <v>4700.849529447004</v>
      </c>
    </row>
    <row r="15" spans="1:6" ht="14.4" customHeight="1" x14ac:dyDescent="0.3">
      <c r="A15" s="662" t="s">
        <v>1921</v>
      </c>
      <c r="B15" s="636"/>
      <c r="C15" s="657">
        <v>0</v>
      </c>
      <c r="D15" s="636">
        <v>230.24</v>
      </c>
      <c r="E15" s="657">
        <v>1</v>
      </c>
      <c r="F15" s="637">
        <v>230.24</v>
      </c>
    </row>
    <row r="16" spans="1:6" ht="14.4" customHeight="1" x14ac:dyDescent="0.3">
      <c r="A16" s="662" t="s">
        <v>1922</v>
      </c>
      <c r="B16" s="636"/>
      <c r="C16" s="657">
        <v>0</v>
      </c>
      <c r="D16" s="636">
        <v>799.86</v>
      </c>
      <c r="E16" s="657">
        <v>1</v>
      </c>
      <c r="F16" s="637">
        <v>799.86</v>
      </c>
    </row>
    <row r="17" spans="1:6" ht="14.4" customHeight="1" x14ac:dyDescent="0.3">
      <c r="A17" s="662" t="s">
        <v>1923</v>
      </c>
      <c r="B17" s="636"/>
      <c r="C17" s="657">
        <v>0</v>
      </c>
      <c r="D17" s="636">
        <v>1063.1999999999998</v>
      </c>
      <c r="E17" s="657">
        <v>1</v>
      </c>
      <c r="F17" s="637">
        <v>1063.1999999999998</v>
      </c>
    </row>
    <row r="18" spans="1:6" ht="14.4" customHeight="1" x14ac:dyDescent="0.3">
      <c r="A18" s="662" t="s">
        <v>1924</v>
      </c>
      <c r="B18" s="636"/>
      <c r="C18" s="657">
        <v>0</v>
      </c>
      <c r="D18" s="636">
        <v>5496.87365453248</v>
      </c>
      <c r="E18" s="657">
        <v>1</v>
      </c>
      <c r="F18" s="637">
        <v>5496.87365453248</v>
      </c>
    </row>
    <row r="19" spans="1:6" ht="14.4" customHeight="1" x14ac:dyDescent="0.3">
      <c r="A19" s="662" t="s">
        <v>1925</v>
      </c>
      <c r="B19" s="636"/>
      <c r="C19" s="657">
        <v>0</v>
      </c>
      <c r="D19" s="636">
        <v>182.55</v>
      </c>
      <c r="E19" s="657">
        <v>1</v>
      </c>
      <c r="F19" s="637">
        <v>182.55</v>
      </c>
    </row>
    <row r="20" spans="1:6" ht="14.4" customHeight="1" x14ac:dyDescent="0.3">
      <c r="A20" s="662" t="s">
        <v>1926</v>
      </c>
      <c r="B20" s="636"/>
      <c r="C20" s="657">
        <v>0</v>
      </c>
      <c r="D20" s="636">
        <v>387.3805289115902</v>
      </c>
      <c r="E20" s="657">
        <v>1</v>
      </c>
      <c r="F20" s="637">
        <v>387.3805289115902</v>
      </c>
    </row>
    <row r="21" spans="1:6" ht="14.4" customHeight="1" x14ac:dyDescent="0.3">
      <c r="A21" s="662" t="s">
        <v>1927</v>
      </c>
      <c r="B21" s="636"/>
      <c r="C21" s="657">
        <v>0</v>
      </c>
      <c r="D21" s="636">
        <v>47.940487022098999</v>
      </c>
      <c r="E21" s="657">
        <v>1</v>
      </c>
      <c r="F21" s="637">
        <v>47.940487022098999</v>
      </c>
    </row>
    <row r="22" spans="1:6" ht="14.4" customHeight="1" x14ac:dyDescent="0.3">
      <c r="A22" s="662" t="s">
        <v>1928</v>
      </c>
      <c r="B22" s="636"/>
      <c r="C22" s="657">
        <v>0</v>
      </c>
      <c r="D22" s="636">
        <v>609.32999999999993</v>
      </c>
      <c r="E22" s="657">
        <v>1</v>
      </c>
      <c r="F22" s="637">
        <v>609.32999999999993</v>
      </c>
    </row>
    <row r="23" spans="1:6" ht="14.4" customHeight="1" x14ac:dyDescent="0.3">
      <c r="A23" s="662" t="s">
        <v>1929</v>
      </c>
      <c r="B23" s="636"/>
      <c r="C23" s="657">
        <v>0</v>
      </c>
      <c r="D23" s="636">
        <v>478.31999999999994</v>
      </c>
      <c r="E23" s="657">
        <v>1</v>
      </c>
      <c r="F23" s="637">
        <v>478.31999999999994</v>
      </c>
    </row>
    <row r="24" spans="1:6" ht="14.4" customHeight="1" x14ac:dyDescent="0.3">
      <c r="A24" s="662" t="s">
        <v>1930</v>
      </c>
      <c r="B24" s="636"/>
      <c r="C24" s="657">
        <v>0</v>
      </c>
      <c r="D24" s="636">
        <v>5216.0391848999579</v>
      </c>
      <c r="E24" s="657">
        <v>1</v>
      </c>
      <c r="F24" s="637">
        <v>5216.0391848999579</v>
      </c>
    </row>
    <row r="25" spans="1:6" ht="14.4" customHeight="1" x14ac:dyDescent="0.3">
      <c r="A25" s="662" t="s">
        <v>1931</v>
      </c>
      <c r="B25" s="636"/>
      <c r="C25" s="657">
        <v>0</v>
      </c>
      <c r="D25" s="636">
        <v>88653.303996452305</v>
      </c>
      <c r="E25" s="657">
        <v>1</v>
      </c>
      <c r="F25" s="637">
        <v>88653.303996452305</v>
      </c>
    </row>
    <row r="26" spans="1:6" ht="14.4" customHeight="1" x14ac:dyDescent="0.3">
      <c r="A26" s="662" t="s">
        <v>1932</v>
      </c>
      <c r="B26" s="636"/>
      <c r="C26" s="657">
        <v>0</v>
      </c>
      <c r="D26" s="636">
        <v>229.48</v>
      </c>
      <c r="E26" s="657">
        <v>1</v>
      </c>
      <c r="F26" s="637">
        <v>229.48</v>
      </c>
    </row>
    <row r="27" spans="1:6" ht="14.4" customHeight="1" x14ac:dyDescent="0.3">
      <c r="A27" s="662" t="s">
        <v>1933</v>
      </c>
      <c r="B27" s="636"/>
      <c r="C27" s="657">
        <v>0</v>
      </c>
      <c r="D27" s="636">
        <v>605.27978437338982</v>
      </c>
      <c r="E27" s="657">
        <v>1</v>
      </c>
      <c r="F27" s="637">
        <v>605.27978437338982</v>
      </c>
    </row>
    <row r="28" spans="1:6" ht="14.4" customHeight="1" x14ac:dyDescent="0.3">
      <c r="A28" s="662" t="s">
        <v>1934</v>
      </c>
      <c r="B28" s="636"/>
      <c r="C28" s="657">
        <v>0</v>
      </c>
      <c r="D28" s="636">
        <v>7144.5</v>
      </c>
      <c r="E28" s="657">
        <v>1</v>
      </c>
      <c r="F28" s="637">
        <v>7144.5</v>
      </c>
    </row>
    <row r="29" spans="1:6" ht="14.4" customHeight="1" x14ac:dyDescent="0.3">
      <c r="A29" s="662" t="s">
        <v>1935</v>
      </c>
      <c r="B29" s="636"/>
      <c r="C29" s="657">
        <v>0</v>
      </c>
      <c r="D29" s="636">
        <v>1200.1100000000001</v>
      </c>
      <c r="E29" s="657">
        <v>1</v>
      </c>
      <c r="F29" s="637">
        <v>1200.1100000000001</v>
      </c>
    </row>
    <row r="30" spans="1:6" ht="14.4" customHeight="1" x14ac:dyDescent="0.3">
      <c r="A30" s="662" t="s">
        <v>1936</v>
      </c>
      <c r="B30" s="636"/>
      <c r="C30" s="657">
        <v>0</v>
      </c>
      <c r="D30" s="636">
        <v>462.64730681310232</v>
      </c>
      <c r="E30" s="657">
        <v>1</v>
      </c>
      <c r="F30" s="637">
        <v>462.64730681310232</v>
      </c>
    </row>
    <row r="31" spans="1:6" ht="14.4" customHeight="1" x14ac:dyDescent="0.3">
      <c r="A31" s="662" t="s">
        <v>1937</v>
      </c>
      <c r="B31" s="636"/>
      <c r="C31" s="657">
        <v>0</v>
      </c>
      <c r="D31" s="636">
        <v>418.64981643549675</v>
      </c>
      <c r="E31" s="657">
        <v>1</v>
      </c>
      <c r="F31" s="637">
        <v>418.64981643549675</v>
      </c>
    </row>
    <row r="32" spans="1:6" ht="14.4" customHeight="1" x14ac:dyDescent="0.3">
      <c r="A32" s="662" t="s">
        <v>1938</v>
      </c>
      <c r="B32" s="636"/>
      <c r="C32" s="657">
        <v>0</v>
      </c>
      <c r="D32" s="636">
        <v>158.43</v>
      </c>
      <c r="E32" s="657">
        <v>1</v>
      </c>
      <c r="F32" s="637">
        <v>158.43</v>
      </c>
    </row>
    <row r="33" spans="1:6" ht="14.4" customHeight="1" x14ac:dyDescent="0.3">
      <c r="A33" s="662" t="s">
        <v>1939</v>
      </c>
      <c r="B33" s="636"/>
      <c r="C33" s="657">
        <v>0</v>
      </c>
      <c r="D33" s="636">
        <v>131.19999999999999</v>
      </c>
      <c r="E33" s="657">
        <v>1</v>
      </c>
      <c r="F33" s="637">
        <v>131.19999999999999</v>
      </c>
    </row>
    <row r="34" spans="1:6" ht="14.4" customHeight="1" x14ac:dyDescent="0.3">
      <c r="A34" s="662" t="s">
        <v>1940</v>
      </c>
      <c r="B34" s="636"/>
      <c r="C34" s="657">
        <v>0</v>
      </c>
      <c r="D34" s="636">
        <v>2041.9900000000005</v>
      </c>
      <c r="E34" s="657">
        <v>1</v>
      </c>
      <c r="F34" s="637">
        <v>2041.9900000000005</v>
      </c>
    </row>
    <row r="35" spans="1:6" ht="14.4" customHeight="1" x14ac:dyDescent="0.3">
      <c r="A35" s="662" t="s">
        <v>1941</v>
      </c>
      <c r="B35" s="636"/>
      <c r="C35" s="657">
        <v>0</v>
      </c>
      <c r="D35" s="636">
        <v>115.09</v>
      </c>
      <c r="E35" s="657">
        <v>1</v>
      </c>
      <c r="F35" s="637">
        <v>115.09</v>
      </c>
    </row>
    <row r="36" spans="1:6" ht="14.4" customHeight="1" x14ac:dyDescent="0.3">
      <c r="A36" s="662" t="s">
        <v>1942</v>
      </c>
      <c r="B36" s="636"/>
      <c r="C36" s="657">
        <v>0</v>
      </c>
      <c r="D36" s="636">
        <v>123.05</v>
      </c>
      <c r="E36" s="657">
        <v>1</v>
      </c>
      <c r="F36" s="637">
        <v>123.05</v>
      </c>
    </row>
    <row r="37" spans="1:6" ht="14.4" customHeight="1" x14ac:dyDescent="0.3">
      <c r="A37" s="662" t="s">
        <v>1943</v>
      </c>
      <c r="B37" s="636"/>
      <c r="C37" s="657">
        <v>0</v>
      </c>
      <c r="D37" s="636">
        <v>584.93030460283239</v>
      </c>
      <c r="E37" s="657">
        <v>1</v>
      </c>
      <c r="F37" s="637">
        <v>584.93030460283239</v>
      </c>
    </row>
    <row r="38" spans="1:6" ht="14.4" customHeight="1" x14ac:dyDescent="0.3">
      <c r="A38" s="662" t="s">
        <v>1944</v>
      </c>
      <c r="B38" s="636"/>
      <c r="C38" s="657">
        <v>0</v>
      </c>
      <c r="D38" s="636">
        <v>6180.0867311510046</v>
      </c>
      <c r="E38" s="657">
        <v>1</v>
      </c>
      <c r="F38" s="637">
        <v>6180.0867311510046</v>
      </c>
    </row>
    <row r="39" spans="1:6" ht="14.4" customHeight="1" x14ac:dyDescent="0.3">
      <c r="A39" s="662" t="s">
        <v>1945</v>
      </c>
      <c r="B39" s="636"/>
      <c r="C39" s="657">
        <v>0</v>
      </c>
      <c r="D39" s="636">
        <v>248.94924929732585</v>
      </c>
      <c r="E39" s="657">
        <v>1</v>
      </c>
      <c r="F39" s="637">
        <v>248.94924929732585</v>
      </c>
    </row>
    <row r="40" spans="1:6" ht="14.4" customHeight="1" x14ac:dyDescent="0.3">
      <c r="A40" s="662" t="s">
        <v>1946</v>
      </c>
      <c r="B40" s="636"/>
      <c r="C40" s="657">
        <v>0</v>
      </c>
      <c r="D40" s="636">
        <v>2684.1703628914597</v>
      </c>
      <c r="E40" s="657">
        <v>1</v>
      </c>
      <c r="F40" s="637">
        <v>2684.1703628914597</v>
      </c>
    </row>
    <row r="41" spans="1:6" ht="14.4" customHeight="1" x14ac:dyDescent="0.3">
      <c r="A41" s="662" t="s">
        <v>1947</v>
      </c>
      <c r="B41" s="636"/>
      <c r="C41" s="657">
        <v>0</v>
      </c>
      <c r="D41" s="636">
        <v>576.91999985055611</v>
      </c>
      <c r="E41" s="657">
        <v>1</v>
      </c>
      <c r="F41" s="637">
        <v>576.91999985055611</v>
      </c>
    </row>
    <row r="42" spans="1:6" ht="14.4" customHeight="1" x14ac:dyDescent="0.3">
      <c r="A42" s="662" t="s">
        <v>1948</v>
      </c>
      <c r="B42" s="636"/>
      <c r="C42" s="657">
        <v>0</v>
      </c>
      <c r="D42" s="636">
        <v>277.75060569213286</v>
      </c>
      <c r="E42" s="657">
        <v>1</v>
      </c>
      <c r="F42" s="637">
        <v>277.75060569213286</v>
      </c>
    </row>
    <row r="43" spans="1:6" ht="14.4" customHeight="1" x14ac:dyDescent="0.3">
      <c r="A43" s="662" t="s">
        <v>1949</v>
      </c>
      <c r="B43" s="636"/>
      <c r="C43" s="657">
        <v>0</v>
      </c>
      <c r="D43" s="636">
        <v>374.46979645160343</v>
      </c>
      <c r="E43" s="657">
        <v>1</v>
      </c>
      <c r="F43" s="637">
        <v>374.46979645160343</v>
      </c>
    </row>
    <row r="44" spans="1:6" ht="14.4" customHeight="1" x14ac:dyDescent="0.3">
      <c r="A44" s="662" t="s">
        <v>1950</v>
      </c>
      <c r="B44" s="636"/>
      <c r="C44" s="657">
        <v>0</v>
      </c>
      <c r="D44" s="636">
        <v>2428.7985064616551</v>
      </c>
      <c r="E44" s="657">
        <v>1</v>
      </c>
      <c r="F44" s="637">
        <v>2428.7985064616551</v>
      </c>
    </row>
    <row r="45" spans="1:6" ht="14.4" customHeight="1" x14ac:dyDescent="0.3">
      <c r="A45" s="662" t="s">
        <v>1951</v>
      </c>
      <c r="B45" s="636"/>
      <c r="C45" s="657">
        <v>0</v>
      </c>
      <c r="D45" s="636">
        <v>130.91999999999993</v>
      </c>
      <c r="E45" s="657">
        <v>1</v>
      </c>
      <c r="F45" s="637">
        <v>130.91999999999993</v>
      </c>
    </row>
    <row r="46" spans="1:6" ht="14.4" customHeight="1" x14ac:dyDescent="0.3">
      <c r="A46" s="662" t="s">
        <v>1952</v>
      </c>
      <c r="B46" s="636"/>
      <c r="C46" s="657">
        <v>0</v>
      </c>
      <c r="D46" s="636">
        <v>215.42999999999995</v>
      </c>
      <c r="E46" s="657">
        <v>1</v>
      </c>
      <c r="F46" s="637">
        <v>215.42999999999995</v>
      </c>
    </row>
    <row r="47" spans="1:6" ht="14.4" customHeight="1" x14ac:dyDescent="0.3">
      <c r="A47" s="662" t="s">
        <v>1953</v>
      </c>
      <c r="B47" s="636"/>
      <c r="C47" s="657">
        <v>0</v>
      </c>
      <c r="D47" s="636">
        <v>672.29987859939195</v>
      </c>
      <c r="E47" s="657">
        <v>1</v>
      </c>
      <c r="F47" s="637">
        <v>672.29987859939195</v>
      </c>
    </row>
    <row r="48" spans="1:6" ht="14.4" customHeight="1" x14ac:dyDescent="0.3">
      <c r="A48" s="662" t="s">
        <v>1954</v>
      </c>
      <c r="B48" s="636"/>
      <c r="C48" s="657">
        <v>0</v>
      </c>
      <c r="D48" s="636">
        <v>819.31999999999994</v>
      </c>
      <c r="E48" s="657">
        <v>1</v>
      </c>
      <c r="F48" s="637">
        <v>819.31999999999994</v>
      </c>
    </row>
    <row r="49" spans="1:6" ht="14.4" customHeight="1" x14ac:dyDescent="0.3">
      <c r="A49" s="662" t="s">
        <v>1955</v>
      </c>
      <c r="B49" s="636"/>
      <c r="C49" s="657">
        <v>0</v>
      </c>
      <c r="D49" s="636">
        <v>230.9899999999999</v>
      </c>
      <c r="E49" s="657">
        <v>1</v>
      </c>
      <c r="F49" s="637">
        <v>230.9899999999999</v>
      </c>
    </row>
    <row r="50" spans="1:6" ht="14.4" customHeight="1" x14ac:dyDescent="0.3">
      <c r="A50" s="662" t="s">
        <v>1956</v>
      </c>
      <c r="B50" s="636"/>
      <c r="C50" s="657">
        <v>0</v>
      </c>
      <c r="D50" s="636">
        <v>3205.3128416082495</v>
      </c>
      <c r="E50" s="657">
        <v>1</v>
      </c>
      <c r="F50" s="637">
        <v>3205.3128416082495</v>
      </c>
    </row>
    <row r="51" spans="1:6" ht="14.4" customHeight="1" x14ac:dyDescent="0.3">
      <c r="A51" s="662" t="s">
        <v>1957</v>
      </c>
      <c r="B51" s="636"/>
      <c r="C51" s="657">
        <v>0</v>
      </c>
      <c r="D51" s="636">
        <v>624.01</v>
      </c>
      <c r="E51" s="657">
        <v>1</v>
      </c>
      <c r="F51" s="637">
        <v>624.01</v>
      </c>
    </row>
    <row r="52" spans="1:6" ht="14.4" customHeight="1" x14ac:dyDescent="0.3">
      <c r="A52" s="662" t="s">
        <v>1958</v>
      </c>
      <c r="B52" s="636"/>
      <c r="C52" s="657">
        <v>0</v>
      </c>
      <c r="D52" s="636">
        <v>523.74215624002807</v>
      </c>
      <c r="E52" s="657">
        <v>1</v>
      </c>
      <c r="F52" s="637">
        <v>523.74215624002807</v>
      </c>
    </row>
    <row r="53" spans="1:6" ht="14.4" customHeight="1" x14ac:dyDescent="0.3">
      <c r="A53" s="662" t="s">
        <v>1959</v>
      </c>
      <c r="B53" s="636"/>
      <c r="C53" s="657">
        <v>0</v>
      </c>
      <c r="D53" s="636">
        <v>96.92</v>
      </c>
      <c r="E53" s="657">
        <v>1</v>
      </c>
      <c r="F53" s="637">
        <v>96.92</v>
      </c>
    </row>
    <row r="54" spans="1:6" ht="14.4" customHeight="1" x14ac:dyDescent="0.3">
      <c r="A54" s="662" t="s">
        <v>1960</v>
      </c>
      <c r="B54" s="636"/>
      <c r="C54" s="657">
        <v>0</v>
      </c>
      <c r="D54" s="636">
        <v>608.61964930926683</v>
      </c>
      <c r="E54" s="657">
        <v>1</v>
      </c>
      <c r="F54" s="637">
        <v>608.61964930926683</v>
      </c>
    </row>
    <row r="55" spans="1:6" ht="14.4" customHeight="1" x14ac:dyDescent="0.3">
      <c r="A55" s="662" t="s">
        <v>1961</v>
      </c>
      <c r="B55" s="636"/>
      <c r="C55" s="657">
        <v>0</v>
      </c>
      <c r="D55" s="636">
        <v>490.86097816082429</v>
      </c>
      <c r="E55" s="657">
        <v>1</v>
      </c>
      <c r="F55" s="637">
        <v>490.86097816082429</v>
      </c>
    </row>
    <row r="56" spans="1:6" ht="14.4" customHeight="1" x14ac:dyDescent="0.3">
      <c r="A56" s="662" t="s">
        <v>1962</v>
      </c>
      <c r="B56" s="636"/>
      <c r="C56" s="657">
        <v>0</v>
      </c>
      <c r="D56" s="636">
        <v>340.85967737231783</v>
      </c>
      <c r="E56" s="657">
        <v>1</v>
      </c>
      <c r="F56" s="637">
        <v>340.85967737231783</v>
      </c>
    </row>
    <row r="57" spans="1:6" ht="14.4" customHeight="1" x14ac:dyDescent="0.3">
      <c r="A57" s="662" t="s">
        <v>1963</v>
      </c>
      <c r="B57" s="636"/>
      <c r="C57" s="657">
        <v>0</v>
      </c>
      <c r="D57" s="636">
        <v>513.34936601617824</v>
      </c>
      <c r="E57" s="657">
        <v>1</v>
      </c>
      <c r="F57" s="637">
        <v>513.34936601617824</v>
      </c>
    </row>
    <row r="58" spans="1:6" ht="14.4" customHeight="1" x14ac:dyDescent="0.3">
      <c r="A58" s="662" t="s">
        <v>1964</v>
      </c>
      <c r="B58" s="636"/>
      <c r="C58" s="657">
        <v>0</v>
      </c>
      <c r="D58" s="636">
        <v>877.57897851738096</v>
      </c>
      <c r="E58" s="657">
        <v>1</v>
      </c>
      <c r="F58" s="637">
        <v>877.57897851738096</v>
      </c>
    </row>
    <row r="59" spans="1:6" ht="14.4" customHeight="1" x14ac:dyDescent="0.3">
      <c r="A59" s="662" t="s">
        <v>1965</v>
      </c>
      <c r="B59" s="636"/>
      <c r="C59" s="657">
        <v>0</v>
      </c>
      <c r="D59" s="636">
        <v>323.59981337879299</v>
      </c>
      <c r="E59" s="657">
        <v>1</v>
      </c>
      <c r="F59" s="637">
        <v>323.59981337879299</v>
      </c>
    </row>
    <row r="60" spans="1:6" ht="14.4" customHeight="1" x14ac:dyDescent="0.3">
      <c r="A60" s="662" t="s">
        <v>1966</v>
      </c>
      <c r="B60" s="636"/>
      <c r="C60" s="657">
        <v>0</v>
      </c>
      <c r="D60" s="636">
        <v>1405.2087393462134</v>
      </c>
      <c r="E60" s="657">
        <v>1</v>
      </c>
      <c r="F60" s="637">
        <v>1405.2087393462134</v>
      </c>
    </row>
    <row r="61" spans="1:6" ht="14.4" customHeight="1" x14ac:dyDescent="0.3">
      <c r="A61" s="662" t="s">
        <v>1967</v>
      </c>
      <c r="B61" s="636"/>
      <c r="C61" s="657">
        <v>0</v>
      </c>
      <c r="D61" s="636">
        <v>168.7001990350449</v>
      </c>
      <c r="E61" s="657">
        <v>1</v>
      </c>
      <c r="F61" s="637">
        <v>168.7001990350449</v>
      </c>
    </row>
    <row r="62" spans="1:6" ht="14.4" customHeight="1" x14ac:dyDescent="0.3">
      <c r="A62" s="662" t="s">
        <v>1968</v>
      </c>
      <c r="B62" s="636"/>
      <c r="C62" s="657">
        <v>0</v>
      </c>
      <c r="D62" s="636">
        <v>14919.838923327326</v>
      </c>
      <c r="E62" s="657">
        <v>1</v>
      </c>
      <c r="F62" s="637">
        <v>14919.838923327326</v>
      </c>
    </row>
    <row r="63" spans="1:6" ht="14.4" customHeight="1" x14ac:dyDescent="0.3">
      <c r="A63" s="662" t="s">
        <v>1969</v>
      </c>
      <c r="B63" s="636"/>
      <c r="C63" s="657">
        <v>0</v>
      </c>
      <c r="D63" s="636">
        <v>2578.8321573663102</v>
      </c>
      <c r="E63" s="657">
        <v>1</v>
      </c>
      <c r="F63" s="637">
        <v>2578.8321573663102</v>
      </c>
    </row>
    <row r="64" spans="1:6" ht="14.4" customHeight="1" x14ac:dyDescent="0.3">
      <c r="A64" s="662" t="s">
        <v>1970</v>
      </c>
      <c r="B64" s="636"/>
      <c r="C64" s="657">
        <v>0</v>
      </c>
      <c r="D64" s="636">
        <v>131.77000000000001</v>
      </c>
      <c r="E64" s="657">
        <v>1</v>
      </c>
      <c r="F64" s="637">
        <v>131.77000000000001</v>
      </c>
    </row>
    <row r="65" spans="1:6" ht="14.4" customHeight="1" thickBot="1" x14ac:dyDescent="0.35">
      <c r="A65" s="663" t="s">
        <v>1971</v>
      </c>
      <c r="B65" s="658"/>
      <c r="C65" s="659">
        <v>0</v>
      </c>
      <c r="D65" s="658">
        <v>757.29517081620065</v>
      </c>
      <c r="E65" s="659">
        <v>1</v>
      </c>
      <c r="F65" s="660">
        <v>757.29517081620065</v>
      </c>
    </row>
    <row r="66" spans="1:6" ht="14.4" customHeight="1" thickBot="1" x14ac:dyDescent="0.35">
      <c r="A66" s="651" t="s">
        <v>6</v>
      </c>
      <c r="B66" s="652">
        <v>4998.369999999999</v>
      </c>
      <c r="C66" s="653">
        <v>2.9612463502964075E-2</v>
      </c>
      <c r="D66" s="652">
        <v>163794.40873992769</v>
      </c>
      <c r="E66" s="653">
        <v>0.97038753649703591</v>
      </c>
      <c r="F66" s="654">
        <v>168792.77873992769</v>
      </c>
    </row>
  </sheetData>
  <mergeCells count="3">
    <mergeCell ref="A1:F1"/>
    <mergeCell ref="B3:C3"/>
    <mergeCell ref="D3:E3"/>
  </mergeCells>
  <conditionalFormatting sqref="C5:C1048576">
    <cfRule type="cellIs" dxfId="5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2014-03-27T10:27:59Z</dcterms:modified>
</cp:coreProperties>
</file>